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<sst xmlns="http://schemas.openxmlformats.org/spreadsheetml/2006/main" count="2402" uniqueCount="888">
  <si>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</si>
  <si>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</si>
  <si>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</si>
  <si>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</si>
  <si>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</si>
  <si>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</si>
  <si>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</si>
  <si>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</si>
  <si>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</si>
  <si>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</si>
  <si>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</si>
  <si>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</si>
  <si>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</si>
  <si>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</si>
  <si>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</si>
  <si>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</si>
  <si>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</si>
  <si>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</si>
  <si>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</si>
  <si>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</si>
  <si>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</si>
  <si>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</si>
  <si>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</si>
  <si>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</si>
  <si>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</si>
  <si>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</si>
  <si>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</si>
  <si>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</si>
  <si>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</si>
  <si>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</si>
  <si>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</si>
  <si>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</si>
  <si>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</si>
  <si>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</si>
  <si>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</si>
  <si>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</si>
  <si>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</si>
  <si>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</si>
  <si>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</si>
  <si>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</si>
  <si>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</si>
  <si>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</si>
  <si>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</si>
  <si>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</si>
  <si>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</si>
  <si>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</si>
  <si>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</si>
  <si>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</si>
  <si>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</si>
  <si>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</si>
  <si>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</si>
  <si>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</si>
  <si>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</si>
  <si>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</si>
  <si>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</si>
  <si>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</si>
  <si>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</si>
  <si>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</si>
  <si>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</si>
  <si>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</si>
  <si>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</si>
  <si>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</si>
  <si>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</si>
  <si>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</si>
  <si>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</si>
  <si>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</si>
  <si>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</si>
  <si>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</si>
  <si>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</si>
  <si>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</si>
  <si>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</si>
  <si>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</si>
  <si>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</si>
  <si>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</si>
  <si>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</si>
  <si>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</si>
  <si>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</si>
  <si>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</si>
  <si>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</si>
  <si>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</si>
  <si>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</si>
  <si>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</si>
  <si>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</si>
  <si>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</si>
  <si>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</si>
  <si>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</si>
  <si>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</si>
  <si>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</si>
  <si>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</si>
  <si>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</si>
  <si>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</si>
  <si>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</si>
  <si>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</si>
  <si>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</si>
  <si>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</si>
  <si>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</si>
  <si>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</si>
  <si>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</si>
  <si>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</si>
  <si>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</si>
  <si>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</si>
  <si>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</si>
  <si>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</si>
  <si>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</si>
  <si>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</si>
  <si>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</si>
  <si>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</si>
  <si>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</si>
  <si>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</si>
  <si>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</si>
  <si>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</si>
  <si>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</si>
  <si>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</si>
  <si>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</si>
  <si>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</si>
  <si>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</si>
  <si>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</si>
  <si>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</si>
  <si>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</si>
  <si>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</si>
  <si>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</si>
  <si>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</si>
  <si>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</si>
  <si>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</si>
  <si>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</si>
  <si>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</si>
  <si>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</si>
  <si>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</si>
  <si>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</si>
  <si>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</si>
  <si>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</si>
  <si>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</si>
  <si>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</si>
  <si>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</si>
  <si>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</si>
  <si>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</si>
  <si>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</si>
  <si>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</si>
  <si>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</si>
  <si>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</si>
  <si>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</si>
  <si>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</si>
  <si>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</si>
  <si>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</si>
  <si>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</si>
  <si>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</si>
  <si>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</si>
  <si>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</si>
  <si>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</si>
  <si>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</si>
  <si>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</si>
  <si>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</si>
  <si>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</si>
  <si>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</si>
  <si>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</si>
  <si>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</si>
  <si>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</si>
  <si>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</si>
  <si>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</si>
  <si>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</si>
  <si>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</si>
  <si>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</si>
  <si>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</si>
  <si>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</si>
  <si>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</si>
  <si>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</si>
  <si>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</si>
  <si>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</si>
  <si>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</si>
  <si>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</si>
  <si>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</si>
  <si>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</si>
  <si>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</si>
  <si>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</si>
  <si>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</si>
  <si>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</si>
  <si>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</si>
  <si>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</si>
  <si>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</si>
  <si>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</si>
  <si>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</si>
  <si>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</si>
  <si>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</si>
  <si>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</si>
  <si>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</si>
  <si>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</si>
  <si>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</si>
  <si>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</si>
  <si>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</si>
  <si>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</si>
  <si>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</si>
  <si>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</si>
  <si>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</si>
  <si>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</si>
  <si>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</si>
  <si>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</si>
  <si>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</si>
  <si>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</si>
  <si>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</si>
  <si>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</si>
  <si>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</si>
  <si>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</si>
  <si>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</si>
  <si>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</si>
  <si>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</si>
  <si>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</si>
  <si>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</si>
  <si>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</si>
  <si>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</si>
  <si>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</si>
  <si>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</si>
  <si>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</si>
  <si>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</si>
  <si>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</si>
  <si>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</si>
  <si>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</si>
  <si>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</si>
  <si>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</si>
  <si>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</si>
  <si>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</si>
  <si>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</si>
  <si>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</si>
  <si>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</si>
  <si>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</si>
  <si>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</si>
  <si>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</si>
  <si>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</si>
  <si>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</si>
  <si>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</si>
  <si>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</si>
  <si>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</si>
  <si>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</si>
  <si>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</si>
  <si>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</si>
  <si>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</si>
  <si>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</si>
  <si>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</si>
  <si>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</si>
  <si>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</si>
  <si>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</si>
  <si>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</si>
  <si>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</si>
  <si>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</si>
  <si>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</si>
  <si>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</si>
  <si>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</si>
  <si>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</si>
  <si>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</si>
  <si>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</si>
  <si>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</si>
  <si>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</si>
  <si>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</si>
  <si>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</si>
  <si>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</si>
  <si>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</si>
  <si>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</si>
  <si>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</si>
  <si>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</si>
  <si>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</si>
  <si>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</si>
  <si>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</si>
  <si>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</si>
  <si>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</si>
  <si>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</si>
  <si>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</si>
  <si>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</si>
  <si>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</si>
  <si>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</si>
  <si>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</si>
  <si>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</si>
  <si>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</si>
  <si>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</si>
  <si>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</si>
  <si>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</si>
  <si>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</si>
  <si>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</si>
  <si>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</si>
  <si>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</si>
  <si>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</si>
  <si>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</si>
  <si>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</si>
  <si>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</si>
  <si>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</si>
  <si>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</si>
  <si>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</si>
  <si>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</si>
  <si>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</si>
  <si>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</si>
  <si>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</si>
  <si>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</si>
  <si>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</si>
  <si>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</si>
  <si>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</si>
  <si>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</si>
  <si>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</si>
  <si>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</si>
  <si>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</si>
  <si>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</si>
  <si>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</si>
  <si>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</si>
  <si>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</si>
  <si>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</si>
  <si>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</si>
  <si>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</si>
  <si>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</si>
  <si>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</si>
  <si>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</si>
  <si>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</si>
  <si>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</si>
  <si>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</si>
  <si>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</si>
  <si>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</si>
  <si>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</si>
  <si>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</si>
  <si>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</si>
  <si>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</si>
  <si>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</si>
  <si>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</si>
  <si>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</si>
  <si>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</si>
  <si>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</si>
  <si>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</si>
  <si>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</si>
  <si>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</si>
  <si>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</si>
  <si>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</si>
  <si>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</si>
  <si>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</si>
  <si>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</si>
  <si>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</si>
  <si>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</si>
  <si>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</si>
  <si>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</si>
  <si>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</si>
  <si>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</si>
  <si>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</si>
  <si>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</si>
  <si>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</si>
  <si>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</si>
  <si>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</si>
  <si>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</si>
  <si>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</si>
  <si>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</si>
  <si>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</si>
  <si>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</si>
  <si>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</si>
  <si>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</si>
  <si>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</si>
  <si>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</si>
  <si>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</si>
  <si>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</si>
  <si>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</si>
  <si>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</si>
  <si>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</si>
  <si>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</si>
  <si>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</si>
  <si>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</si>
  <si>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</si>
  <si>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</si>
  <si>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</si>
  <si>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</si>
  <si>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</si>
  <si>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</si>
  <si>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</si>
  <si>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</si>
  <si>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</si>
  <si>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</si>
  <si>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</si>
  <si>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</si>
  <si>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</si>
  <si>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</si>
  <si>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</si>
  <si>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</si>
  <si>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</si>
  <si>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</si>
  <si>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</si>
  <si>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</si>
  <si>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</si>
  <si>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</si>
  <si>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</si>
  <si>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</si>
  <si>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</si>
  <si>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</si>
  <si>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</si>
  <si>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</si>
  <si>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</si>
  <si>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</si>
  <si>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</si>
  <si>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</si>
  <si>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</si>
  <si>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</si>
  <si>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</si>
  <si>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</si>
  <si>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</si>
  <si>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</si>
  <si>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</si>
  <si>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</si>
  <si>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</si>
  <si>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</si>
  <si>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</si>
  <si>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</si>
  <si>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</si>
  <si>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</si>
  <si>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</si>
  <si>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</si>
  <si>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</si>
  <si>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</si>
  <si>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</si>
  <si>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</si>
  <si>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</si>
  <si>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</si>
  <si>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</si>
  <si>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</si>
  <si>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</si>
  <si>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</si>
  <si>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</si>
  <si>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</si>
  <si>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</si>
  <si>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</si>
  <si>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</si>
  <si>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</si>
  <si>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</si>
  <si>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</si>
  <si>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</si>
  <si>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</si>
  <si>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</si>
  <si>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</si>
  <si>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</si>
  <si>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</si>
  <si>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</si>
  <si>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</si>
  <si>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</si>
  <si>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</si>
  <si>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</si>
  <si>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</si>
  <si>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</si>
  <si>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</si>
  <si>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</si>
  <si>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</si>
  <si>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</si>
  <si>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</si>
  <si>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</si>
  <si>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</si>
  <si>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</si>
  <si>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</si>
  <si>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</si>
  <si>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</si>
  <si>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</si>
  <si>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</si>
  <si>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</si>
  <si>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</si>
  <si>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</si>
  <si>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</si>
  <si>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</si>
  <si>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</si>
  <si>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</si>
  <si>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</si>
  <si>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</si>
  <si>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</si>
  <si>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</si>
  <si>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</si>
  <si>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</si>
  <si>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</si>
  <si>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</si>
  <si>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</si>
  <si>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</si>
  <si>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</si>
  <si>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</si>
  <si>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</si>
  <si>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</si>
  <si>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</si>
  <si>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</si>
  <si>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</si>
  <si>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</si>
  <si>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</si>
  <si>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</si>
  <si>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</si>
  <si>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</si>
  <si>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</si>
  <si>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</si>
  <si>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</si>
  <si>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</si>
  <si>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</si>
  <si>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</si>
  <si>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</si>
  <si>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</si>
  <si>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</si>
  <si>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</si>
  <si>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</si>
  <si>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</si>
  <si>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</si>
  <si>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</si>
  <si>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</si>
  <si>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</si>
  <si>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</si>
  <si>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</si>
  <si>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</si>
  <si>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</si>
  <si>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</si>
  <si>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</si>
  <si>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</si>
  <si>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</si>
  <si>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</si>
  <si>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</si>
  <si>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</si>
  <si>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</si>
  <si>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</si>
  <si>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</si>
  <si>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</si>
  <si>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</si>
  <si>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</si>
  <si>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</si>
  <si>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</si>
  <si>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</si>
  <si>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</si>
  <si>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</si>
  <si>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</si>
  <si>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</si>
  <si>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</si>
  <si>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</si>
  <si>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</si>
  <si>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</si>
  <si>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</si>
  <si>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</si>
  <si>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</si>
  <si>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</si>
  <si>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</si>
  <si>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</si>
  <si>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</si>
  <si>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</si>
  <si>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</si>
  <si>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</si>
  <si>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</si>
  <si>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</si>
  <si>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</si>
  <si>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</si>
  <si>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</si>
  <si>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</si>
  <si>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</si>
  <si>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</si>
  <si>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</si>
  <si>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</si>
  <si>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</si>
  <si>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</si>
  <si>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</si>
  <si>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</si>
  <si>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</si>
  <si>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</si>
  <si>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</si>
  <si>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</si>
  <si>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</si>
  <si>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</si>
  <si>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</si>
  <si>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</si>
  <si>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</si>
  <si>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</si>
  <si>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</si>
  <si>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</si>
  <si>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</si>
  <si>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</si>
  <si>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</si>
  <si>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</si>
  <si>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</si>
  <si>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</si>
  <si>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</si>
  <si>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</si>
  <si>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</si>
  <si>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</si>
  <si>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</si>
  <si>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</si>
  <si>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</si>
  <si>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</si>
  <si>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</si>
  <si>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</si>
  <si>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</si>
  <si>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</si>
  <si>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</si>
  <si>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</si>
  <si>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</si>
  <si>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</si>
  <si>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</si>
  <si>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</si>
  <si>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</si>
  <si>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</si>
  <si>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</si>
  <si>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</si>
  <si>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</si>
  <si>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</si>
  <si>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</si>
  <si>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</si>
  <si>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</si>
  <si>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</si>
  <si>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</si>
  <si>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</si>
  <si>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</si>
  <si>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</si>
  <si>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</si>
  <si>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</si>
  <si>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</si>
  <si>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</si>
  <si>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</si>
  <si>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</si>
  <si>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</si>
  <si>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</si>
  <si>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</si>
  <si>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</si>
  <si>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</si>
  <si>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</si>
  <si>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</si>
  <si>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</si>
  <si>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</si>
  <si>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</si>
  <si>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</si>
  <si>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</si>
  <si>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</si>
  <si>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</si>
  <si>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</si>
  <si>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</si>
  <si>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</si>
  <si>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</si>
  <si>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</si>
  <si>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</si>
  <si>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</si>
  <si>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</si>
  <si>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</si>
  <si>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</si>
  <si>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</si>
  <si>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</si>
  <si>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</si>
  <si>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</si>
  <si>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</si>
  <si>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</si>
  <si>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</si>
  <si>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</si>
  <si>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</si>
  <si>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</si>
  <si>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</si>
  <si>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</si>
  <si>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</si>
  <si>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</si>
  <si>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</si>
  <si>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</si>
  <si>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</si>
  <si>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</si>
  <si>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</si>
  <si>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</si>
  <si>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</si>
  <si>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</si>
  <si>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</si>
  <si>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</si>
  <si>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</si>
  <si>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</si>
  <si>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</si>
  <si>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</si>
  <si>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</si>
  <si>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</si>
  <si>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</si>
  <si>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</si>
  <si>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</si>
  <si>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</si>
  <si>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</si>
  <si>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</si>
  <si>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</si>
  <si>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</si>
  <si>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</si>
  <si>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</si>
  <si>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</si>
  <si>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</si>
  <si>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</si>
  <si>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</si>
  <si>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</si>
  <si>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</si>
  <si>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</si>
  <si>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</si>
  <si>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</si>
  <si>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</si>
  <si>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</si>
  <si>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</si>
  <si>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</si>
  <si>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</si>
  <si>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</si>
  <si>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</si>
  <si>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</si>
  <si>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</si>
  <si>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</si>
  <si>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</si>
  <si>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</si>
  <si>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</si>
  <si>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</si>
  <si>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</si>
  <si>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</si>
  <si>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</si>
  <si>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</si>
  <si>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</si>
  <si>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</si>
  <si>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</si>
  <si>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</si>
  <si>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</si>
  <si>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</si>
  <si>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</si>
  <si>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</si>
  <si>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</si>
  <si>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</si>
  <si>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</si>
  <si>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</si>
  <si>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</si>
  <si>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</si>
  <si>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</si>
  <si>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</si>
  <si>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</si>
  <si>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</si>
  <si>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</si>
  <si>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</si>
  <si>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</si>
  <si>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</si>
  <si>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</si>
  <si>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</si>
  <si>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</si>
  <si>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</si>
  <si>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</si>
  <si>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</si>
  <si>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</si>
  <si>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</si>
  <si>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</si>
  <si>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</si>
  <si>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</si>
  <si>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</si>
  <si>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</si>
  <si>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</si>
  <si>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</si>
  <si>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</si>
  <si>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</si>
  <si>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</si>
  <si>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</si>
  <si>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</si>
  <si>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</si>
  <si>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</si>
  <si>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</si>
  <si>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</si>
  <si>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</si>
  <si>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</si>
  <si>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</si>
  <si>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</si>
  <si>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</si>
  <si>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</si>
  <si>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</si>
  <si>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</si>
  <si>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</si>
  <si>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</si>
  <si>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</si>
  <si>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</si>
  <si>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</si>
  <si>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</si>
  <si>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</si>
  <si>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</si>
  <si>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</si>
  <si>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</si>
  <si>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</si>
  <si>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</si>
  <si>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</si>
  <si>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</si>
  <si>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</si>
  <si>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</si>
  <si>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</si>
  <si>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</si>
  <si>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</si>
  <si>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</si>
  <si>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</si>
  <si>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</si>
  <si>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</si>
  <si>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</si>
  <si>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</si>
  <si>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</si>
  <si>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</si>
  <si>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</si>
  <si>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</si>
  <si>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</si>
  <si>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</si>
  <si>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</si>
  <si>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</si>
  <si>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</si>
  <si>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</si>
  <si>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</si>
  <si>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</si>
  <si>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</si>
  <si>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</si>
  <si>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</si>
  <si>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</si>
  <si>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</si>
  <si>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</si>
  <si>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</si>
  <si>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</si>
  <si>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</si>
  <si>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</si>
  <si>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</si>
  <si>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</si>
  <si>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</si>
  <si>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</si>
  <si>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</si>
  <si>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</si>
  <si>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</si>
  <si>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</si>
  <si>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</si>
  <si>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</si>
  <si>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</si>
  <si>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</si>
  <si>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</si>
  <si>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</si>
  <si>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</si>
  <si>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</si>
  <si>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</si>
  <si>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</si>
  <si>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</si>
  <si>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</si>
  <si>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</si>
  <si>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</si>
  <si>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</si>
  <si>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</si>
  <si>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</si>
  <si>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</si>
  <si>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</si>
  <si>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</si>
  <si>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</si>
  <si>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</si>
  <si>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</si>
  <si>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</si>
  <si>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</si>
  <si>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</si>
  <si>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</si>
  <si>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</si>
  <si>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</si>
  <si>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</si>
  <si>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</si>
  <si>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</si>
  <si>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</si>
  <si>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</si>
  <si>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</si>
  <si>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</si>
  <si>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</si>
  <si>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</si>
  <si>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</si>
  <si>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</si>
  <si>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</si>
  <si>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</si>
  <si>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</si>
  <si>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</si>
  <si>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</si>
  <si>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</si>
  <si>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</si>
  <si>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</si>
  <si>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</si>
  <si>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</si>
  <si>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</si>
  <si>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</si>
  <si>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</si>
  <si>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</si>
  <si>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</si>
  <si>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</si>
  <si>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</si>
  <si>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</si>
  <si>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</si>
  <si>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</si>
  <si>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</si>
  <si>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</si>
  <si>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</si>
  <si>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</si>
  <si>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</si>
  <si>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</si>
  <si>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</si>
  <si>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</si>
  <si>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</si>
  <si>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</si>
  <si>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</si>
  <si>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</si>
  <si>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</si>
  <si>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</si>
  <si>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</si>
  <si>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</si>
  <si>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</si>
  <si>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</si>
  <si>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</si>
  <si>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</si>
  <si>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</si>
  <si>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</si>
  <si>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</si>
  <si>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24009</t>
  </si>
  <si>
    <t>BERTEM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</si>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</sst>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79175.011020841848</c:v>
                </c:pt>
                <c:pt idx="1">
                  <c:v>19088.064471099719</c:v>
                </c:pt>
                <c:pt idx="2">
                  <c:v>522.17600000000004</c:v>
                </c:pt>
                <c:pt idx="3">
                  <c:v>1360.4401922274817</c:v>
                </c:pt>
                <c:pt idx="4">
                  <c:v>1960.2585156405073</c:v>
                </c:pt>
                <c:pt idx="5">
                  <c:v>220402.8447087736</c:v>
                </c:pt>
                <c:pt idx="6">
                  <c:v>3295.3464227267291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79175.011020841848</c:v>
                </c:pt>
                <c:pt idx="1">
                  <c:v>19088.064471099719</c:v>
                </c:pt>
                <c:pt idx="2">
                  <c:v>522.17600000000004</c:v>
                </c:pt>
                <c:pt idx="3">
                  <c:v>1360.4401922274817</c:v>
                </c:pt>
                <c:pt idx="4">
                  <c:v>1960.2585156405073</c:v>
                </c:pt>
                <c:pt idx="5">
                  <c:v>220402.8447087736</c:v>
                </c:pt>
                <c:pt idx="6">
                  <c:v>3295.3464227267291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16017.863444642855</c:v>
                </c:pt>
                <c:pt idx="1">
                  <c:v>3507.9783585307455</c:v>
                </c:pt>
                <c:pt idx="2">
                  <c:v>105.57642385243334</c:v>
                </c:pt>
                <c:pt idx="3">
                  <c:v>338.12106581191415</c:v>
                </c:pt>
                <c:pt idx="4">
                  <c:v>413.59385032703358</c:v>
                </c:pt>
                <c:pt idx="5">
                  <c:v>54787.421446942652</c:v>
                </c:pt>
                <c:pt idx="6">
                  <c:v>833.53672049449119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16017.863444642855</c:v>
                </c:pt>
                <c:pt idx="1">
                  <c:v>3507.9783585307455</c:v>
                </c:pt>
                <c:pt idx="2">
                  <c:v>105.57642385243334</c:v>
                </c:pt>
                <c:pt idx="3">
                  <c:v>338.12106581191415</c:v>
                </c:pt>
                <c:pt idx="4">
                  <c:v>413.59385032703358</c:v>
                </c:pt>
                <c:pt idx="5">
                  <c:v>54787.421446942652</c:v>
                </c:pt>
                <c:pt idx="6">
                  <c:v>833.53672049449119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24009</v>
      </c>
      <c r="B6" s="390"/>
      <c r="C6" s="391"/>
    </row>
    <row r="7" spans="1:7" s="388" customFormat="1" ht="15.75" customHeight="1">
      <c r="A7" s="392" t="str">
        <f>txtMunicipality</f>
        <v>BERTEM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0.20218551571200769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0.20218551571200769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3850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1838.94</v>
      </c>
      <c r="C14" s="330"/>
      <c r="D14" s="330"/>
      <c r="E14" s="330"/>
      <c r="F14" s="330"/>
    </row>
    <row r="15" spans="1:6">
      <c r="A15" s="1298" t="s">
        <v>183</v>
      </c>
      <c r="B15" s="1299">
        <v>4</v>
      </c>
      <c r="C15" s="330"/>
      <c r="D15" s="330"/>
      <c r="E15" s="330"/>
      <c r="F15" s="330"/>
    </row>
    <row r="16" spans="1:6">
      <c r="A16" s="1298" t="s">
        <v>6</v>
      </c>
      <c r="B16" s="1299">
        <v>90</v>
      </c>
      <c r="C16" s="330"/>
      <c r="D16" s="330"/>
      <c r="E16" s="330"/>
      <c r="F16" s="330"/>
    </row>
    <row r="17" spans="1:6">
      <c r="A17" s="1298" t="s">
        <v>7</v>
      </c>
      <c r="B17" s="1299">
        <v>368</v>
      </c>
      <c r="C17" s="330"/>
      <c r="D17" s="330"/>
      <c r="E17" s="330"/>
      <c r="F17" s="330"/>
    </row>
    <row r="18" spans="1:6">
      <c r="A18" s="1298" t="s">
        <v>8</v>
      </c>
      <c r="B18" s="1299">
        <v>427</v>
      </c>
      <c r="C18" s="330"/>
      <c r="D18" s="330"/>
      <c r="E18" s="330"/>
      <c r="F18" s="330"/>
    </row>
    <row r="19" spans="1:6">
      <c r="A19" s="1298" t="s">
        <v>9</v>
      </c>
      <c r="B19" s="1299">
        <v>300</v>
      </c>
      <c r="C19" s="330"/>
      <c r="D19" s="330"/>
      <c r="E19" s="330"/>
      <c r="F19" s="330"/>
    </row>
    <row r="20" spans="1:6">
      <c r="A20" s="1298" t="s">
        <v>10</v>
      </c>
      <c r="B20" s="1299">
        <v>416</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103</v>
      </c>
      <c r="C26" s="330"/>
      <c r="D26" s="330"/>
      <c r="E26" s="330"/>
      <c r="F26" s="330"/>
    </row>
    <row r="27" spans="1:6">
      <c r="A27" s="1298" t="s">
        <v>17</v>
      </c>
      <c r="B27" s="1299">
        <v>2</v>
      </c>
      <c r="C27" s="330"/>
      <c r="D27" s="330"/>
      <c r="E27" s="330"/>
      <c r="F27" s="330"/>
    </row>
    <row r="28" spans="1:6" s="43" customFormat="1">
      <c r="A28" s="1300" t="s">
        <v>18</v>
      </c>
      <c r="B28" s="1301">
        <v>0</v>
      </c>
      <c r="C28" s="336"/>
      <c r="D28" s="336"/>
      <c r="E28" s="336"/>
      <c r="F28" s="336"/>
    </row>
    <row r="29" spans="1:6">
      <c r="A29" s="1300" t="s">
        <v>705</v>
      </c>
      <c r="B29" s="1301">
        <v>50</v>
      </c>
      <c r="C29" s="336"/>
      <c r="D29" s="336"/>
      <c r="E29" s="336"/>
      <c r="F29" s="336"/>
    </row>
    <row r="30" spans="1:6">
      <c r="A30" s="1293" t="s">
        <v>706</v>
      </c>
      <c r="B30" s="1302">
        <v>35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3093</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2303</v>
      </c>
      <c r="D39" s="1299">
        <v>41219129.460000001</v>
      </c>
      <c r="E39" s="1299">
        <v>3766</v>
      </c>
      <c r="F39" s="1299">
        <v>14241400.789999999</v>
      </c>
    </row>
    <row r="40" spans="1:6">
      <c r="A40" s="1298" t="s">
        <v>29</v>
      </c>
      <c r="B40" s="1298" t="s">
        <v>28</v>
      </c>
      <c r="C40" s="1299">
        <v>0</v>
      </c>
      <c r="D40" s="1299">
        <v>0</v>
      </c>
      <c r="E40" s="1299">
        <v>0</v>
      </c>
      <c r="F40" s="1299">
        <v>0</v>
      </c>
    </row>
    <row r="41" spans="1:6">
      <c r="A41" s="1298" t="s">
        <v>31</v>
      </c>
      <c r="B41" s="1298" t="s">
        <v>32</v>
      </c>
      <c r="C41" s="1299">
        <v>9</v>
      </c>
      <c r="D41" s="1299">
        <v>92380.78</v>
      </c>
      <c r="E41" s="1299">
        <v>44</v>
      </c>
      <c r="F41" s="1299">
        <v>332693.43099999998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56732.997000000003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20</v>
      </c>
      <c r="D48" s="1299">
        <v>711309.73899999994</v>
      </c>
      <c r="E48" s="1299">
        <v>25</v>
      </c>
      <c r="F48" s="1299">
        <v>337388.67300000001</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16078.42</v>
      </c>
    </row>
    <row r="51" spans="1:6">
      <c r="A51" s="1298" t="s">
        <v>41</v>
      </c>
      <c r="B51" s="1298" t="s">
        <v>42</v>
      </c>
      <c r="C51" s="1299">
        <v>3</v>
      </c>
      <c r="D51" s="1299">
        <v>96708.581999999995</v>
      </c>
      <c r="E51" s="1299">
        <v>18</v>
      </c>
      <c r="F51" s="1299">
        <v>103183.10400000001</v>
      </c>
    </row>
    <row r="52" spans="1:6">
      <c r="A52" s="1298" t="s">
        <v>41</v>
      </c>
      <c r="B52" s="1298" t="s">
        <v>28</v>
      </c>
      <c r="C52" s="1299">
        <v>6</v>
      </c>
      <c r="D52" s="1299">
        <v>164908.859</v>
      </c>
      <c r="E52" s="1299">
        <v>15</v>
      </c>
      <c r="F52" s="1299">
        <v>129103.894</v>
      </c>
    </row>
    <row r="53" spans="1:6">
      <c r="A53" s="1298" t="s">
        <v>43</v>
      </c>
      <c r="B53" s="1298" t="s">
        <v>44</v>
      </c>
      <c r="C53" s="1299">
        <v>42</v>
      </c>
      <c r="D53" s="1299">
        <v>731217.00600000005</v>
      </c>
      <c r="E53" s="1299">
        <v>107</v>
      </c>
      <c r="F53" s="1299">
        <v>417236.84499999997</v>
      </c>
    </row>
    <row r="54" spans="1:6">
      <c r="A54" s="1298" t="s">
        <v>45</v>
      </c>
      <c r="B54" s="1298" t="s">
        <v>46</v>
      </c>
      <c r="C54" s="1299">
        <v>0</v>
      </c>
      <c r="D54" s="1299">
        <v>0</v>
      </c>
      <c r="E54" s="1299">
        <v>1</v>
      </c>
      <c r="F54" s="1299">
        <v>522176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v>
      </c>
      <c r="D57" s="1299">
        <v>378216.68099999998</v>
      </c>
      <c r="E57" s="1299">
        <v>30</v>
      </c>
      <c r="F57" s="1299">
        <v>2753007.61</v>
      </c>
    </row>
    <row r="58" spans="1:6">
      <c r="A58" s="1298" t="s">
        <v>48</v>
      </c>
      <c r="B58" s="1298" t="s">
        <v>50</v>
      </c>
      <c r="C58" s="1299">
        <v>8</v>
      </c>
      <c r="D58" s="1299">
        <v>1143506.2120000001</v>
      </c>
      <c r="E58" s="1299">
        <v>12</v>
      </c>
      <c r="F58" s="1299">
        <v>785750.13600000006</v>
      </c>
    </row>
    <row r="59" spans="1:6">
      <c r="A59" s="1298" t="s">
        <v>48</v>
      </c>
      <c r="B59" s="1298" t="s">
        <v>51</v>
      </c>
      <c r="C59" s="1299">
        <v>7</v>
      </c>
      <c r="D59" s="1299">
        <v>360009.75799999997</v>
      </c>
      <c r="E59" s="1299">
        <v>39</v>
      </c>
      <c r="F59" s="1299">
        <v>805579.99100000004</v>
      </c>
    </row>
    <row r="60" spans="1:6">
      <c r="A60" s="1298" t="s">
        <v>48</v>
      </c>
      <c r="B60" s="1298" t="s">
        <v>52</v>
      </c>
      <c r="C60" s="1299">
        <v>22</v>
      </c>
      <c r="D60" s="1299">
        <v>705502.32499999995</v>
      </c>
      <c r="E60" s="1299">
        <v>27</v>
      </c>
      <c r="F60" s="1299">
        <v>389460.93300000002</v>
      </c>
    </row>
    <row r="61" spans="1:6">
      <c r="A61" s="1298" t="s">
        <v>48</v>
      </c>
      <c r="B61" s="1298" t="s">
        <v>53</v>
      </c>
      <c r="C61" s="1299">
        <v>60</v>
      </c>
      <c r="D61" s="1299">
        <v>3167858.699</v>
      </c>
      <c r="E61" s="1299">
        <v>127</v>
      </c>
      <c r="F61" s="1299">
        <v>1137603.898</v>
      </c>
    </row>
    <row r="62" spans="1:6">
      <c r="A62" s="1298" t="s">
        <v>48</v>
      </c>
      <c r="B62" s="1298" t="s">
        <v>54</v>
      </c>
      <c r="C62" s="1299">
        <v>0</v>
      </c>
      <c r="D62" s="1299">
        <v>0</v>
      </c>
      <c r="E62" s="1299">
        <v>0</v>
      </c>
      <c r="F62" s="1299">
        <v>0</v>
      </c>
    </row>
    <row r="63" spans="1:6">
      <c r="A63" s="1298" t="s">
        <v>48</v>
      </c>
      <c r="B63" s="1298" t="s">
        <v>28</v>
      </c>
      <c r="C63" s="1299">
        <v>83</v>
      </c>
      <c r="D63" s="1299">
        <v>2634811.5559999999</v>
      </c>
      <c r="E63" s="1299">
        <v>127</v>
      </c>
      <c r="F63" s="1299">
        <v>2465783.2149999999</v>
      </c>
    </row>
    <row r="64" spans="1:6">
      <c r="A64" s="1298" t="s">
        <v>55</v>
      </c>
      <c r="B64" s="1298" t="s">
        <v>56</v>
      </c>
      <c r="C64" s="1299">
        <v>0</v>
      </c>
      <c r="D64" s="1299">
        <v>0</v>
      </c>
      <c r="E64" s="1299">
        <v>0</v>
      </c>
      <c r="F64" s="1299">
        <v>0</v>
      </c>
    </row>
    <row r="65" spans="1:6">
      <c r="A65" s="1298" t="s">
        <v>55</v>
      </c>
      <c r="B65" s="1298" t="s">
        <v>28</v>
      </c>
      <c r="C65" s="1299">
        <v>2</v>
      </c>
      <c r="D65" s="1299">
        <v>58381.84</v>
      </c>
      <c r="E65" s="1299">
        <v>2</v>
      </c>
      <c r="F65" s="1299">
        <v>14879.32</v>
      </c>
    </row>
    <row r="66" spans="1:6">
      <c r="A66" s="1298" t="s">
        <v>55</v>
      </c>
      <c r="B66" s="1298" t="s">
        <v>57</v>
      </c>
      <c r="C66" s="1299">
        <v>0</v>
      </c>
      <c r="D66" s="1299">
        <v>0</v>
      </c>
      <c r="E66" s="1299">
        <v>6</v>
      </c>
      <c r="F66" s="1299">
        <v>679678.03399999999</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88452.866999999998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41998002</v>
      </c>
      <c r="E73" s="450"/>
      <c r="F73" s="330"/>
    </row>
    <row r="74" spans="1:6">
      <c r="A74" s="1298" t="s">
        <v>63</v>
      </c>
      <c r="B74" s="1298" t="s">
        <v>647</v>
      </c>
      <c r="C74" s="1312" t="s">
        <v>649</v>
      </c>
      <c r="D74" s="1313">
        <v>567178.5</v>
      </c>
      <c r="E74" s="450"/>
      <c r="F74" s="330"/>
    </row>
    <row r="75" spans="1:6">
      <c r="A75" s="1298" t="s">
        <v>64</v>
      </c>
      <c r="B75" s="1298" t="s">
        <v>646</v>
      </c>
      <c r="C75" s="1312" t="s">
        <v>650</v>
      </c>
      <c r="D75" s="1313">
        <v>32194132</v>
      </c>
      <c r="E75" s="450"/>
      <c r="F75" s="330"/>
    </row>
    <row r="76" spans="1:6">
      <c r="A76" s="1298" t="s">
        <v>64</v>
      </c>
      <c r="B76" s="1298" t="s">
        <v>647</v>
      </c>
      <c r="C76" s="1312" t="s">
        <v>651</v>
      </c>
      <c r="D76" s="1313">
        <v>390356.5</v>
      </c>
      <c r="E76" s="450"/>
      <c r="F76" s="330"/>
    </row>
    <row r="77" spans="1:6">
      <c r="A77" s="1298" t="s">
        <v>65</v>
      </c>
      <c r="B77" s="1298" t="s">
        <v>646</v>
      </c>
      <c r="C77" s="1312" t="s">
        <v>652</v>
      </c>
      <c r="D77" s="1313">
        <v>176371048</v>
      </c>
      <c r="E77" s="450"/>
      <c r="F77" s="330"/>
    </row>
    <row r="78" spans="1:6">
      <c r="A78" s="1293" t="s">
        <v>65</v>
      </c>
      <c r="B78" s="1293" t="s">
        <v>647</v>
      </c>
      <c r="C78" s="1293" t="s">
        <v>653</v>
      </c>
      <c r="D78" s="1314">
        <v>16750503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904599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2208.7079119550594</v>
      </c>
      <c r="C91" s="330"/>
      <c r="D91" s="330"/>
      <c r="E91" s="330"/>
      <c r="F91" s="330"/>
    </row>
    <row r="92" spans="1:6">
      <c r="A92" s="1293" t="s">
        <v>68</v>
      </c>
      <c r="B92" s="1294">
        <v>74.716869347889372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1057</v>
      </c>
      <c r="C97" s="330"/>
      <c r="D97" s="330"/>
      <c r="E97" s="330"/>
      <c r="F97" s="330"/>
    </row>
    <row r="98" spans="1:6">
      <c r="A98" s="1298" t="s">
        <v>71</v>
      </c>
      <c r="B98" s="1299">
        <v>0</v>
      </c>
      <c r="C98" s="330"/>
      <c r="D98" s="330"/>
      <c r="E98" s="330"/>
      <c r="F98" s="330"/>
    </row>
    <row r="99" spans="1:6">
      <c r="A99" s="1298" t="s">
        <v>72</v>
      </c>
      <c r="B99" s="1299">
        <v>29</v>
      </c>
      <c r="C99" s="330"/>
      <c r="D99" s="330"/>
      <c r="E99" s="330"/>
      <c r="F99" s="330"/>
    </row>
    <row r="100" spans="1:6">
      <c r="A100" s="1298" t="s">
        <v>73</v>
      </c>
      <c r="B100" s="1299">
        <v>199</v>
      </c>
      <c r="C100" s="330"/>
      <c r="D100" s="330"/>
      <c r="E100" s="330"/>
      <c r="F100" s="330"/>
    </row>
    <row r="101" spans="1:6">
      <c r="A101" s="1298" t="s">
        <v>74</v>
      </c>
      <c r="B101" s="1299">
        <v>23</v>
      </c>
      <c r="C101" s="330"/>
      <c r="D101" s="330"/>
      <c r="E101" s="330"/>
      <c r="F101" s="330"/>
    </row>
    <row r="102" spans="1:6">
      <c r="A102" s="1298" t="s">
        <v>75</v>
      </c>
      <c r="B102" s="1299">
        <v>35</v>
      </c>
      <c r="C102" s="330"/>
      <c r="D102" s="330"/>
      <c r="E102" s="330"/>
      <c r="F102" s="330"/>
    </row>
    <row r="103" spans="1:6">
      <c r="A103" s="1298" t="s">
        <v>76</v>
      </c>
      <c r="B103" s="1299">
        <v>76</v>
      </c>
      <c r="C103" s="330"/>
      <c r="D103" s="330"/>
      <c r="E103" s="330"/>
      <c r="F103" s="330"/>
    </row>
    <row r="104" spans="1:6">
      <c r="A104" s="1298" t="s">
        <v>77</v>
      </c>
      <c r="B104" s="1299">
        <v>1854</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20</v>
      </c>
      <c r="C123" s="1299">
        <v>18</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94</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26821.722506102305</v>
      </c>
      <c r="C3" s="43" t="s">
        <v>169</v>
      </c>
      <c r="D3" s="43"/>
      <c r="E3" s="154"/>
      <c r="F3" s="43"/>
      <c r="G3" s="43"/>
      <c r="H3" s="43"/>
      <c r="I3" s="43"/>
      <c r="J3" s="43"/>
      <c r="K3" s="96"/>
    </row>
    <row r="4" spans="1:11">
      <c r="A4" s="358" t="s">
        <v>170</v>
      </c>
      <c r="B4" s="49">
        <f>IF(ISERROR('SEAP template'!B78+'SEAP template'!C78),0,'SEAP template'!B78+'SEAP template'!C78)</f>
        <v>2283.4247813029488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0.20218551571200769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522.17600000000004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522.17600000000004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0.20218551571200769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105.57642385243334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14241.40079</v>
      </c>
      <c r="C5" s="17">
        <f>IF(ISERROR('Eigen informatie GS &amp; warmtenet'!B59),0,'Eigen informatie GS &amp; warmtenet'!B59)</f>
        <v>0</v>
      </c>
      <c r="D5" s="30">
        <f>(SUM(HH_hh_gas_kWh,HH_rest_gas_kWh)/1000)*0.902</f>
        <v>37179.654772920003</v>
      </c>
      <c r="E5" s="17">
        <f>B46*B57</f>
        <v>4942.9682388496294</v>
      </c>
      <c r="F5" s="17">
        <f>B51*B62</f>
        <v>15204.29093210029</v>
      </c>
      <c r="G5" s="18"/>
      <c r="H5" s="17"/>
      <c r="I5" s="17"/>
      <c r="J5" s="17">
        <f>B50*B61+C50*C61</f>
        <v>0</v>
      </c>
      <c r="K5" s="17"/>
      <c r="L5" s="17"/>
      <c r="M5" s="17"/>
      <c r="N5" s="17">
        <f>B48*B59+C48*C59</f>
        <v>4891.3681531380153</v>
      </c>
      <c r="O5" s="17">
        <f>B69*B70*B71</f>
        <v>222.20332057134758</v>
      </c>
      <c r="P5" s="17">
        <f>B77*B78*B79/1000-B77*B78*B79/1000/B80</f>
        <v>284.41690130749561</v>
      </c>
    </row>
    <row r="6" spans="1:16">
      <c r="A6" s="16" t="s">
        <v>611</v>
      </c>
      <c r="B6" s="783">
        <f>kWh_PV_kleiner_dan_10kW</f>
        <v>2208.7079119550594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16450.108701955058</v>
      </c>
      <c r="C8" s="21">
        <f>C5</f>
        <v>0</v>
      </c>
      <c r="D8" s="21">
        <f>D5</f>
        <v>37179.654772920003</v>
      </c>
      <c r="E8" s="21">
        <f>E5</f>
        <v>4942.9682388496294</v>
      </c>
      <c r="F8" s="21">
        <f>F5</f>
        <v>15204.29093210029</v>
      </c>
      <c r="G8" s="21"/>
      <c r="H8" s="21"/>
      <c r="I8" s="21"/>
      <c r="J8" s="21">
        <f>J5</f>
        <v>0</v>
      </c>
      <c r="K8" s="21"/>
      <c r="L8" s="21">
        <f>L5</f>
        <v>0</v>
      </c>
      <c r="M8" s="21">
        <f>M5</f>
        <v>0</v>
      </c>
      <c r="N8" s="21">
        <f>N5</f>
        <v>4891.3681531380153</v>
      </c>
      <c r="O8" s="21">
        <f>O5</f>
        <v>222.20332057134758</v>
      </c>
      <c r="P8" s="21">
        <f>P5</f>
        <v>284.41690130749561</v>
      </c>
    </row>
    <row r="9" spans="1:16">
      <c r="B9" s="19"/>
      <c r="C9" s="19"/>
      <c r="D9" s="258"/>
      <c r="E9" s="19"/>
      <c r="F9" s="19"/>
      <c r="G9" s="19"/>
      <c r="H9" s="19"/>
      <c r="I9" s="19"/>
      <c r="J9" s="19"/>
      <c r="K9" s="19"/>
      <c r="L9" s="19"/>
      <c r="M9" s="19"/>
      <c r="N9" s="19"/>
      <c r="O9" s="19"/>
      <c r="P9" s="19"/>
    </row>
    <row r="10" spans="1:16">
      <c r="A10" s="24" t="s">
        <v>213</v>
      </c>
      <c r="B10" s="25">
        <f ca="1">'EF ele_warmte'!B12</f>
        <v>0.20218551571200769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3325.9737114233685</v>
      </c>
      <c r="C12" s="23">
        <f ca="1">C10*C8</f>
        <v>0</v>
      </c>
      <c r="D12" s="23">
        <f>D8*D10</f>
        <v>7510.2902641298415</v>
      </c>
      <c r="E12" s="23">
        <f>E10*E8</f>
        <v>1122.053790218866</v>
      </c>
      <c r="F12" s="23">
        <f>F10*F8</f>
        <v>4059.5456788707775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1057</v>
      </c>
      <c r="C18" s="166" t="s">
        <v>110</v>
      </c>
      <c r="D18" s="228"/>
      <c r="E18" s="15"/>
    </row>
    <row r="19" spans="1:7">
      <c r="A19" s="171" t="s">
        <v>71</v>
      </c>
      <c r="B19" s="37">
        <f>aantalw2001_ander</f>
        <v>0</v>
      </c>
      <c r="C19" s="166" t="s">
        <v>110</v>
      </c>
      <c r="D19" s="229"/>
      <c r="E19" s="15"/>
    </row>
    <row r="20" spans="1:7">
      <c r="A20" s="171" t="s">
        <v>72</v>
      </c>
      <c r="B20" s="37">
        <f>aantalw2001_propaan</f>
        <v>29</v>
      </c>
      <c r="C20" s="167">
        <f>IF(ISERROR(B20/SUM($B$20,$B$21,$B$22)*100),0,B20/SUM($B$20,$B$21,$B$22)*100)</f>
        <v>11.553784860557768</v>
      </c>
      <c r="D20" s="229"/>
      <c r="E20" s="15"/>
    </row>
    <row r="21" spans="1:7">
      <c r="A21" s="171" t="s">
        <v>73</v>
      </c>
      <c r="B21" s="37">
        <f>aantalw2001_elektriciteit</f>
        <v>199</v>
      </c>
      <c r="C21" s="167">
        <f>IF(ISERROR(B21/SUM($B$20,$B$21,$B$22)*100),0,B21/SUM($B$20,$B$21,$B$22)*100)</f>
        <v>79.282868525896404</v>
      </c>
      <c r="D21" s="229"/>
      <c r="E21" s="15"/>
    </row>
    <row r="22" spans="1:7">
      <c r="A22" s="171" t="s">
        <v>74</v>
      </c>
      <c r="B22" s="37">
        <f>aantalw2001_hout</f>
        <v>23</v>
      </c>
      <c r="C22" s="167">
        <f>IF(ISERROR(B22/SUM($B$20,$B$21,$B$22)*100),0,B22/SUM($B$20,$B$21,$B$22)*100)</f>
        <v>9.1633466135458175</v>
      </c>
      <c r="D22" s="229"/>
      <c r="E22" s="15"/>
    </row>
    <row r="23" spans="1:7">
      <c r="A23" s="171" t="s">
        <v>75</v>
      </c>
      <c r="B23" s="37">
        <f>aantalw2001_niet_gespec</f>
        <v>35</v>
      </c>
      <c r="C23" s="166" t="s">
        <v>110</v>
      </c>
      <c r="D23" s="228"/>
      <c r="E23" s="15"/>
    </row>
    <row r="24" spans="1:7">
      <c r="A24" s="171" t="s">
        <v>76</v>
      </c>
      <c r="B24" s="37">
        <f>aantalw2001_steenkool</f>
        <v>76</v>
      </c>
      <c r="C24" s="166" t="s">
        <v>110</v>
      </c>
      <c r="D24" s="229"/>
      <c r="E24" s="15"/>
    </row>
    <row r="25" spans="1:7">
      <c r="A25" s="171" t="s">
        <v>77</v>
      </c>
      <c r="B25" s="37">
        <f>aantalw2001_stookolie</f>
        <v>1854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3850</v>
      </c>
      <c r="C28" s="36"/>
      <c r="D28" s="228"/>
    </row>
    <row r="29" spans="1:7" s="15" customFormat="1">
      <c r="A29" s="230" t="s">
        <v>819</v>
      </c>
      <c r="B29" s="37">
        <f>SUM(HH_hh_gas_aantal,HH_rest_gas_aantal)</f>
        <v>2303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2303</v>
      </c>
      <c r="C32" s="167">
        <f>IF(ISERROR(B32/SUM($B$32,$B$34,$B$35,$B$36,$B$38,$B$39)*100),0,B32/SUM($B$32,$B$34,$B$35,$B$36,$B$38,$B$39)*100)</f>
        <v>60.240648705205338</v>
      </c>
      <c r="D32" s="233"/>
      <c r="G32" s="15"/>
    </row>
    <row r="33" spans="1:7">
      <c r="A33" s="171" t="s">
        <v>71</v>
      </c>
      <c r="B33" s="34" t="s">
        <v>110</v>
      </c>
      <c r="C33" s="167"/>
      <c r="D33" s="233"/>
      <c r="G33" s="15"/>
    </row>
    <row r="34" spans="1:7">
      <c r="A34" s="171" t="s">
        <v>72</v>
      </c>
      <c r="B34" s="33">
        <f>IF((($B$28-$B$32-$B$39-$B$77-$B$38)*C20/100)&lt;0,0,($B$28-$B$32-$B$39-$B$77-$B$38)*C20/100)</f>
        <v>90.974501992031875</v>
      </c>
      <c r="C34" s="167">
        <f>IF(ISERROR(B34/SUM($B$32,$B$34,$B$35,$B$36,$B$38,$B$39)*100),0,B34/SUM($B$32,$B$34,$B$35,$B$36,$B$38,$B$39)*100)</f>
        <v>2.3796626207698632</v>
      </c>
      <c r="D34" s="233"/>
      <c r="G34" s="15"/>
    </row>
    <row r="35" spans="1:7">
      <c r="A35" s="171" t="s">
        <v>73</v>
      </c>
      <c r="B35" s="33">
        <f>IF((($B$28-$B$32-$B$39-$B$77-$B$38)*C21/100)&lt;0,0,($B$28-$B$32-$B$39-$B$77-$B$38)*C21/100)</f>
        <v>624.27330677290831</v>
      </c>
      <c r="C35" s="167">
        <f>IF(ISERROR(B35/SUM($B$32,$B$34,$B$35,$B$36,$B$38,$B$39)*100),0,B35/SUM($B$32,$B$34,$B$35,$B$36,$B$38,$B$39)*100)</f>
        <v>16.329409018386301</v>
      </c>
      <c r="D35" s="233"/>
      <c r="G35" s="15"/>
    </row>
    <row r="36" spans="1:7">
      <c r="A36" s="171" t="s">
        <v>74</v>
      </c>
      <c r="B36" s="33">
        <f>IF((($B$28-$B$32-$B$39-$B$77-$B$38)*C22/100)&lt;0,0,($B$28-$B$32-$B$39-$B$77-$B$38)*C22/100)</f>
        <v>72.152191235059774</v>
      </c>
      <c r="C36" s="167">
        <f>IF(ISERROR(B36/SUM($B$32,$B$34,$B$35,$B$36,$B$38,$B$39)*100),0,B36/SUM($B$32,$B$34,$B$35,$B$36,$B$38,$B$39)*100)</f>
        <v>1.8873186302657539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732.59999999999991</v>
      </c>
      <c r="C39" s="167">
        <f>IF(ISERROR(B39/SUM($B$32,$B$34,$B$35,$B$36,$B$38,$B$39)*100),0,B39/SUM($B$32,$B$34,$B$35,$B$36,$B$38,$B$39)*100)</f>
        <v>19.162961025372741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2303</v>
      </c>
      <c r="C44" s="34" t="s">
        <v>110</v>
      </c>
      <c r="D44" s="174"/>
    </row>
    <row r="45" spans="1:7">
      <c r="A45" s="171" t="s">
        <v>71</v>
      </c>
      <c r="B45" s="33" t="str">
        <f t="shared" si="0"/>
        <v>-</v>
      </c>
      <c r="C45" s="34" t="s">
        <v>110</v>
      </c>
      <c r="D45" s="174"/>
    </row>
    <row r="46" spans="1:7">
      <c r="A46" s="171" t="s">
        <v>72</v>
      </c>
      <c r="B46" s="33">
        <f t="shared" si="0"/>
        <v>90.974501992031875</v>
      </c>
      <c r="C46" s="34" t="s">
        <v>110</v>
      </c>
      <c r="D46" s="174"/>
    </row>
    <row r="47" spans="1:7">
      <c r="A47" s="171" t="s">
        <v>73</v>
      </c>
      <c r="B47" s="33">
        <f t="shared" si="0"/>
        <v>624.27330677290831</v>
      </c>
      <c r="C47" s="34" t="s">
        <v>110</v>
      </c>
      <c r="D47" s="174"/>
    </row>
    <row r="48" spans="1:7">
      <c r="A48" s="171" t="s">
        <v>74</v>
      </c>
      <c r="B48" s="33">
        <f t="shared" si="0"/>
        <v>72.152191235059774</v>
      </c>
      <c r="C48" s="33">
        <f>B48*10</f>
        <v>721.52191235059774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732.59999999999991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8337.185782999999</v>
      </c>
      <c r="C5" s="17">
        <f>IF(ISERROR('Eigen informatie GS &amp; warmtenet'!B60),0,'Eigen informatie GS &amp; warmtenet'!B60)</f>
        <v>0</v>
      </c>
      <c r="D5" s="30">
        <f>SUM(D6:D12)</f>
        <v>7567.6945183619991</v>
      </c>
      <c r="E5" s="17">
        <f>SUM(E6:E12)</f>
        <v>72.500915249105248</v>
      </c>
      <c r="F5" s="17">
        <f>SUM(F6:F12)</f>
        <v>1038.0896398190048</v>
      </c>
      <c r="G5" s="18"/>
      <c r="H5" s="17"/>
      <c r="I5" s="17"/>
      <c r="J5" s="17">
        <f>SUM(J6:J12)</f>
        <v>5.1460750640690306E-2</v>
      </c>
      <c r="K5" s="17"/>
      <c r="L5" s="17"/>
      <c r="M5" s="17"/>
      <c r="N5" s="17">
        <f>SUM(N6:N12)</f>
        <v>2015.1057548466329</v>
      </c>
      <c r="O5" s="17">
        <f>B38*B39*B40</f>
        <v>4.8972607658411542</v>
      </c>
      <c r="P5" s="17">
        <f>B46*B47*B48/1000-B46*B47*B48/1000/B49</f>
        <v>52.539138306495019</v>
      </c>
      <c r="R5" s="32"/>
    </row>
    <row r="6" spans="1:18">
      <c r="A6" s="32" t="s">
        <v>53</v>
      </c>
      <c r="B6" s="37">
        <f>B26</f>
        <v>1137.6038980000001</v>
      </c>
      <c r="C6" s="33"/>
      <c r="D6" s="37">
        <f>IF(ISERROR(TER_kantoor_gas_kWh/1000),0,TER_kantoor_gas_kWh/1000)*0.902</f>
        <v>2857.4085464979999</v>
      </c>
      <c r="E6" s="33">
        <f>$C$26*'E Balans VL '!I12/100/3.6*1000000</f>
        <v>9.1539338226608518</v>
      </c>
      <c r="F6" s="33">
        <f>$C$26*('E Balans VL '!L12+'E Balans VL '!N12)/100/3.6*1000000</f>
        <v>139.08404374036886</v>
      </c>
      <c r="G6" s="34"/>
      <c r="H6" s="33"/>
      <c r="I6" s="33"/>
      <c r="J6" s="33">
        <f>$C$26*('E Balans VL '!D12+'E Balans VL '!E12)/100/3.6*1000000</f>
        <v>0</v>
      </c>
      <c r="K6" s="33"/>
      <c r="L6" s="33"/>
      <c r="M6" s="33"/>
      <c r="N6" s="33">
        <f>$C$26*'E Balans VL '!Y12/100/3.6*1000000</f>
        <v>0.61140607424642057</v>
      </c>
      <c r="O6" s="33"/>
      <c r="P6" s="33"/>
      <c r="R6" s="32"/>
    </row>
    <row r="7" spans="1:18">
      <c r="A7" s="32" t="s">
        <v>52</v>
      </c>
      <c r="B7" s="37">
        <f t="shared" ref="B7:B12" si="0">B27</f>
        <v>389.46093300000001</v>
      </c>
      <c r="C7" s="33"/>
      <c r="D7" s="37">
        <f>IF(ISERROR(TER_horeca_gas_kWh/1000),0,TER_horeca_gas_kWh/1000)*0.902</f>
        <v>636.36309714999993</v>
      </c>
      <c r="E7" s="33">
        <f>$C$27*'E Balans VL '!I9/100/3.6*1000000</f>
        <v>4.1818540715653665</v>
      </c>
      <c r="F7" s="33">
        <f>$C$27*('E Balans VL '!L9+'E Balans VL '!N9)/100/3.6*1000000</f>
        <v>46.842706321414916</v>
      </c>
      <c r="G7" s="34"/>
      <c r="H7" s="33"/>
      <c r="I7" s="33"/>
      <c r="J7" s="33">
        <f>$C$27*('E Balans VL '!D9+'E Balans VL '!E9)/100/3.6*1000000</f>
        <v>0</v>
      </c>
      <c r="K7" s="33"/>
      <c r="L7" s="33"/>
      <c r="M7" s="33"/>
      <c r="N7" s="33">
        <f>$C$27*'E Balans VL '!Y9/100/3.6*1000000</f>
        <v>5.8388087313393171E-2</v>
      </c>
      <c r="O7" s="33"/>
      <c r="P7" s="33"/>
      <c r="R7" s="32"/>
    </row>
    <row r="8" spans="1:18">
      <c r="A8" s="6" t="s">
        <v>51</v>
      </c>
      <c r="B8" s="37">
        <f t="shared" si="0"/>
        <v>805.57999100000006</v>
      </c>
      <c r="C8" s="33"/>
      <c r="D8" s="37">
        <f>IF(ISERROR(TER_handel_gas_kWh/1000),0,TER_handel_gas_kWh/1000)*0.902</f>
        <v>324.72880171599996</v>
      </c>
      <c r="E8" s="33">
        <f>$C$28*'E Balans VL '!I13/100/3.6*1000000</f>
        <v>21.619300699222229</v>
      </c>
      <c r="F8" s="33">
        <f>$C$28*('E Balans VL '!L13+'E Balans VL '!N13)/100/3.6*1000000</f>
        <v>76.877159756922367</v>
      </c>
      <c r="G8" s="34"/>
      <c r="H8" s="33"/>
      <c r="I8" s="33"/>
      <c r="J8" s="33">
        <f>$C$28*('E Balans VL '!D13+'E Balans VL '!E13)/100/3.6*1000000</f>
        <v>0</v>
      </c>
      <c r="K8" s="33"/>
      <c r="L8" s="33"/>
      <c r="M8" s="33"/>
      <c r="N8" s="33">
        <f>$C$28*'E Balans VL '!Y13/100/3.6*1000000</f>
        <v>0.31934106818743324</v>
      </c>
      <c r="O8" s="33"/>
      <c r="P8" s="33"/>
      <c r="R8" s="32"/>
    </row>
    <row r="9" spans="1:18">
      <c r="A9" s="32" t="s">
        <v>50</v>
      </c>
      <c r="B9" s="37">
        <f t="shared" si="0"/>
        <v>785.75013600000011</v>
      </c>
      <c r="C9" s="33"/>
      <c r="D9" s="37">
        <f>IF(ISERROR(TER_gezond_gas_kWh/1000),0,TER_gezond_gas_kWh/1000)*0.902</f>
        <v>1031.4426032240001</v>
      </c>
      <c r="E9" s="33">
        <f>$C$29*'E Balans VL '!I10/100/3.6*1000000</f>
        <v>1.4727516062183192</v>
      </c>
      <c r="F9" s="33">
        <f>$C$29*('E Balans VL '!L10+'E Balans VL '!N10)/100/3.6*1000000</f>
        <v>64.595830596763619</v>
      </c>
      <c r="G9" s="34"/>
      <c r="H9" s="33"/>
      <c r="I9" s="33"/>
      <c r="J9" s="33">
        <f>$C$29*('E Balans VL '!D10+'E Balans VL '!E10)/100/3.6*1000000</f>
        <v>0</v>
      </c>
      <c r="K9" s="33"/>
      <c r="L9" s="33"/>
      <c r="M9" s="33"/>
      <c r="N9" s="33">
        <f>$C$29*'E Balans VL '!Y10/100/3.6*1000000</f>
        <v>6.1137223119184849</v>
      </c>
      <c r="O9" s="33"/>
      <c r="P9" s="33"/>
      <c r="R9" s="32"/>
    </row>
    <row r="10" spans="1:18">
      <c r="A10" s="32" t="s">
        <v>49</v>
      </c>
      <c r="B10" s="37">
        <f t="shared" si="0"/>
        <v>2753.0076099999997</v>
      </c>
      <c r="C10" s="33"/>
      <c r="D10" s="37">
        <f>IF(ISERROR(TER_ander_gas_kWh/1000),0,TER_ander_gas_kWh/1000)*0.902</f>
        <v>341.15144626199998</v>
      </c>
      <c r="E10" s="33">
        <f>$C$30*'E Balans VL '!I14/100/3.6*1000000</f>
        <v>4.2437891266100864</v>
      </c>
      <c r="F10" s="33">
        <f>$C$30*('E Balans VL '!L14+'E Balans VL '!N14)/100/3.6*1000000</f>
        <v>427.40519146203508</v>
      </c>
      <c r="G10" s="34"/>
      <c r="H10" s="33"/>
      <c r="I10" s="33"/>
      <c r="J10" s="33">
        <f>$C$30*('E Balans VL '!D14+'E Balans VL '!E14)/100/3.6*1000000</f>
        <v>4.6735207569849627E-2</v>
      </c>
      <c r="K10" s="33"/>
      <c r="L10" s="33"/>
      <c r="M10" s="33"/>
      <c r="N10" s="33">
        <f>$C$30*'E Balans VL '!Y14/100/3.6*1000000</f>
        <v>1821.3016015444109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2465.7832149999999</v>
      </c>
      <c r="C12" s="33"/>
      <c r="D12" s="37">
        <f>IF(ISERROR(TER_rest_gas_kWh/1000),0,TER_rest_gas_kWh/1000)*0.902</f>
        <v>2376.6000235119996</v>
      </c>
      <c r="E12" s="33">
        <f>$C$32*'E Balans VL '!I8/100/3.6*1000000</f>
        <v>31.829285922828397</v>
      </c>
      <c r="F12" s="33">
        <f>$C$32*('E Balans VL '!L8+'E Balans VL '!N8)/100/3.6*1000000</f>
        <v>283.2847079414999</v>
      </c>
      <c r="G12" s="34"/>
      <c r="H12" s="33"/>
      <c r="I12" s="33"/>
      <c r="J12" s="33">
        <f>$C$32*('E Balans VL '!D8+'E Balans VL '!E8)/100/3.6*1000000</f>
        <v>4.7255430708406767E-3</v>
      </c>
      <c r="K12" s="33"/>
      <c r="L12" s="33"/>
      <c r="M12" s="33"/>
      <c r="N12" s="33">
        <f>$C$32*'E Balans VL '!Y8/100/3.6*1000000</f>
        <v>186.70129576055626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8337.185782999999</v>
      </c>
      <c r="C16" s="21">
        <f t="shared" ca="1" si="1"/>
        <v>0</v>
      </c>
      <c r="D16" s="21">
        <f t="shared" ca="1" si="1"/>
        <v>7567.6945183619991</v>
      </c>
      <c r="E16" s="21">
        <f t="shared" si="1"/>
        <v>72.500915249105248</v>
      </c>
      <c r="F16" s="21">
        <f t="shared" ca="1" si="1"/>
        <v>1038.0896398190048</v>
      </c>
      <c r="G16" s="21">
        <f t="shared" si="1"/>
        <v>0</v>
      </c>
      <c r="H16" s="21">
        <f t="shared" si="1"/>
        <v>0</v>
      </c>
      <c r="I16" s="21">
        <f t="shared" si="1"/>
        <v>0</v>
      </c>
      <c r="J16" s="21">
        <f t="shared" si="1"/>
        <v>5.1460750640690306E-2</v>
      </c>
      <c r="K16" s="21">
        <f t="shared" si="1"/>
        <v>0</v>
      </c>
      <c r="L16" s="21">
        <f t="shared" ca="1" si="1"/>
        <v>0</v>
      </c>
      <c r="M16" s="21">
        <f t="shared" si="1"/>
        <v>0</v>
      </c>
      <c r="N16" s="21">
        <f t="shared" ca="1" si="1"/>
        <v>2015.1057548466329</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0.20218551571200769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1685.6582071226735</v>
      </c>
      <c r="C20" s="23">
        <f t="shared" ref="C20:P20" ca="1" si="2">C16*C18</f>
        <v>0</v>
      </c>
      <c r="D20" s="23">
        <f t="shared" ca="1" si="2"/>
        <v>1528.6742927091238</v>
      </c>
      <c r="E20" s="23">
        <f t="shared" si="2"/>
        <v>16.457707761546892</v>
      </c>
      <c r="F20" s="23">
        <f t="shared" ca="1" si="2"/>
        <v>277.16993383167431</v>
      </c>
      <c r="G20" s="23">
        <f t="shared" si="2"/>
        <v>0</v>
      </c>
      <c r="H20" s="23">
        <f t="shared" si="2"/>
        <v>0</v>
      </c>
      <c r="I20" s="23">
        <f t="shared" si="2"/>
        <v>0</v>
      </c>
      <c r="J20" s="23">
        <f t="shared" si="2"/>
        <v>1.8217105726804367E-2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1137.6038980000001</v>
      </c>
      <c r="C26" s="39">
        <f>IF(ISERROR(B26*3.6/1000000/'E Balans VL '!Z12*100),0,B26*3.6/1000000/'E Balans VL '!Z12*100)</f>
        <v>2.413322590802084E-2</v>
      </c>
      <c r="D26" s="237" t="s">
        <v>708</v>
      </c>
      <c r="F26" s="6"/>
    </row>
    <row r="27" spans="1:18">
      <c r="A27" s="231" t="s">
        <v>52</v>
      </c>
      <c r="B27" s="33">
        <f>IF(ISERROR(TER_horeca_ele_kWh/1000),0,TER_horeca_ele_kWh/1000)</f>
        <v>389.46093300000001</v>
      </c>
      <c r="C27" s="39">
        <f>IF(ISERROR(B27*3.6/1000000/'E Balans VL '!Z9*100),0,B27*3.6/1000000/'E Balans VL '!Z9*100)</f>
        <v>2.9329858297128909E-2</v>
      </c>
      <c r="D27" s="237" t="s">
        <v>708</v>
      </c>
      <c r="F27" s="6"/>
    </row>
    <row r="28" spans="1:18">
      <c r="A28" s="171" t="s">
        <v>51</v>
      </c>
      <c r="B28" s="33">
        <f>IF(ISERROR(TER_handel_ele_kWh/1000),0,TER_handel_ele_kWh/1000)</f>
        <v>805.57999100000006</v>
      </c>
      <c r="C28" s="39">
        <f>IF(ISERROR(B28*3.6/1000000/'E Balans VL '!Z13*100),0,B28*3.6/1000000/'E Balans VL '!Z13*100)</f>
        <v>2.338313274611703E-2</v>
      </c>
      <c r="D28" s="237" t="s">
        <v>708</v>
      </c>
      <c r="F28" s="6"/>
    </row>
    <row r="29" spans="1:18">
      <c r="A29" s="231" t="s">
        <v>50</v>
      </c>
      <c r="B29" s="33">
        <f>IF(ISERROR(TER_gezond_ele_kWh/1000),0,TER_gezond_ele_kWh/1000)</f>
        <v>785.75013600000011</v>
      </c>
      <c r="C29" s="39">
        <f>IF(ISERROR(B29*3.6/1000000/'E Balans VL '!Z10*100),0,B29*3.6/1000000/'E Balans VL '!Z10*100)</f>
        <v>7.924383826080221E-2</v>
      </c>
      <c r="D29" s="237" t="s">
        <v>708</v>
      </c>
      <c r="F29" s="6"/>
    </row>
    <row r="30" spans="1:18">
      <c r="A30" s="231" t="s">
        <v>49</v>
      </c>
      <c r="B30" s="33">
        <f>IF(ISERROR(TER_ander_ele_kWh/1000),0,TER_ander_ele_kWh/1000)</f>
        <v>2753.0076099999997</v>
      </c>
      <c r="C30" s="39">
        <f>IF(ISERROR(B30*3.6/1000000/'E Balans VL '!Z14*100),0,B30*3.6/1000000/'E Balans VL '!Z14*100)</f>
        <v>0.19976826001573417</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2465.7832149999999</v>
      </c>
      <c r="C32" s="39">
        <f>IF(ISERROR(B32*3.6/1000000/'E Balans VL '!Z8*100),0,B32*3.6/1000000/'E Balans VL '!Z8*100)</f>
        <v>2.0199193840753676E-2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742.89352099999996</v>
      </c>
      <c r="C5" s="17">
        <f>IF(ISERROR('Eigen informatie GS &amp; warmtenet'!B61),0,'Eigen informatie GS &amp; warmtenet'!B61)</f>
        <v>0</v>
      </c>
      <c r="D5" s="30">
        <f>SUM(D6:D15)</f>
        <v>724.92884813799992</v>
      </c>
      <c r="E5" s="17">
        <f>SUM(E6:E15)</f>
        <v>108.57673591043874</v>
      </c>
      <c r="F5" s="17">
        <f>SUM(F6:F15)</f>
        <v>341.9554730194381</v>
      </c>
      <c r="G5" s="18"/>
      <c r="H5" s="17"/>
      <c r="I5" s="17"/>
      <c r="J5" s="17">
        <f>SUM(J6:J15)</f>
        <v>2.844302239558854</v>
      </c>
      <c r="K5" s="17"/>
      <c r="L5" s="17"/>
      <c r="M5" s="17"/>
      <c r="N5" s="17">
        <f>SUM(N6:N15)</f>
        <v>39.059635333071569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56.732997000000005</v>
      </c>
      <c r="C8" s="33"/>
      <c r="D8" s="37">
        <f>IF( ISERROR(IND_metaal_Gas_kWH/1000),0,IND_metaal_Gas_kWH/1000)*0.902</f>
        <v>0</v>
      </c>
      <c r="E8" s="33">
        <f>C30*'E Balans VL '!I18/100/3.6*1000000</f>
        <v>0.40928875441624468</v>
      </c>
      <c r="F8" s="33">
        <f>C30*'E Balans VL '!L18/100/3.6*1000000+C30*'E Balans VL '!N18/100/3.6*1000000</f>
        <v>5.3658954330136677</v>
      </c>
      <c r="G8" s="34"/>
      <c r="H8" s="33"/>
      <c r="I8" s="33"/>
      <c r="J8" s="40">
        <f>C30*'E Balans VL '!D18/100/3.6*1000000+C30*'E Balans VL '!E18/100/3.6*1000000</f>
        <v>5.7062378069285345E-2</v>
      </c>
      <c r="K8" s="33"/>
      <c r="L8" s="33"/>
      <c r="M8" s="33"/>
      <c r="N8" s="33">
        <f>C30*'E Balans VL '!Y18/100/3.6*1000000</f>
        <v>0.71725518277115341</v>
      </c>
      <c r="O8" s="33"/>
      <c r="P8" s="33"/>
      <c r="R8" s="32"/>
    </row>
    <row r="9" spans="1:18">
      <c r="A9" s="6" t="s">
        <v>32</v>
      </c>
      <c r="B9" s="37">
        <f t="shared" si="0"/>
        <v>332.69343099999998</v>
      </c>
      <c r="C9" s="33"/>
      <c r="D9" s="37">
        <f>IF( ISERROR(IND_andere_gas_kWh/1000),0,IND_andere_gas_kWh/1000)*0.902</f>
        <v>83.327463559999998</v>
      </c>
      <c r="E9" s="33">
        <f>C31*'E Balans VL '!I19/100/3.6*1000000</f>
        <v>92.193798398611548</v>
      </c>
      <c r="F9" s="33">
        <f>C31*'E Balans VL '!L19/100/3.6*1000000+C31*'E Balans VL '!N19/100/3.6*1000000</f>
        <v>275.73703456884533</v>
      </c>
      <c r="G9" s="34"/>
      <c r="H9" s="33"/>
      <c r="I9" s="33"/>
      <c r="J9" s="40">
        <f>C31*'E Balans VL '!D19/100/3.6*1000000+C31*'E Balans VL '!E19/100/3.6*1000000</f>
        <v>0</v>
      </c>
      <c r="K9" s="33"/>
      <c r="L9" s="33"/>
      <c r="M9" s="33"/>
      <c r="N9" s="33">
        <f>C31*'E Balans VL '!Y19/100/3.6*1000000</f>
        <v>24.149473809405549</v>
      </c>
      <c r="O9" s="33"/>
      <c r="P9" s="33"/>
      <c r="R9" s="32"/>
    </row>
    <row r="10" spans="1:18">
      <c r="A10" s="6" t="s">
        <v>40</v>
      </c>
      <c r="B10" s="37">
        <f t="shared" si="0"/>
        <v>16.078420000000001</v>
      </c>
      <c r="C10" s="33"/>
      <c r="D10" s="37">
        <f>IF( ISERROR(IND_voed_gas_kWh/1000),0,IND_voed_gas_kWh/1000)*0.902</f>
        <v>0</v>
      </c>
      <c r="E10" s="33">
        <f>C32*'E Balans VL '!I20/100/3.6*1000000</f>
        <v>2.8464249510019711E-2</v>
      </c>
      <c r="F10" s="33">
        <f>C32*'E Balans VL '!L20/100/3.6*1000000+C32*'E Balans VL '!N20/100/3.6*1000000</f>
        <v>0.86837718175819822</v>
      </c>
      <c r="G10" s="34"/>
      <c r="H10" s="33"/>
      <c r="I10" s="33"/>
      <c r="J10" s="40">
        <f>C32*'E Balans VL '!D20/100/3.6*1000000+C32*'E Balans VL '!E20/100/3.6*1000000</f>
        <v>0</v>
      </c>
      <c r="K10" s="33"/>
      <c r="L10" s="33"/>
      <c r="M10" s="33"/>
      <c r="N10" s="33">
        <f>C32*'E Balans VL '!Y20/100/3.6*1000000</f>
        <v>0.93427899442364282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337.38867299999998</v>
      </c>
      <c r="C15" s="33"/>
      <c r="D15" s="37">
        <f>IF( ISERROR(IND_rest_gas_kWh/1000),0,IND_rest_gas_kWh/1000)*0.902</f>
        <v>641.60138457799997</v>
      </c>
      <c r="E15" s="33">
        <f>C37*'E Balans VL '!I15/100/3.6*1000000</f>
        <v>15.945184507900938</v>
      </c>
      <c r="F15" s="33">
        <f>C37*'E Balans VL '!L15/100/3.6*1000000+C37*'E Balans VL '!N15/100/3.6*1000000</f>
        <v>59.984165835820875</v>
      </c>
      <c r="G15" s="34"/>
      <c r="H15" s="33"/>
      <c r="I15" s="33"/>
      <c r="J15" s="40">
        <f>C37*'E Balans VL '!D15/100/3.6*1000000+C37*'E Balans VL '!E15/100/3.6*1000000</f>
        <v>2.7872398614895686</v>
      </c>
      <c r="K15" s="33"/>
      <c r="L15" s="33"/>
      <c r="M15" s="33"/>
      <c r="N15" s="33">
        <f>C37*'E Balans VL '!Y15/100/3.6*1000000</f>
        <v>13.25862734647122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742.89352099999996</v>
      </c>
      <c r="C18" s="21">
        <f>C5+C16</f>
        <v>0</v>
      </c>
      <c r="D18" s="21">
        <f>MAX((D5+D16),0)</f>
        <v>724.92884813799992</v>
      </c>
      <c r="E18" s="21">
        <f>MAX((E5+E16),0)</f>
        <v>108.57673591043874</v>
      </c>
      <c r="F18" s="21">
        <f>MAX((F5+F16),0)</f>
        <v>341.9554730194381</v>
      </c>
      <c r="G18" s="21"/>
      <c r="H18" s="21"/>
      <c r="I18" s="21"/>
      <c r="J18" s="21">
        <f>MAX((J5+J16),0)</f>
        <v>2.844302239558854</v>
      </c>
      <c r="K18" s="21"/>
      <c r="L18" s="21">
        <f>MAX((L5+L16),0)</f>
        <v>0</v>
      </c>
      <c r="M18" s="21"/>
      <c r="N18" s="21">
        <f>MAX((N5+N16),0)</f>
        <v>39.059635333071569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0.20218551571200769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150.2023096624942</v>
      </c>
      <c r="C22" s="23">
        <f ca="1">C18*C20</f>
        <v>0</v>
      </c>
      <c r="D22" s="23">
        <f>D18*D20</f>
        <v>146.43562732387599</v>
      </c>
      <c r="E22" s="23">
        <f>E18*E20</f>
        <v>24.646919051669595</v>
      </c>
      <c r="F22" s="23">
        <f>F18*F20</f>
        <v>91.302111296189977</v>
      </c>
      <c r="G22" s="23"/>
      <c r="H22" s="23"/>
      <c r="I22" s="23"/>
      <c r="J22" s="23">
        <f>J18*J20</f>
        <v>1.0068829928038343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56.732997000000005</v>
      </c>
      <c r="C30" s="39">
        <f>IF(ISERROR(B30*3.6/1000000/'E Balans VL '!Z18*100),0,B30*3.6/1000000/'E Balans VL '!Z18*100)</f>
        <v>3.2751073936104435E-3</v>
      </c>
      <c r="D30" s="237" t="s">
        <v>708</v>
      </c>
    </row>
    <row r="31" spans="1:18">
      <c r="A31" s="6" t="s">
        <v>32</v>
      </c>
      <c r="B31" s="37">
        <f>IF( ISERROR(IND_ander_ele_kWh/1000),0,IND_ander_ele_kWh/1000)</f>
        <v>332.69343099999998</v>
      </c>
      <c r="C31" s="39">
        <f>IF(ISERROR(B31*3.6/1000000/'E Balans VL '!Z19*100),0,B31*3.6/1000000/'E Balans VL '!Z19*100)</f>
        <v>1.673340119529949E-2</v>
      </c>
      <c r="D31" s="237" t="s">
        <v>708</v>
      </c>
    </row>
    <row r="32" spans="1:18">
      <c r="A32" s="171" t="s">
        <v>40</v>
      </c>
      <c r="B32" s="37">
        <f>IF( ISERROR(IND_voed_ele_kWh/1000),0,IND_voed_ele_kWh/1000)</f>
        <v>16.078420000000001</v>
      </c>
      <c r="C32" s="39">
        <f>IF(ISERROR(B32*3.6/1000000/'E Balans VL '!Z20*100),0,B32*3.6/1000000/'E Balans VL '!Z20*100)</f>
        <v>5.3550686364678076E-4</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337.38867299999998</v>
      </c>
      <c r="C37" s="39">
        <f>IF(ISERROR(B37*3.6/1000000/'E Balans VL '!Z15*100),0,B37*3.6/1000000/'E Balans VL '!Z15*100)</f>
        <v>2.6325542829893876E-3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232.28699800000001</v>
      </c>
      <c r="C5" s="17">
        <f>'Eigen informatie GS &amp; warmtenet'!B62</f>
        <v>0</v>
      </c>
      <c r="D5" s="30">
        <f>IF(ISERROR(SUM(LB_lb_gas_kWh,LB_rest_gas_kWh)/1000),0,SUM(LB_lb_gas_kWh,LB_rest_gas_kWh)/1000)*0.902</f>
        <v>235.97893178199999</v>
      </c>
      <c r="E5" s="17">
        <f>B17*'E Balans VL '!I25/3.6*1000000/100</f>
        <v>7.249600608777893</v>
      </c>
      <c r="F5" s="17">
        <f>B17*('E Balans VL '!L25/3.6*1000000+'E Balans VL '!N25/3.6*1000000)/100</f>
        <v>820.92798299149047</v>
      </c>
      <c r="G5" s="18"/>
      <c r="H5" s="17"/>
      <c r="I5" s="17"/>
      <c r="J5" s="17">
        <f>('E Balans VL '!D25+'E Balans VL '!E25)/3.6*1000000*landbouw!B17/100</f>
        <v>63.996678845213339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232.28699800000001</v>
      </c>
      <c r="C8" s="21">
        <f>C5+C6</f>
        <v>0</v>
      </c>
      <c r="D8" s="21">
        <f>MAX((D5+D6),0)</f>
        <v>235.97893178199999</v>
      </c>
      <c r="E8" s="21">
        <f>MAX((E5+E6),0)</f>
        <v>7.249600608777893</v>
      </c>
      <c r="F8" s="21">
        <f>MAX((F5+F6),0)</f>
        <v>820.92798299149047</v>
      </c>
      <c r="G8" s="21"/>
      <c r="H8" s="21"/>
      <c r="I8" s="21"/>
      <c r="J8" s="21">
        <f>MAX((J5+J6),0)</f>
        <v>63.996678845213339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0.20218551571200769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46.965066483824103</v>
      </c>
      <c r="C12" s="23">
        <f ca="1">C8*C10</f>
        <v>0</v>
      </c>
      <c r="D12" s="23">
        <f>D8*D10</f>
        <v>47.667744219964</v>
      </c>
      <c r="E12" s="23">
        <f>E8*E10</f>
        <v>1.6456593381925817</v>
      </c>
      <c r="F12" s="23">
        <f>F8*F10</f>
        <v>219.18777145872798</v>
      </c>
      <c r="G12" s="23"/>
      <c r="H12" s="23"/>
      <c r="I12" s="23"/>
      <c r="J12" s="23">
        <f>J8*J10</f>
        <v>22.65482431120552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3.4531127443632174E-2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98.680782622330995</v>
      </c>
      <c r="C26" s="247">
        <f>B26*'GWP N2O_CH4'!B5</f>
        <v>2072.2964350689508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8.2295486403733911</v>
      </c>
      <c r="C27" s="247">
        <f>B27*'GWP N2O_CH4'!B5</f>
        <v>172.8205214478412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1.4405957865500056</v>
      </c>
      <c r="C28" s="247">
        <f>B28*'GWP N2O_CH4'!B4</f>
        <v>446.58469383050175</v>
      </c>
      <c r="D28" s="50"/>
    </row>
    <row r="29" spans="1:4">
      <c r="A29" s="41" t="s">
        <v>276</v>
      </c>
      <c r="B29" s="247">
        <f>B34*'ha_N2O bodem landbouw'!B4</f>
        <v>12.416262909556508</v>
      </c>
      <c r="C29" s="247">
        <f>B29*'GWP N2O_CH4'!B4</f>
        <v>3849.0415019625175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2.7226629062785316E-3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4.3140476573011195E-4</v>
      </c>
      <c r="C5" s="437" t="s">
        <v>210</v>
      </c>
      <c r="D5" s="422">
        <f>SUM(D6:D11)</f>
        <v>1.5160124883445856E-3</v>
      </c>
      <c r="E5" s="422">
        <f>SUM(E6:E11)</f>
        <v>1.4898856319965938E-3</v>
      </c>
      <c r="F5" s="435" t="s">
        <v>210</v>
      </c>
      <c r="G5" s="422">
        <f>SUM(G6:G11)</f>
        <v>0.60024177788596123</v>
      </c>
      <c r="H5" s="422">
        <f>SUM(H6:H11)</f>
        <v>0.14553614521001332</v>
      </c>
      <c r="I5" s="437" t="s">
        <v>210</v>
      </c>
      <c r="J5" s="437" t="s">
        <v>210</v>
      </c>
      <c r="K5" s="437" t="s">
        <v>210</v>
      </c>
      <c r="L5" s="437" t="s">
        <v>210</v>
      </c>
      <c r="M5" s="422">
        <f>SUM(M6:M11)</f>
        <v>4.4235014969539146E-2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7.230965886258091E-5</v>
      </c>
      <c r="C6" s="423"/>
      <c r="D6" s="890">
        <f>vkm_GW_PW*SUMIFS(TableVerdeelsleutelVkm[CNG],TableVerdeelsleutelVkm[Voertuigtype],"Lichte voertuigen")*SUMIFS(TableECFTransport[EnergieConsumptieFactor (PJ per km)],TableECFTransport[Index],CONCATENATE($A6,"_CNG_CNG"))</f>
        <v>2.3293850893038644E-4</v>
      </c>
      <c r="E6" s="890">
        <f>vkm_GW_PW*SUMIFS(TableVerdeelsleutelVkm[LPG],TableVerdeelsleutelVkm[Voertuigtype],"Lichte voertuigen")*SUMIFS(TableECFTransport[EnergieConsumptieFactor (PJ per km)],TableECFTransport[Index],CONCATENATE($A6,"_LPG_LPG"))</f>
        <v>1.9920356379796633E-4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6.4352599600261851E-2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2.1821571849177098E-2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5.1542222188110257E-3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5.3844331381975906E-3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7.6992559263535754E-8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3.1037168272138614E-4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5.54299393170394E-5</v>
      </c>
      <c r="C8" s="423"/>
      <c r="D8" s="425">
        <f>vkm_NGW_PW*SUMIFS(TableVerdeelsleutelVkm[CNG],TableVerdeelsleutelVkm[Voertuigtype],"Lichte voertuigen")*SUMIFS(TableECFTransport[EnergieConsumptieFactor (PJ per km)],TableECFTransport[Index],CONCATENATE($A8,"_CNG_CNG"))</f>
        <v>3.0253471608328368E-4</v>
      </c>
      <c r="E8" s="425">
        <f>vkm_NGW_PW*SUMIFS(TableVerdeelsleutelVkm[LPG],TableVerdeelsleutelVkm[Voertuigtype],"Lichte voertuigen")*SUMIFS(TableECFTransport[EnergieConsumptieFactor (PJ per km)],TableECFTransport[Index],CONCATENATE($A8,"_LPG_LPG"))</f>
        <v>2.4582726853058259E-4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7.4207905084415202E-2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2.7867635097749432E-2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6.1226168373851629E-3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4.7705015304245956E-3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8.6488510424176561E-8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2.7498439753195173E-4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3.036651675504916E-4</v>
      </c>
      <c r="C10" s="423"/>
      <c r="D10" s="425">
        <f>vkm_SW_PW*SUMIFS(TableVerdeelsleutelVkm[CNG],TableVerdeelsleutelVkm[Voertuigtype],"Lichte voertuigen")*SUMIFS(TableECFTransport[EnergieConsumptieFactor (PJ per km)],TableECFTransport[Index],CONCATENATE($A10,"_CNG_CNG"))</f>
        <v>9.8053926333091556E-4</v>
      </c>
      <c r="E10" s="425">
        <f>vkm_SW_PW*SUMIFS(TableVerdeelsleutelVkm[LPG],TableVerdeelsleutelVkm[Voertuigtype],"Lichte voertuigen")*SUMIFS(TableECFTransport[EnergieConsumptieFactor (PJ per km)],TableECFTransport[Index],CONCATENATE($A10,"_LPG_LPG"))</f>
        <v>1.0448547996680449E-3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0.30074574357733053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9.5844471062206088E-2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2.3681453735449165E-2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0.15078059495533142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2.3037198110044465E-6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8.6913660976404589E-3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119.83465714725331</v>
      </c>
      <c r="C14" s="21"/>
      <c r="D14" s="21">
        <f t="shared" ref="D14:M14" si="0">((D5)*10^9/3600)+D12</f>
        <v>421.11458009571828</v>
      </c>
      <c r="E14" s="21">
        <f t="shared" si="0"/>
        <v>413.85711999905379</v>
      </c>
      <c r="F14" s="21"/>
      <c r="G14" s="21">
        <f t="shared" si="0"/>
        <v>166733.82719054478</v>
      </c>
      <c r="H14" s="21">
        <f t="shared" si="0"/>
        <v>40426.707002781477</v>
      </c>
      <c r="I14" s="21"/>
      <c r="J14" s="21"/>
      <c r="K14" s="21"/>
      <c r="L14" s="21"/>
      <c r="M14" s="21">
        <f t="shared" si="0"/>
        <v>12287.504158205318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0.20218551571200769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24.228831955489039</v>
      </c>
      <c r="C18" s="23"/>
      <c r="D18" s="23">
        <f t="shared" ref="D18:M18" si="1">D14*D16</f>
        <v>85.065145179335104</v>
      </c>
      <c r="E18" s="23">
        <f t="shared" si="1"/>
        <v>93.945566239785208</v>
      </c>
      <c r="F18" s="23"/>
      <c r="G18" s="23">
        <f t="shared" si="1"/>
        <v>44517.931859875454</v>
      </c>
      <c r="H18" s="23">
        <f t="shared" si="1"/>
        <v>10066.250043692587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1.1238697354981904E-2</v>
      </c>
      <c r="H50" s="319">
        <f t="shared" si="2"/>
        <v>0</v>
      </c>
      <c r="I50" s="319">
        <f t="shared" si="2"/>
        <v>0</v>
      </c>
      <c r="J50" s="319">
        <f t="shared" si="2"/>
        <v>0</v>
      </c>
      <c r="K50" s="319">
        <f t="shared" si="2"/>
        <v>0</v>
      </c>
      <c r="L50" s="319">
        <f t="shared" si="2"/>
        <v>0</v>
      </c>
      <c r="M50" s="319">
        <f t="shared" si="2"/>
        <v>6.2454976683432115E-4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1.1238697354981904E-2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6.2454976683432115E-4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3121.8603763838619</v>
      </c>
      <c r="H54" s="21">
        <f t="shared" si="3"/>
        <v>0</v>
      </c>
      <c r="I54" s="21">
        <f t="shared" si="3"/>
        <v>0</v>
      </c>
      <c r="J54" s="21">
        <f t="shared" si="3"/>
        <v>0</v>
      </c>
      <c r="K54" s="21">
        <f t="shared" si="3"/>
        <v>0</v>
      </c>
      <c r="L54" s="21">
        <f t="shared" si="3"/>
        <v>0</v>
      </c>
      <c r="M54" s="21">
        <f t="shared" si="3"/>
        <v>173.48604634286701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0.20218551571200769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833.53672049449119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8859.3617829999985</v>
      </c>
      <c r="D10" s="686">
        <f ca="1">tertiair!C16</f>
        <v>0</v>
      </c>
      <c r="E10" s="686">
        <f ca="1">tertiair!D16</f>
        <v>7567.6945183619991</v>
      </c>
      <c r="F10" s="686">
        <f>tertiair!E16</f>
        <v>72.500915249105248</v>
      </c>
      <c r="G10" s="686">
        <f ca="1">tertiair!F16</f>
        <v>1038.0896398190048</v>
      </c>
      <c r="H10" s="686">
        <f>tertiair!G16</f>
        <v>0</v>
      </c>
      <c r="I10" s="686">
        <f>tertiair!H16</f>
        <v>0</v>
      </c>
      <c r="J10" s="686">
        <f>tertiair!I16</f>
        <v>0</v>
      </c>
      <c r="K10" s="686">
        <f>tertiair!J16</f>
        <v>5.1460750640690306E-2</v>
      </c>
      <c r="L10" s="686">
        <f>tertiair!K16</f>
        <v>0</v>
      </c>
      <c r="M10" s="686">
        <f ca="1">tertiair!L16</f>
        <v>0</v>
      </c>
      <c r="N10" s="686">
        <f>tertiair!M16</f>
        <v>0</v>
      </c>
      <c r="O10" s="686">
        <f ca="1">tertiair!N16</f>
        <v>2015.1057548466329</v>
      </c>
      <c r="P10" s="686">
        <f>tertiair!O16</f>
        <v>4.8972607658411542</v>
      </c>
      <c r="Q10" s="687">
        <f>tertiair!P16</f>
        <v>52.539138306495019</v>
      </c>
      <c r="R10" s="689">
        <f ca="1">SUM(C10:Q10)</f>
        <v>19610.240471099718</v>
      </c>
      <c r="S10" s="67"/>
    </row>
    <row r="11" spans="1:19" s="448" customFormat="1">
      <c r="A11" s="808" t="s">
        <v>224</v>
      </c>
      <c r="B11" s="813"/>
      <c r="C11" s="686">
        <f>huishoudens!B8</f>
        <v>16450.108701955058</v>
      </c>
      <c r="D11" s="686">
        <f>huishoudens!C8</f>
        <v>0</v>
      </c>
      <c r="E11" s="686">
        <f>huishoudens!D8</f>
        <v>37179.654772920003</v>
      </c>
      <c r="F11" s="686">
        <f>huishoudens!E8</f>
        <v>4942.9682388496294</v>
      </c>
      <c r="G11" s="686">
        <f>huishoudens!F8</f>
        <v>15204.29093210029</v>
      </c>
      <c r="H11" s="686">
        <f>huishoudens!G8</f>
        <v>0</v>
      </c>
      <c r="I11" s="686">
        <f>huishoudens!H8</f>
        <v>0</v>
      </c>
      <c r="J11" s="686">
        <f>huishoudens!I8</f>
        <v>0</v>
      </c>
      <c r="K11" s="686">
        <f>huishoudens!J8</f>
        <v>0</v>
      </c>
      <c r="L11" s="686">
        <f>huishoudens!K8</f>
        <v>0</v>
      </c>
      <c r="M11" s="686">
        <f>huishoudens!L8</f>
        <v>0</v>
      </c>
      <c r="N11" s="686">
        <f>huishoudens!M8</f>
        <v>0</v>
      </c>
      <c r="O11" s="686">
        <f>huishoudens!N8</f>
        <v>4891.3681531380153</v>
      </c>
      <c r="P11" s="686">
        <f>huishoudens!O8</f>
        <v>222.20332057134758</v>
      </c>
      <c r="Q11" s="687">
        <f>huishoudens!P8</f>
        <v>284.41690130749561</v>
      </c>
      <c r="R11" s="689">
        <f>SUM(C11:Q11)</f>
        <v>79175.011020841848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742.89352099999996</v>
      </c>
      <c r="D13" s="686">
        <f>industrie!C18</f>
        <v>0</v>
      </c>
      <c r="E13" s="686">
        <f>industrie!D18</f>
        <v>724.92884813799992</v>
      </c>
      <c r="F13" s="686">
        <f>industrie!E18</f>
        <v>108.57673591043874</v>
      </c>
      <c r="G13" s="686">
        <f>industrie!F18</f>
        <v>341.9554730194381</v>
      </c>
      <c r="H13" s="686">
        <f>industrie!G18</f>
        <v>0</v>
      </c>
      <c r="I13" s="686">
        <f>industrie!H18</f>
        <v>0</v>
      </c>
      <c r="J13" s="686">
        <f>industrie!I18</f>
        <v>0</v>
      </c>
      <c r="K13" s="686">
        <f>industrie!J18</f>
        <v>2.844302239558854</v>
      </c>
      <c r="L13" s="686">
        <f>industrie!K18</f>
        <v>0</v>
      </c>
      <c r="M13" s="686">
        <f>industrie!L18</f>
        <v>0</v>
      </c>
      <c r="N13" s="686">
        <f>industrie!M18</f>
        <v>0</v>
      </c>
      <c r="O13" s="686">
        <f>industrie!N18</f>
        <v>39.059635333071569</v>
      </c>
      <c r="P13" s="686">
        <f>industrie!O18</f>
        <v>0</v>
      </c>
      <c r="Q13" s="687">
        <f>industrie!P18</f>
        <v>0</v>
      </c>
      <c r="R13" s="689">
        <f>SUM(C13:Q13)</f>
        <v>1960.2585156405073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26052.364005955053</v>
      </c>
      <c r="D16" s="722">
        <f t="shared" ref="D16:R16" ca="1" si="0">SUM(D9:D15)</f>
        <v>0</v>
      </c>
      <c r="E16" s="722">
        <f t="shared" ca="1" si="0"/>
        <v>45472.278139419999</v>
      </c>
      <c r="F16" s="722">
        <f t="shared" si="0"/>
        <v>5124.0458900091735</v>
      </c>
      <c r="G16" s="722">
        <f t="shared" ca="1" si="0"/>
        <v>16584.336044938733</v>
      </c>
      <c r="H16" s="722">
        <f t="shared" si="0"/>
        <v>0</v>
      </c>
      <c r="I16" s="722">
        <f t="shared" si="0"/>
        <v>0</v>
      </c>
      <c r="J16" s="722">
        <f t="shared" si="0"/>
        <v>0</v>
      </c>
      <c r="K16" s="722">
        <f t="shared" si="0"/>
        <v>2.8957629901995441</v>
      </c>
      <c r="L16" s="722">
        <f t="shared" si="0"/>
        <v>0</v>
      </c>
      <c r="M16" s="722">
        <f t="shared" ca="1" si="0"/>
        <v>0</v>
      </c>
      <c r="N16" s="722">
        <f t="shared" si="0"/>
        <v>0</v>
      </c>
      <c r="O16" s="722">
        <f t="shared" ca="1" si="0"/>
        <v>6945.5335433177188</v>
      </c>
      <c r="P16" s="722">
        <f t="shared" si="0"/>
        <v>227.10058133718874</v>
      </c>
      <c r="Q16" s="722">
        <f t="shared" si="0"/>
        <v>336.95603961399064</v>
      </c>
      <c r="R16" s="722">
        <f t="shared" ca="1" si="0"/>
        <v>100745.51000758208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3121.8603763838619</v>
      </c>
      <c r="I19" s="686">
        <f>transport!H54</f>
        <v>0</v>
      </c>
      <c r="J19" s="686">
        <f>transport!I54</f>
        <v>0</v>
      </c>
      <c r="K19" s="686">
        <f>transport!J54</f>
        <v>0</v>
      </c>
      <c r="L19" s="686">
        <f>transport!K54</f>
        <v>0</v>
      </c>
      <c r="M19" s="686">
        <f>transport!L54</f>
        <v>0</v>
      </c>
      <c r="N19" s="686">
        <f>transport!M54</f>
        <v>173.48604634286701</v>
      </c>
      <c r="O19" s="686">
        <f>transport!N54</f>
        <v>0</v>
      </c>
      <c r="P19" s="686">
        <f>transport!O54</f>
        <v>0</v>
      </c>
      <c r="Q19" s="687">
        <f>transport!P54</f>
        <v>0</v>
      </c>
      <c r="R19" s="689">
        <f>SUM(C19:Q19)</f>
        <v>3295.3464227267291</v>
      </c>
      <c r="S19" s="67"/>
    </row>
    <row r="20" spans="1:19" s="448" customFormat="1">
      <c r="A20" s="808" t="s">
        <v>306</v>
      </c>
      <c r="B20" s="813"/>
      <c r="C20" s="686">
        <f>transport!B14</f>
        <v>119.83465714725331</v>
      </c>
      <c r="D20" s="686">
        <f>transport!C14</f>
        <v>0</v>
      </c>
      <c r="E20" s="686">
        <f>transport!D14</f>
        <v>421.11458009571828</v>
      </c>
      <c r="F20" s="686">
        <f>transport!E14</f>
        <v>413.85711999905379</v>
      </c>
      <c r="G20" s="686">
        <f>transport!F14</f>
        <v>0</v>
      </c>
      <c r="H20" s="686">
        <f>transport!G14</f>
        <v>166733.82719054478</v>
      </c>
      <c r="I20" s="686">
        <f>transport!H14</f>
        <v>40426.707002781477</v>
      </c>
      <c r="J20" s="686">
        <f>transport!I14</f>
        <v>0</v>
      </c>
      <c r="K20" s="686">
        <f>transport!J14</f>
        <v>0</v>
      </c>
      <c r="L20" s="686">
        <f>transport!K14</f>
        <v>0</v>
      </c>
      <c r="M20" s="686">
        <f>transport!L14</f>
        <v>0</v>
      </c>
      <c r="N20" s="686">
        <f>transport!M14</f>
        <v>12287.504158205318</v>
      </c>
      <c r="O20" s="686">
        <f>transport!N14</f>
        <v>0</v>
      </c>
      <c r="P20" s="686">
        <f>transport!O14</f>
        <v>0</v>
      </c>
      <c r="Q20" s="687">
        <f>transport!P14</f>
        <v>0</v>
      </c>
      <c r="R20" s="689">
        <f>SUM(C20:Q20)</f>
        <v>220402.8447087736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119.83465714725331</v>
      </c>
      <c r="D22" s="811">
        <f t="shared" ref="D22:R22" si="1">SUM(D18:D21)</f>
        <v>0</v>
      </c>
      <c r="E22" s="811">
        <f t="shared" si="1"/>
        <v>421.11458009571828</v>
      </c>
      <c r="F22" s="811">
        <f t="shared" si="1"/>
        <v>413.85711999905379</v>
      </c>
      <c r="G22" s="811">
        <f t="shared" si="1"/>
        <v>0</v>
      </c>
      <c r="H22" s="811">
        <f t="shared" si="1"/>
        <v>169855.68756692862</v>
      </c>
      <c r="I22" s="811">
        <f t="shared" si="1"/>
        <v>40426.707002781477</v>
      </c>
      <c r="J22" s="811">
        <f t="shared" si="1"/>
        <v>0</v>
      </c>
      <c r="K22" s="811">
        <f t="shared" si="1"/>
        <v>0</v>
      </c>
      <c r="L22" s="811">
        <f t="shared" si="1"/>
        <v>0</v>
      </c>
      <c r="M22" s="811">
        <f t="shared" si="1"/>
        <v>0</v>
      </c>
      <c r="N22" s="811">
        <f t="shared" si="1"/>
        <v>12460.990204548185</v>
      </c>
      <c r="O22" s="811">
        <f t="shared" si="1"/>
        <v>0</v>
      </c>
      <c r="P22" s="811">
        <f t="shared" si="1"/>
        <v>0</v>
      </c>
      <c r="Q22" s="811">
        <f t="shared" si="1"/>
        <v>0</v>
      </c>
      <c r="R22" s="811">
        <f t="shared" si="1"/>
        <v>223698.19113150032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232.28699800000001</v>
      </c>
      <c r="D24" s="686">
        <f>+landbouw!C8</f>
        <v>0</v>
      </c>
      <c r="E24" s="686">
        <f>+landbouw!D8</f>
        <v>235.97893178199999</v>
      </c>
      <c r="F24" s="686">
        <f>+landbouw!E8</f>
        <v>7.249600608777893</v>
      </c>
      <c r="G24" s="686">
        <f>+landbouw!F8</f>
        <v>820.92798299149047</v>
      </c>
      <c r="H24" s="686">
        <f>+landbouw!G8</f>
        <v>0</v>
      </c>
      <c r="I24" s="686">
        <f>+landbouw!H8</f>
        <v>0</v>
      </c>
      <c r="J24" s="686">
        <f>+landbouw!I8</f>
        <v>0</v>
      </c>
      <c r="K24" s="686">
        <f>+landbouw!J8</f>
        <v>63.996678845213339</v>
      </c>
      <c r="L24" s="686">
        <f>+landbouw!K8</f>
        <v>0</v>
      </c>
      <c r="M24" s="686">
        <f>+landbouw!L8</f>
        <v>0</v>
      </c>
      <c r="N24" s="686">
        <f>+landbouw!M8</f>
        <v>0</v>
      </c>
      <c r="O24" s="686">
        <f>+landbouw!N8</f>
        <v>0</v>
      </c>
      <c r="P24" s="686">
        <f>+landbouw!O8</f>
        <v>0</v>
      </c>
      <c r="Q24" s="687">
        <f>+landbouw!P8</f>
        <v>0</v>
      </c>
      <c r="R24" s="689">
        <f>SUM(C24:Q24)</f>
        <v>1360.4401922274817</v>
      </c>
      <c r="S24" s="67"/>
    </row>
    <row r="25" spans="1:19" s="448" customFormat="1" ht="15" thickBot="1">
      <c r="A25" s="830" t="s">
        <v>724</v>
      </c>
      <c r="B25" s="949"/>
      <c r="C25" s="950">
        <f>IF(Onbekend_ele_kWh="---",0,Onbekend_ele_kWh)/1000+IF(REST_rest_ele_kWh="---",0,REST_rest_ele_kWh)/1000</f>
        <v>417.23684499999996</v>
      </c>
      <c r="D25" s="950"/>
      <c r="E25" s="950">
        <f>IF(onbekend_gas_kWh="---",0,onbekend_gas_kWh)/1000+IF(REST_rest_gas_kWh="---",0,REST_rest_gas_kWh)/1000</f>
        <v>731.21700600000008</v>
      </c>
      <c r="F25" s="950"/>
      <c r="G25" s="950"/>
      <c r="H25" s="950"/>
      <c r="I25" s="950"/>
      <c r="J25" s="950"/>
      <c r="K25" s="950"/>
      <c r="L25" s="950"/>
      <c r="M25" s="950"/>
      <c r="N25" s="950"/>
      <c r="O25" s="950"/>
      <c r="P25" s="950"/>
      <c r="Q25" s="951"/>
      <c r="R25" s="689">
        <f>SUM(C25:Q25)</f>
        <v>1148.453851</v>
      </c>
      <c r="S25" s="67"/>
    </row>
    <row r="26" spans="1:19" s="448" customFormat="1" ht="15.75" thickBot="1">
      <c r="A26" s="694" t="s">
        <v>725</v>
      </c>
      <c r="B26" s="816"/>
      <c r="C26" s="811">
        <f>SUM(C24:C25)</f>
        <v>649.52384299999994</v>
      </c>
      <c r="D26" s="811">
        <f t="shared" ref="D26:R26" si="2">SUM(D24:D25)</f>
        <v>0</v>
      </c>
      <c r="E26" s="811">
        <f t="shared" si="2"/>
        <v>967.1959377820001</v>
      </c>
      <c r="F26" s="811">
        <f t="shared" si="2"/>
        <v>7.249600608777893</v>
      </c>
      <c r="G26" s="811">
        <f t="shared" si="2"/>
        <v>820.92798299149047</v>
      </c>
      <c r="H26" s="811">
        <f t="shared" si="2"/>
        <v>0</v>
      </c>
      <c r="I26" s="811">
        <f t="shared" si="2"/>
        <v>0</v>
      </c>
      <c r="J26" s="811">
        <f t="shared" si="2"/>
        <v>0</v>
      </c>
      <c r="K26" s="811">
        <f t="shared" si="2"/>
        <v>63.996678845213339</v>
      </c>
      <c r="L26" s="811">
        <f t="shared" si="2"/>
        <v>0</v>
      </c>
      <c r="M26" s="811">
        <f t="shared" si="2"/>
        <v>0</v>
      </c>
      <c r="N26" s="811">
        <f t="shared" si="2"/>
        <v>0</v>
      </c>
      <c r="O26" s="811">
        <f t="shared" si="2"/>
        <v>0</v>
      </c>
      <c r="P26" s="811">
        <f t="shared" si="2"/>
        <v>0</v>
      </c>
      <c r="Q26" s="811">
        <f t="shared" si="2"/>
        <v>0</v>
      </c>
      <c r="R26" s="811">
        <f t="shared" si="2"/>
        <v>2508.8940432274817</v>
      </c>
      <c r="S26" s="67"/>
    </row>
    <row r="27" spans="1:19" s="448" customFormat="1" ht="17.25" thickTop="1" thickBot="1">
      <c r="A27" s="695" t="s">
        <v>115</v>
      </c>
      <c r="B27" s="803"/>
      <c r="C27" s="696">
        <f ca="1">C22+C16+C26</f>
        <v>26821.722506102305</v>
      </c>
      <c r="D27" s="696">
        <f t="shared" ref="D27:R27" ca="1" si="3">D22+D16+D26</f>
        <v>0</v>
      </c>
      <c r="E27" s="696">
        <f t="shared" ca="1" si="3"/>
        <v>46860.588657297718</v>
      </c>
      <c r="F27" s="696">
        <f t="shared" si="3"/>
        <v>5545.1526106170049</v>
      </c>
      <c r="G27" s="696">
        <f t="shared" ca="1" si="3"/>
        <v>17405.264027930225</v>
      </c>
      <c r="H27" s="696">
        <f t="shared" si="3"/>
        <v>169855.68756692862</v>
      </c>
      <c r="I27" s="696">
        <f t="shared" si="3"/>
        <v>40426.707002781477</v>
      </c>
      <c r="J27" s="696">
        <f t="shared" si="3"/>
        <v>0</v>
      </c>
      <c r="K27" s="696">
        <f t="shared" si="3"/>
        <v>66.892441835412882</v>
      </c>
      <c r="L27" s="696">
        <f t="shared" si="3"/>
        <v>0</v>
      </c>
      <c r="M27" s="696">
        <f t="shared" ca="1" si="3"/>
        <v>0</v>
      </c>
      <c r="N27" s="696">
        <f t="shared" si="3"/>
        <v>12460.990204548185</v>
      </c>
      <c r="O27" s="696">
        <f t="shared" ca="1" si="3"/>
        <v>6945.5335433177188</v>
      </c>
      <c r="P27" s="696">
        <f t="shared" si="3"/>
        <v>227.10058133718874</v>
      </c>
      <c r="Q27" s="696">
        <f t="shared" si="3"/>
        <v>336.95603961399064</v>
      </c>
      <c r="R27" s="696">
        <f t="shared" ca="1" si="3"/>
        <v>326952.59518230992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1791.2346309751069</v>
      </c>
      <c r="D40" s="686">
        <f ca="1">tertiair!C20</f>
        <v>0</v>
      </c>
      <c r="E40" s="686">
        <f ca="1">tertiair!D20</f>
        <v>1528.6742927091238</v>
      </c>
      <c r="F40" s="686">
        <f>tertiair!E20</f>
        <v>16.457707761546892</v>
      </c>
      <c r="G40" s="686">
        <f ca="1">tertiair!F20</f>
        <v>277.16993383167431</v>
      </c>
      <c r="H40" s="686">
        <f>tertiair!G20</f>
        <v>0</v>
      </c>
      <c r="I40" s="686">
        <f>tertiair!H20</f>
        <v>0</v>
      </c>
      <c r="J40" s="686">
        <f>tertiair!I20</f>
        <v>0</v>
      </c>
      <c r="K40" s="686">
        <f>tertiair!J20</f>
        <v>1.8217105726804367E-2</v>
      </c>
      <c r="L40" s="686">
        <f>tertiair!K20</f>
        <v>0</v>
      </c>
      <c r="M40" s="686">
        <f ca="1">tertiair!L20</f>
        <v>0</v>
      </c>
      <c r="N40" s="686">
        <f>tertiair!M20</f>
        <v>0</v>
      </c>
      <c r="O40" s="686">
        <f ca="1">tertiair!N20</f>
        <v>0</v>
      </c>
      <c r="P40" s="686">
        <f>tertiair!O20</f>
        <v>0</v>
      </c>
      <c r="Q40" s="769">
        <f>tertiair!P20</f>
        <v>0</v>
      </c>
      <c r="R40" s="849">
        <f t="shared" ca="1" si="4"/>
        <v>3613.5547823831789</v>
      </c>
    </row>
    <row r="41" spans="1:18">
      <c r="A41" s="821" t="s">
        <v>224</v>
      </c>
      <c r="B41" s="828"/>
      <c r="C41" s="686">
        <f ca="1">huishoudens!B12</f>
        <v>3325.9737114233685</v>
      </c>
      <c r="D41" s="686">
        <f ca="1">huishoudens!C12</f>
        <v>0</v>
      </c>
      <c r="E41" s="686">
        <f>huishoudens!D12</f>
        <v>7510.2902641298415</v>
      </c>
      <c r="F41" s="686">
        <f>huishoudens!E12</f>
        <v>1122.053790218866</v>
      </c>
      <c r="G41" s="686">
        <f>huishoudens!F12</f>
        <v>4059.5456788707775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16017.863444642855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150.2023096624942</v>
      </c>
      <c r="D43" s="686">
        <f ca="1">industrie!C22</f>
        <v>0</v>
      </c>
      <c r="E43" s="686">
        <f>industrie!D22</f>
        <v>146.43562732387599</v>
      </c>
      <c r="F43" s="686">
        <f>industrie!E22</f>
        <v>24.646919051669595</v>
      </c>
      <c r="G43" s="686">
        <f>industrie!F22</f>
        <v>91.302111296189977</v>
      </c>
      <c r="H43" s="686">
        <f>industrie!G22</f>
        <v>0</v>
      </c>
      <c r="I43" s="686">
        <f>industrie!H22</f>
        <v>0</v>
      </c>
      <c r="J43" s="686">
        <f>industrie!I22</f>
        <v>0</v>
      </c>
      <c r="K43" s="686">
        <f>industrie!J22</f>
        <v>1.0068829928038343</v>
      </c>
      <c r="L43" s="686">
        <f>industrie!K22</f>
        <v>0</v>
      </c>
      <c r="M43" s="686">
        <f>industrie!L22</f>
        <v>0</v>
      </c>
      <c r="N43" s="686">
        <f>industrie!M22</f>
        <v>0</v>
      </c>
      <c r="O43" s="686">
        <f>industrie!N22</f>
        <v>0</v>
      </c>
      <c r="P43" s="686">
        <f>industrie!O22</f>
        <v>0</v>
      </c>
      <c r="Q43" s="769">
        <f>industrie!P22</f>
        <v>0</v>
      </c>
      <c r="R43" s="848">
        <f t="shared" ca="1" si="4"/>
        <v>413.59385032703358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5267.4106520609694</v>
      </c>
      <c r="D46" s="722">
        <f t="shared" ref="D46:Q46" ca="1" si="5">SUM(D39:D45)</f>
        <v>0</v>
      </c>
      <c r="E46" s="722">
        <f t="shared" ca="1" si="5"/>
        <v>9185.4001841628415</v>
      </c>
      <c r="F46" s="722">
        <f t="shared" si="5"/>
        <v>1163.1584170320825</v>
      </c>
      <c r="G46" s="722">
        <f t="shared" ca="1" si="5"/>
        <v>4428.0177239986415</v>
      </c>
      <c r="H46" s="722">
        <f t="shared" si="5"/>
        <v>0</v>
      </c>
      <c r="I46" s="722">
        <f t="shared" si="5"/>
        <v>0</v>
      </c>
      <c r="J46" s="722">
        <f t="shared" si="5"/>
        <v>0</v>
      </c>
      <c r="K46" s="722">
        <f t="shared" si="5"/>
        <v>1.0251000985306387</v>
      </c>
      <c r="L46" s="722">
        <f t="shared" si="5"/>
        <v>0</v>
      </c>
      <c r="M46" s="722">
        <f t="shared" ca="1" si="5"/>
        <v>0</v>
      </c>
      <c r="N46" s="722">
        <f t="shared" si="5"/>
        <v>0</v>
      </c>
      <c r="O46" s="722">
        <f t="shared" ca="1" si="5"/>
        <v>0</v>
      </c>
      <c r="P46" s="722">
        <f t="shared" si="5"/>
        <v>0</v>
      </c>
      <c r="Q46" s="722">
        <f t="shared" si="5"/>
        <v>0</v>
      </c>
      <c r="R46" s="722">
        <f ca="1">SUM(R39:R45)</f>
        <v>20045.012077353069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833.53672049449119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833.53672049449119</v>
      </c>
    </row>
    <row r="50" spans="1:18">
      <c r="A50" s="824" t="s">
        <v>306</v>
      </c>
      <c r="B50" s="834"/>
      <c r="C50" s="692">
        <f ca="1">transport!B18</f>
        <v>24.228831955489039</v>
      </c>
      <c r="D50" s="692">
        <f>transport!C18</f>
        <v>0</v>
      </c>
      <c r="E50" s="692">
        <f>transport!D18</f>
        <v>85.065145179335104</v>
      </c>
      <c r="F50" s="692">
        <f>transport!E18</f>
        <v>93.945566239785208</v>
      </c>
      <c r="G50" s="692">
        <f>transport!F18</f>
        <v>0</v>
      </c>
      <c r="H50" s="692">
        <f>transport!G18</f>
        <v>44517.931859875454</v>
      </c>
      <c r="I50" s="692">
        <f>transport!H18</f>
        <v>10066.250043692587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54787.421446942652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24.228831955489039</v>
      </c>
      <c r="D52" s="722">
        <f t="shared" ref="D52:Q52" ca="1" si="6">SUM(D48:D51)</f>
        <v>0</v>
      </c>
      <c r="E52" s="722">
        <f t="shared" si="6"/>
        <v>85.065145179335104</v>
      </c>
      <c r="F52" s="722">
        <f t="shared" si="6"/>
        <v>93.945566239785208</v>
      </c>
      <c r="G52" s="722">
        <f t="shared" si="6"/>
        <v>0</v>
      </c>
      <c r="H52" s="722">
        <f t="shared" si="6"/>
        <v>45351.468580369947</v>
      </c>
      <c r="I52" s="722">
        <f t="shared" si="6"/>
        <v>10066.250043692587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55620.958167437144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46.965066483824103</v>
      </c>
      <c r="D54" s="692">
        <f ca="1">+landbouw!C12</f>
        <v>0</v>
      </c>
      <c r="E54" s="692">
        <f>+landbouw!D12</f>
        <v>47.667744219964</v>
      </c>
      <c r="F54" s="692">
        <f>+landbouw!E12</f>
        <v>1.6456593381925817</v>
      </c>
      <c r="G54" s="692">
        <f>+landbouw!F12</f>
        <v>219.18777145872798</v>
      </c>
      <c r="H54" s="692">
        <f>+landbouw!G12</f>
        <v>0</v>
      </c>
      <c r="I54" s="692">
        <f>+landbouw!H12</f>
        <v>0</v>
      </c>
      <c r="J54" s="692">
        <f>+landbouw!I12</f>
        <v>0</v>
      </c>
      <c r="K54" s="692">
        <f>+landbouw!J12</f>
        <v>22.65482431120552</v>
      </c>
      <c r="L54" s="692">
        <f>+landbouw!K12</f>
        <v>0</v>
      </c>
      <c r="M54" s="692">
        <f>+landbouw!L12</f>
        <v>0</v>
      </c>
      <c r="N54" s="692">
        <f>+landbouw!M12</f>
        <v>0</v>
      </c>
      <c r="O54" s="692">
        <f>+landbouw!N12</f>
        <v>0</v>
      </c>
      <c r="P54" s="692">
        <f>+landbouw!O12</f>
        <v>0</v>
      </c>
      <c r="Q54" s="693">
        <f>+landbouw!P12</f>
        <v>0</v>
      </c>
      <c r="R54" s="721">
        <f ca="1">SUM(C54:Q54)</f>
        <v>338.12106581191415</v>
      </c>
    </row>
    <row r="55" spans="1:18" ht="15" thickBot="1">
      <c r="A55" s="824" t="s">
        <v>724</v>
      </c>
      <c r="B55" s="834"/>
      <c r="C55" s="692">
        <f ca="1">C25*'EF ele_warmte'!B12</f>
        <v>84.359246680376003</v>
      </c>
      <c r="D55" s="692"/>
      <c r="E55" s="692">
        <f>E25*EF_CO2_aardgas</f>
        <v>147.70583521200004</v>
      </c>
      <c r="F55" s="692"/>
      <c r="G55" s="692"/>
      <c r="H55" s="692"/>
      <c r="I55" s="692"/>
      <c r="J55" s="692"/>
      <c r="K55" s="692"/>
      <c r="L55" s="692"/>
      <c r="M55" s="692"/>
      <c r="N55" s="692"/>
      <c r="O55" s="692"/>
      <c r="P55" s="692"/>
      <c r="Q55" s="693"/>
      <c r="R55" s="721">
        <f ca="1">SUM(C55:Q55)</f>
        <v>232.06508189237604</v>
      </c>
    </row>
    <row r="56" spans="1:18" ht="15.75" thickBot="1">
      <c r="A56" s="822" t="s">
        <v>725</v>
      </c>
      <c r="B56" s="835"/>
      <c r="C56" s="722">
        <f ca="1">SUM(C54:C55)</f>
        <v>131.32431316420011</v>
      </c>
      <c r="D56" s="722">
        <f t="shared" ref="D56:Q56" ca="1" si="7">SUM(D54:D55)</f>
        <v>0</v>
      </c>
      <c r="E56" s="722">
        <f t="shared" si="7"/>
        <v>195.37357943196403</v>
      </c>
      <c r="F56" s="722">
        <f t="shared" si="7"/>
        <v>1.6456593381925817</v>
      </c>
      <c r="G56" s="722">
        <f t="shared" si="7"/>
        <v>219.18777145872798</v>
      </c>
      <c r="H56" s="722">
        <f t="shared" si="7"/>
        <v>0</v>
      </c>
      <c r="I56" s="722">
        <f t="shared" si="7"/>
        <v>0</v>
      </c>
      <c r="J56" s="722">
        <f t="shared" si="7"/>
        <v>0</v>
      </c>
      <c r="K56" s="722">
        <f t="shared" si="7"/>
        <v>22.65482431120552</v>
      </c>
      <c r="L56" s="722">
        <f t="shared" si="7"/>
        <v>0</v>
      </c>
      <c r="M56" s="722">
        <f t="shared" si="7"/>
        <v>0</v>
      </c>
      <c r="N56" s="722">
        <f t="shared" si="7"/>
        <v>0</v>
      </c>
      <c r="O56" s="722">
        <f t="shared" si="7"/>
        <v>0</v>
      </c>
      <c r="P56" s="722">
        <f t="shared" si="7"/>
        <v>0</v>
      </c>
      <c r="Q56" s="723">
        <f t="shared" si="7"/>
        <v>0</v>
      </c>
      <c r="R56" s="724">
        <f ca="1">SUM(R54:R55)</f>
        <v>570.18614770429019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5422.9637971806587</v>
      </c>
      <c r="D61" s="730">
        <f t="shared" ref="D61:Q61" ca="1" si="8">D46+D52+D56</f>
        <v>0</v>
      </c>
      <c r="E61" s="730">
        <f t="shared" ca="1" si="8"/>
        <v>9465.8389087741398</v>
      </c>
      <c r="F61" s="730">
        <f t="shared" si="8"/>
        <v>1258.7496426100604</v>
      </c>
      <c r="G61" s="730">
        <f t="shared" ca="1" si="8"/>
        <v>4647.2054954573696</v>
      </c>
      <c r="H61" s="730">
        <f t="shared" si="8"/>
        <v>45351.468580369947</v>
      </c>
      <c r="I61" s="730">
        <f t="shared" si="8"/>
        <v>10066.250043692587</v>
      </c>
      <c r="J61" s="730">
        <f t="shared" si="8"/>
        <v>0</v>
      </c>
      <c r="K61" s="730">
        <f t="shared" si="8"/>
        <v>23.679924409736159</v>
      </c>
      <c r="L61" s="730">
        <f t="shared" si="8"/>
        <v>0</v>
      </c>
      <c r="M61" s="730">
        <f t="shared" ca="1" si="8"/>
        <v>0</v>
      </c>
      <c r="N61" s="730">
        <f t="shared" si="8"/>
        <v>0</v>
      </c>
      <c r="O61" s="730">
        <f t="shared" ca="1" si="8"/>
        <v>0</v>
      </c>
      <c r="P61" s="730">
        <f t="shared" si="8"/>
        <v>0</v>
      </c>
      <c r="Q61" s="730">
        <f t="shared" si="8"/>
        <v>0</v>
      </c>
      <c r="R61" s="730">
        <f ca="1">R46+R52+R56</f>
        <v>76236.156392494493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0.20218551571200771</v>
      </c>
      <c r="D63" s="776">
        <f t="shared" ca="1" si="9"/>
        <v>0</v>
      </c>
      <c r="E63" s="975">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2283.4247813029488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2283.4247813029488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2283.4247813029488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2283.4247813029488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16450.108701955058</v>
      </c>
      <c r="C4" s="452">
        <f>huishoudens!C8</f>
        <v>0</v>
      </c>
      <c r="D4" s="452">
        <f>huishoudens!D8</f>
        <v>37179.654772920003</v>
      </c>
      <c r="E4" s="452">
        <f>huishoudens!E8</f>
        <v>4942.9682388496294</v>
      </c>
      <c r="F4" s="452">
        <f>huishoudens!F8</f>
        <v>15204.29093210029</v>
      </c>
      <c r="G4" s="452">
        <f>huishoudens!G8</f>
        <v>0</v>
      </c>
      <c r="H4" s="452">
        <f>huishoudens!H8</f>
        <v>0</v>
      </c>
      <c r="I4" s="452">
        <f>huishoudens!I8</f>
        <v>0</v>
      </c>
      <c r="J4" s="452">
        <f>huishoudens!J8</f>
        <v>0</v>
      </c>
      <c r="K4" s="452">
        <f>huishoudens!K8</f>
        <v>0</v>
      </c>
      <c r="L4" s="452">
        <f>huishoudens!L8</f>
        <v>0</v>
      </c>
      <c r="M4" s="452">
        <f>huishoudens!M8</f>
        <v>0</v>
      </c>
      <c r="N4" s="452">
        <f>huishoudens!N8</f>
        <v>4891.3681531380153</v>
      </c>
      <c r="O4" s="452">
        <f>huishoudens!O8</f>
        <v>222.20332057134758</v>
      </c>
      <c r="P4" s="453">
        <f>huishoudens!P8</f>
        <v>284.41690130749561</v>
      </c>
      <c r="Q4" s="454">
        <f>SUM(B4:P4)</f>
        <v>79175.011020841848</v>
      </c>
    </row>
    <row r="5" spans="1:17">
      <c r="A5" s="451" t="s">
        <v>155</v>
      </c>
      <c r="B5" s="452">
        <f ca="1">tertiair!B16</f>
        <v>8337.185782999999</v>
      </c>
      <c r="C5" s="452">
        <f ca="1">tertiair!C16</f>
        <v>0</v>
      </c>
      <c r="D5" s="452">
        <f ca="1">tertiair!D16</f>
        <v>7567.6945183619991</v>
      </c>
      <c r="E5" s="452">
        <f>tertiair!E16</f>
        <v>72.500915249105248</v>
      </c>
      <c r="F5" s="452">
        <f ca="1">tertiair!F16</f>
        <v>1038.0896398190048</v>
      </c>
      <c r="G5" s="452">
        <f>tertiair!G16</f>
        <v>0</v>
      </c>
      <c r="H5" s="452">
        <f>tertiair!H16</f>
        <v>0</v>
      </c>
      <c r="I5" s="452">
        <f>tertiair!I16</f>
        <v>0</v>
      </c>
      <c r="J5" s="452">
        <f>tertiair!J16</f>
        <v>5.1460750640690306E-2</v>
      </c>
      <c r="K5" s="452">
        <f>tertiair!K16</f>
        <v>0</v>
      </c>
      <c r="L5" s="452">
        <f ca="1">tertiair!L16</f>
        <v>0</v>
      </c>
      <c r="M5" s="452">
        <f>tertiair!M16</f>
        <v>0</v>
      </c>
      <c r="N5" s="452">
        <f ca="1">tertiair!N16</f>
        <v>2015.1057548466329</v>
      </c>
      <c r="O5" s="452">
        <f>tertiair!O16</f>
        <v>4.8972607658411542</v>
      </c>
      <c r="P5" s="453">
        <f>tertiair!P16</f>
        <v>52.539138306495019</v>
      </c>
      <c r="Q5" s="451">
        <f t="shared" ref="Q5:Q14" ca="1" si="0">SUM(B5:P5)</f>
        <v>19088.064471099719</v>
      </c>
    </row>
    <row r="6" spans="1:17">
      <c r="A6" s="451" t="s">
        <v>193</v>
      </c>
      <c r="B6" s="452">
        <f>'openbare verlichting'!B8</f>
        <v>522.17600000000004</v>
      </c>
      <c r="C6" s="452"/>
      <c r="D6" s="452"/>
      <c r="E6" s="452"/>
      <c r="F6" s="452"/>
      <c r="G6" s="452"/>
      <c r="H6" s="452"/>
      <c r="I6" s="452"/>
      <c r="J6" s="452"/>
      <c r="K6" s="452"/>
      <c r="L6" s="452"/>
      <c r="M6" s="452"/>
      <c r="N6" s="452"/>
      <c r="O6" s="452"/>
      <c r="P6" s="453"/>
      <c r="Q6" s="451">
        <f t="shared" si="0"/>
        <v>522.17600000000004</v>
      </c>
    </row>
    <row r="7" spans="1:17">
      <c r="A7" s="451" t="s">
        <v>111</v>
      </c>
      <c r="B7" s="452">
        <f>landbouw!B8</f>
        <v>232.28699800000001</v>
      </c>
      <c r="C7" s="452">
        <f>landbouw!C8</f>
        <v>0</v>
      </c>
      <c r="D7" s="452">
        <f>landbouw!D8</f>
        <v>235.97893178199999</v>
      </c>
      <c r="E7" s="452">
        <f>landbouw!E8</f>
        <v>7.249600608777893</v>
      </c>
      <c r="F7" s="452">
        <f>landbouw!F8</f>
        <v>820.92798299149047</v>
      </c>
      <c r="G7" s="452">
        <f>landbouw!G8</f>
        <v>0</v>
      </c>
      <c r="H7" s="452">
        <f>landbouw!H8</f>
        <v>0</v>
      </c>
      <c r="I7" s="452">
        <f>landbouw!I8</f>
        <v>0</v>
      </c>
      <c r="J7" s="452">
        <f>landbouw!J8</f>
        <v>63.996678845213339</v>
      </c>
      <c r="K7" s="452">
        <f>landbouw!K8</f>
        <v>0</v>
      </c>
      <c r="L7" s="452">
        <f>landbouw!L8</f>
        <v>0</v>
      </c>
      <c r="M7" s="452">
        <f>landbouw!M8</f>
        <v>0</v>
      </c>
      <c r="N7" s="452">
        <f>landbouw!N8</f>
        <v>0</v>
      </c>
      <c r="O7" s="452">
        <f>landbouw!O8</f>
        <v>0</v>
      </c>
      <c r="P7" s="453">
        <f>landbouw!P8</f>
        <v>0</v>
      </c>
      <c r="Q7" s="451">
        <f t="shared" si="0"/>
        <v>1360.4401922274817</v>
      </c>
    </row>
    <row r="8" spans="1:17">
      <c r="A8" s="451" t="s">
        <v>625</v>
      </c>
      <c r="B8" s="452">
        <f>industrie!B18</f>
        <v>742.89352099999996</v>
      </c>
      <c r="C8" s="452">
        <f>industrie!C18</f>
        <v>0</v>
      </c>
      <c r="D8" s="452">
        <f>industrie!D18</f>
        <v>724.92884813799992</v>
      </c>
      <c r="E8" s="452">
        <f>industrie!E18</f>
        <v>108.57673591043874</v>
      </c>
      <c r="F8" s="452">
        <f>industrie!F18</f>
        <v>341.9554730194381</v>
      </c>
      <c r="G8" s="452">
        <f>industrie!G18</f>
        <v>0</v>
      </c>
      <c r="H8" s="452">
        <f>industrie!H18</f>
        <v>0</v>
      </c>
      <c r="I8" s="452">
        <f>industrie!I18</f>
        <v>0</v>
      </c>
      <c r="J8" s="452">
        <f>industrie!J18</f>
        <v>2.844302239558854</v>
      </c>
      <c r="K8" s="452">
        <f>industrie!K18</f>
        <v>0</v>
      </c>
      <c r="L8" s="452">
        <f>industrie!L18</f>
        <v>0</v>
      </c>
      <c r="M8" s="452">
        <f>industrie!M18</f>
        <v>0</v>
      </c>
      <c r="N8" s="452">
        <f>industrie!N18</f>
        <v>39.059635333071569</v>
      </c>
      <c r="O8" s="452">
        <f>industrie!O18</f>
        <v>0</v>
      </c>
      <c r="P8" s="453">
        <f>industrie!P18</f>
        <v>0</v>
      </c>
      <c r="Q8" s="451">
        <f t="shared" si="0"/>
        <v>1960.2585156405073</v>
      </c>
    </row>
    <row r="9" spans="1:17" s="457" customFormat="1">
      <c r="A9" s="455" t="s">
        <v>551</v>
      </c>
      <c r="B9" s="456">
        <f>transport!B14</f>
        <v>119.83465714725331</v>
      </c>
      <c r="C9" s="456">
        <f>transport!C14</f>
        <v>0</v>
      </c>
      <c r="D9" s="456">
        <f>transport!D14</f>
        <v>421.11458009571828</v>
      </c>
      <c r="E9" s="456">
        <f>transport!E14</f>
        <v>413.85711999905379</v>
      </c>
      <c r="F9" s="456">
        <f>transport!F14</f>
        <v>0</v>
      </c>
      <c r="G9" s="456">
        <f>transport!G14</f>
        <v>166733.82719054478</v>
      </c>
      <c r="H9" s="456">
        <f>transport!H14</f>
        <v>40426.707002781477</v>
      </c>
      <c r="I9" s="456">
        <f>transport!I14</f>
        <v>0</v>
      </c>
      <c r="J9" s="456">
        <f>transport!J14</f>
        <v>0</v>
      </c>
      <c r="K9" s="456">
        <f>transport!K14</f>
        <v>0</v>
      </c>
      <c r="L9" s="456">
        <f>transport!L14</f>
        <v>0</v>
      </c>
      <c r="M9" s="456">
        <f>transport!M14</f>
        <v>12287.504158205318</v>
      </c>
      <c r="N9" s="456">
        <f>transport!N14</f>
        <v>0</v>
      </c>
      <c r="O9" s="456">
        <f>transport!O14</f>
        <v>0</v>
      </c>
      <c r="P9" s="456">
        <f>transport!P14</f>
        <v>0</v>
      </c>
      <c r="Q9" s="455">
        <f>SUM(B9:P9)</f>
        <v>220402.8447087736</v>
      </c>
    </row>
    <row r="10" spans="1:17">
      <c r="A10" s="451" t="s">
        <v>541</v>
      </c>
      <c r="B10" s="452">
        <f>transport!B54</f>
        <v>0</v>
      </c>
      <c r="C10" s="452">
        <f>transport!C54</f>
        <v>0</v>
      </c>
      <c r="D10" s="452">
        <f>transport!D54</f>
        <v>0</v>
      </c>
      <c r="E10" s="452">
        <f>transport!E54</f>
        <v>0</v>
      </c>
      <c r="F10" s="452">
        <f>transport!F54</f>
        <v>0</v>
      </c>
      <c r="G10" s="452">
        <f>transport!G54</f>
        <v>3121.8603763838619</v>
      </c>
      <c r="H10" s="452">
        <f>transport!H54</f>
        <v>0</v>
      </c>
      <c r="I10" s="452">
        <f>transport!I54</f>
        <v>0</v>
      </c>
      <c r="J10" s="452">
        <f>transport!J54</f>
        <v>0</v>
      </c>
      <c r="K10" s="452">
        <f>transport!K54</f>
        <v>0</v>
      </c>
      <c r="L10" s="452">
        <f>transport!L54</f>
        <v>0</v>
      </c>
      <c r="M10" s="452">
        <f>transport!M54</f>
        <v>173.48604634286701</v>
      </c>
      <c r="N10" s="452">
        <f>transport!N54</f>
        <v>0</v>
      </c>
      <c r="O10" s="452">
        <f>transport!O54</f>
        <v>0</v>
      </c>
      <c r="P10" s="453">
        <f>transport!P54</f>
        <v>0</v>
      </c>
      <c r="Q10" s="451">
        <f t="shared" si="0"/>
        <v>3295.3464227267291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417.23684499999996</v>
      </c>
      <c r="C14" s="459"/>
      <c r="D14" s="459">
        <f>'SEAP template'!E25</f>
        <v>731.21700600000008</v>
      </c>
      <c r="E14" s="459"/>
      <c r="F14" s="459"/>
      <c r="G14" s="459"/>
      <c r="H14" s="459"/>
      <c r="I14" s="459"/>
      <c r="J14" s="459"/>
      <c r="K14" s="459"/>
      <c r="L14" s="459"/>
      <c r="M14" s="459"/>
      <c r="N14" s="459"/>
      <c r="O14" s="459"/>
      <c r="P14" s="460"/>
      <c r="Q14" s="451">
        <f t="shared" si="0"/>
        <v>1148.453851</v>
      </c>
    </row>
    <row r="15" spans="1:17" s="463" customFormat="1">
      <c r="A15" s="461" t="s">
        <v>545</v>
      </c>
      <c r="B15" s="462">
        <f ca="1">SUM(B4:B14)</f>
        <v>26821.722506102309</v>
      </c>
      <c r="C15" s="462">
        <f t="shared" ref="C15:Q15" ca="1" si="1">SUM(C4:C14)</f>
        <v>0</v>
      </c>
      <c r="D15" s="462">
        <f t="shared" ca="1" si="1"/>
        <v>46860.588657297718</v>
      </c>
      <c r="E15" s="462">
        <f t="shared" si="1"/>
        <v>5545.1526106170049</v>
      </c>
      <c r="F15" s="462">
        <f t="shared" ca="1" si="1"/>
        <v>17405.264027930225</v>
      </c>
      <c r="G15" s="462">
        <f t="shared" si="1"/>
        <v>169855.68756692862</v>
      </c>
      <c r="H15" s="462">
        <f t="shared" si="1"/>
        <v>40426.707002781477</v>
      </c>
      <c r="I15" s="462">
        <f t="shared" si="1"/>
        <v>0</v>
      </c>
      <c r="J15" s="462">
        <f t="shared" si="1"/>
        <v>66.892441835412882</v>
      </c>
      <c r="K15" s="462">
        <f t="shared" si="1"/>
        <v>0</v>
      </c>
      <c r="L15" s="462">
        <f t="shared" ca="1" si="1"/>
        <v>0</v>
      </c>
      <c r="M15" s="462">
        <f t="shared" si="1"/>
        <v>12460.990204548185</v>
      </c>
      <c r="N15" s="462">
        <f t="shared" ca="1" si="1"/>
        <v>6945.5335433177188</v>
      </c>
      <c r="O15" s="462">
        <f t="shared" si="1"/>
        <v>227.10058133718874</v>
      </c>
      <c r="P15" s="462">
        <f t="shared" si="1"/>
        <v>336.95603961399064</v>
      </c>
      <c r="Q15" s="462">
        <f t="shared" ca="1" si="1"/>
        <v>326952.59518230992</v>
      </c>
    </row>
    <row r="17" spans="1:17">
      <c r="A17" s="464" t="s">
        <v>546</v>
      </c>
      <c r="B17" s="781">
        <f ca="1">huishoudens!B10</f>
        <v>0.20218551571200769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3325.9737114233685</v>
      </c>
      <c r="C22" s="452">
        <f t="shared" ref="C22:C32" ca="1" si="3">C4*$C$17</f>
        <v>0</v>
      </c>
      <c r="D22" s="452">
        <f t="shared" ref="D22:D32" si="4">D4*$D$17</f>
        <v>7510.2902641298415</v>
      </c>
      <c r="E22" s="452">
        <f t="shared" ref="E22:E32" si="5">E4*$E$17</f>
        <v>1122.053790218866</v>
      </c>
      <c r="F22" s="452">
        <f t="shared" ref="F22:F32" si="6">F4*$F$17</f>
        <v>4059.5456788707775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16017.863444642855</v>
      </c>
    </row>
    <row r="23" spans="1:17">
      <c r="A23" s="451" t="s">
        <v>155</v>
      </c>
      <c r="B23" s="452">
        <f t="shared" ca="1" si="2"/>
        <v>1685.6582071226735</v>
      </c>
      <c r="C23" s="452">
        <f t="shared" ca="1" si="3"/>
        <v>0</v>
      </c>
      <c r="D23" s="452">
        <f t="shared" ca="1" si="4"/>
        <v>1528.6742927091238</v>
      </c>
      <c r="E23" s="452">
        <f t="shared" si="5"/>
        <v>16.457707761546892</v>
      </c>
      <c r="F23" s="452">
        <f t="shared" ca="1" si="6"/>
        <v>277.16993383167431</v>
      </c>
      <c r="G23" s="452">
        <f t="shared" si="7"/>
        <v>0</v>
      </c>
      <c r="H23" s="452">
        <f t="shared" si="8"/>
        <v>0</v>
      </c>
      <c r="I23" s="452">
        <f t="shared" si="9"/>
        <v>0</v>
      </c>
      <c r="J23" s="452">
        <f t="shared" si="10"/>
        <v>1.8217105726804367E-2</v>
      </c>
      <c r="K23" s="452">
        <f t="shared" si="11"/>
        <v>0</v>
      </c>
      <c r="L23" s="452">
        <f t="shared" ca="1" si="12"/>
        <v>0</v>
      </c>
      <c r="M23" s="452">
        <f t="shared" si="13"/>
        <v>0</v>
      </c>
      <c r="N23" s="452">
        <f t="shared" ca="1" si="14"/>
        <v>0</v>
      </c>
      <c r="O23" s="452">
        <f t="shared" si="15"/>
        <v>0</v>
      </c>
      <c r="P23" s="453">
        <f t="shared" si="16"/>
        <v>0</v>
      </c>
      <c r="Q23" s="451">
        <f t="shared" ref="Q23:Q31" ca="1" si="17">SUM(B23:P23)</f>
        <v>3507.9783585307455</v>
      </c>
    </row>
    <row r="24" spans="1:17">
      <c r="A24" s="451" t="s">
        <v>193</v>
      </c>
      <c r="B24" s="452">
        <f t="shared" ca="1" si="2"/>
        <v>105.57642385243334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105.57642385243334</v>
      </c>
    </row>
    <row r="25" spans="1:17">
      <c r="A25" s="451" t="s">
        <v>111</v>
      </c>
      <c r="B25" s="452">
        <f t="shared" ca="1" si="2"/>
        <v>46.965066483824103</v>
      </c>
      <c r="C25" s="452">
        <f t="shared" ca="1" si="3"/>
        <v>0</v>
      </c>
      <c r="D25" s="452">
        <f t="shared" si="4"/>
        <v>47.667744219964</v>
      </c>
      <c r="E25" s="452">
        <f t="shared" si="5"/>
        <v>1.6456593381925817</v>
      </c>
      <c r="F25" s="452">
        <f t="shared" si="6"/>
        <v>219.18777145872798</v>
      </c>
      <c r="G25" s="452">
        <f t="shared" si="7"/>
        <v>0</v>
      </c>
      <c r="H25" s="452">
        <f t="shared" si="8"/>
        <v>0</v>
      </c>
      <c r="I25" s="452">
        <f t="shared" si="9"/>
        <v>0</v>
      </c>
      <c r="J25" s="452">
        <f t="shared" si="10"/>
        <v>22.65482431120552</v>
      </c>
      <c r="K25" s="452">
        <f t="shared" si="11"/>
        <v>0</v>
      </c>
      <c r="L25" s="452">
        <f t="shared" si="12"/>
        <v>0</v>
      </c>
      <c r="M25" s="452">
        <f t="shared" si="13"/>
        <v>0</v>
      </c>
      <c r="N25" s="452">
        <f t="shared" si="14"/>
        <v>0</v>
      </c>
      <c r="O25" s="452">
        <f t="shared" si="15"/>
        <v>0</v>
      </c>
      <c r="P25" s="453">
        <f t="shared" si="16"/>
        <v>0</v>
      </c>
      <c r="Q25" s="451">
        <f t="shared" ca="1" si="17"/>
        <v>338.12106581191415</v>
      </c>
    </row>
    <row r="26" spans="1:17">
      <c r="A26" s="451" t="s">
        <v>625</v>
      </c>
      <c r="B26" s="452">
        <f t="shared" ca="1" si="2"/>
        <v>150.2023096624942</v>
      </c>
      <c r="C26" s="452">
        <f t="shared" ca="1" si="3"/>
        <v>0</v>
      </c>
      <c r="D26" s="452">
        <f t="shared" si="4"/>
        <v>146.43562732387599</v>
      </c>
      <c r="E26" s="452">
        <f t="shared" si="5"/>
        <v>24.646919051669595</v>
      </c>
      <c r="F26" s="452">
        <f t="shared" si="6"/>
        <v>91.302111296189977</v>
      </c>
      <c r="G26" s="452">
        <f t="shared" si="7"/>
        <v>0</v>
      </c>
      <c r="H26" s="452">
        <f t="shared" si="8"/>
        <v>0</v>
      </c>
      <c r="I26" s="452">
        <f t="shared" si="9"/>
        <v>0</v>
      </c>
      <c r="J26" s="452">
        <f t="shared" si="10"/>
        <v>1.0068829928038343</v>
      </c>
      <c r="K26" s="452">
        <f t="shared" si="11"/>
        <v>0</v>
      </c>
      <c r="L26" s="452">
        <f t="shared" si="12"/>
        <v>0</v>
      </c>
      <c r="M26" s="452">
        <f t="shared" si="13"/>
        <v>0</v>
      </c>
      <c r="N26" s="452">
        <f t="shared" si="14"/>
        <v>0</v>
      </c>
      <c r="O26" s="452">
        <f t="shared" si="15"/>
        <v>0</v>
      </c>
      <c r="P26" s="453">
        <f t="shared" si="16"/>
        <v>0</v>
      </c>
      <c r="Q26" s="451">
        <f t="shared" ca="1" si="17"/>
        <v>413.59385032703358</v>
      </c>
    </row>
    <row r="27" spans="1:17" s="457" customFormat="1">
      <c r="A27" s="455" t="s">
        <v>551</v>
      </c>
      <c r="B27" s="775">
        <f t="shared" ca="1" si="2"/>
        <v>24.228831955489039</v>
      </c>
      <c r="C27" s="456">
        <f t="shared" ca="1" si="3"/>
        <v>0</v>
      </c>
      <c r="D27" s="456">
        <f t="shared" si="4"/>
        <v>85.065145179335104</v>
      </c>
      <c r="E27" s="456">
        <f t="shared" si="5"/>
        <v>93.945566239785208</v>
      </c>
      <c r="F27" s="456">
        <f t="shared" si="6"/>
        <v>0</v>
      </c>
      <c r="G27" s="456">
        <f t="shared" si="7"/>
        <v>44517.931859875454</v>
      </c>
      <c r="H27" s="456">
        <f t="shared" si="8"/>
        <v>10066.250043692587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54787.421446942652</v>
      </c>
    </row>
    <row r="28" spans="1:17" ht="16.5" customHeight="1">
      <c r="A28" s="451" t="s">
        <v>541</v>
      </c>
      <c r="B28" s="452">
        <f t="shared" ca="1" si="2"/>
        <v>0</v>
      </c>
      <c r="C28" s="452">
        <f t="shared" ca="1" si="3"/>
        <v>0</v>
      </c>
      <c r="D28" s="452">
        <f t="shared" si="4"/>
        <v>0</v>
      </c>
      <c r="E28" s="452">
        <f t="shared" si="5"/>
        <v>0</v>
      </c>
      <c r="F28" s="452">
        <f t="shared" si="6"/>
        <v>0</v>
      </c>
      <c r="G28" s="452">
        <f t="shared" si="7"/>
        <v>833.53672049449119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833.53672049449119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84.359246680376003</v>
      </c>
      <c r="C32" s="452">
        <f t="shared" ca="1" si="3"/>
        <v>0</v>
      </c>
      <c r="D32" s="452">
        <f t="shared" si="4"/>
        <v>147.70583521200004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232.06508189237604</v>
      </c>
    </row>
    <row r="33" spans="1:17" s="463" customFormat="1">
      <c r="A33" s="461" t="s">
        <v>545</v>
      </c>
      <c r="B33" s="462">
        <f ca="1">SUM(B22:B32)</f>
        <v>5422.9637971806587</v>
      </c>
      <c r="C33" s="462">
        <f t="shared" ref="C33:Q33" ca="1" si="19">SUM(C22:C32)</f>
        <v>0</v>
      </c>
      <c r="D33" s="462">
        <f t="shared" ca="1" si="19"/>
        <v>9465.8389087741398</v>
      </c>
      <c r="E33" s="462">
        <f t="shared" si="19"/>
        <v>1258.7496426100604</v>
      </c>
      <c r="F33" s="462">
        <f t="shared" ca="1" si="19"/>
        <v>4647.2054954573696</v>
      </c>
      <c r="G33" s="462">
        <f t="shared" si="19"/>
        <v>45351.468580369947</v>
      </c>
      <c r="H33" s="462">
        <f t="shared" si="19"/>
        <v>10066.250043692587</v>
      </c>
      <c r="I33" s="462">
        <f t="shared" si="19"/>
        <v>0</v>
      </c>
      <c r="J33" s="462">
        <f t="shared" si="19"/>
        <v>23.679924409736159</v>
      </c>
      <c r="K33" s="462">
        <f t="shared" si="19"/>
        <v>0</v>
      </c>
      <c r="L33" s="462">
        <f t="shared" ca="1" si="19"/>
        <v>0</v>
      </c>
      <c r="M33" s="462">
        <f t="shared" si="19"/>
        <v>0</v>
      </c>
      <c r="N33" s="462">
        <f t="shared" ca="1" si="19"/>
        <v>0</v>
      </c>
      <c r="O33" s="462">
        <f t="shared" si="19"/>
        <v>0</v>
      </c>
      <c r="P33" s="462">
        <f t="shared" si="19"/>
        <v>0</v>
      </c>
      <c r="Q33" s="462">
        <f t="shared" ca="1" si="19"/>
        <v>76236.156392494493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2283.4247813029488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2283.4247813029488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0.20218551571200769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0.20218551571200769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2020-06-20T15:31:24Z</dcterms:modified>
</cp:coreProperties>
</file>