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22" i="59"/>
  <c r="C29" i="20"/>
  <c r="C20" i="16"/>
  <c r="C22" i="16" s="1"/>
  <c r="D43" i="14" s="1"/>
  <c r="C10" i="17"/>
  <c r="C12" i="17" s="1"/>
  <c r="D54" i="14" s="1"/>
  <c r="D56"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<sst xmlns="http://schemas.openxmlformats.org/spreadsheetml/2006/main" count="2409" uniqueCount="892">
  <si>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</si>
  <si>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</si>
  <si>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</si>
  <si>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</si>
  <si>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</si>
  <si>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</si>
  <si>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</si>
  <si>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</si>
  <si>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</si>
  <si>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</si>
  <si>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</si>
  <si>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</si>
  <si>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</si>
  <si>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</si>
  <si>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</si>
  <si>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</si>
  <si>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</si>
  <si>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</si>
  <si>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</si>
  <si>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</si>
  <si>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</si>
  <si>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</si>
  <si>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</si>
  <si>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</si>
  <si>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</si>
  <si>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</si>
  <si>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</si>
  <si>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</si>
  <si>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</si>
  <si>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</si>
  <si>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</si>
  <si>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</si>
  <si>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</si>
  <si>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</si>
  <si>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</si>
  <si>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</si>
  <si>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</si>
  <si>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</si>
  <si>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</si>
  <si>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</si>
  <si>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</si>
  <si>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</si>
  <si>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</si>
  <si>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</si>
  <si>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</si>
  <si>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</si>
  <si>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</si>
  <si>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</si>
  <si>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</si>
  <si>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</si>
  <si>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</si>
  <si>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</si>
  <si>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</si>
  <si>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</si>
  <si>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</si>
  <si>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</si>
  <si>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</si>
  <si>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</si>
  <si>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</si>
  <si>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</si>
  <si>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</si>
  <si>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</si>
  <si>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</si>
  <si>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</si>
  <si>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</si>
  <si>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</si>
  <si>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</si>
  <si>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</si>
  <si>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</si>
  <si>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</si>
  <si>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</si>
  <si>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</si>
  <si>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</si>
  <si>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</si>
  <si>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</si>
  <si>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</si>
  <si>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</si>
  <si>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</si>
  <si>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</si>
  <si>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</si>
  <si>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</si>
  <si>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</si>
  <si>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</si>
  <si>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</si>
  <si>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</si>
  <si>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</si>
  <si>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</si>
  <si>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</si>
  <si>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</si>
  <si>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</si>
  <si>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</si>
  <si>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</si>
  <si>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</si>
  <si>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</si>
  <si>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</si>
  <si>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</si>
  <si>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</si>
  <si>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</si>
  <si>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</si>
  <si>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</si>
  <si>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</si>
  <si>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</si>
  <si>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</si>
  <si>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</si>
  <si>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</si>
  <si>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</si>
  <si>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</si>
  <si>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</si>
  <si>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</si>
  <si>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</si>
  <si>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</si>
  <si>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</si>
  <si>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</si>
  <si>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</si>
  <si>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</si>
  <si>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</si>
  <si>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</si>
  <si>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</si>
  <si>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</si>
  <si>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</si>
  <si>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</si>
  <si>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</si>
  <si>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</si>
  <si>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</si>
  <si>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</si>
  <si>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</si>
  <si>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</si>
  <si>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</si>
  <si>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</si>
  <si>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</si>
  <si>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</si>
  <si>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</si>
  <si>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</si>
  <si>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</si>
  <si>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</si>
  <si>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</si>
  <si>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</si>
  <si>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</si>
  <si>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</si>
  <si>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</si>
  <si>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</si>
  <si>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</si>
  <si>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</si>
  <si>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</si>
  <si>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</si>
  <si>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</si>
  <si>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</si>
  <si>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</si>
  <si>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</si>
  <si>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</si>
  <si>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</si>
  <si>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</si>
  <si>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</si>
  <si>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</si>
  <si>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</si>
  <si>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</si>
  <si>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</si>
  <si>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</si>
  <si>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</si>
  <si>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</si>
  <si>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</si>
  <si>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</si>
  <si>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</si>
  <si>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</si>
  <si>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</si>
  <si>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</si>
  <si>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</si>
  <si>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</si>
  <si>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</si>
  <si>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</si>
  <si>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</si>
  <si>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</si>
  <si>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</si>
  <si>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</si>
  <si>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</si>
  <si>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</si>
  <si>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</si>
  <si>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</si>
  <si>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</si>
  <si>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</si>
  <si>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</si>
  <si>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</si>
  <si>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</si>
  <si>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</si>
  <si>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</si>
  <si>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</si>
  <si>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</si>
  <si>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</si>
  <si>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</si>
  <si>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</si>
  <si>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</si>
  <si>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</si>
  <si>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</si>
  <si>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</si>
  <si>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</si>
  <si>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</si>
  <si>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</si>
  <si>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</si>
  <si>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</si>
  <si>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</si>
  <si>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</si>
  <si>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</si>
  <si>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</si>
  <si>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</si>
  <si>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</si>
  <si>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</si>
  <si>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</si>
  <si>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</si>
  <si>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</si>
  <si>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</si>
  <si>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</si>
  <si>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</si>
  <si>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</si>
  <si>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</si>
  <si>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</si>
  <si>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</si>
  <si>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</si>
  <si>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</si>
  <si>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</si>
  <si>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</si>
  <si>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</si>
  <si>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</si>
  <si>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</si>
  <si>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</si>
  <si>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</si>
  <si>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</si>
  <si>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</si>
  <si>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</si>
  <si>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</si>
  <si>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</si>
  <si>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</si>
  <si>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</si>
  <si>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</si>
  <si>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</si>
  <si>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</si>
  <si>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</si>
  <si>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</si>
  <si>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</si>
  <si>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</si>
  <si>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</si>
  <si>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</si>
  <si>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</si>
  <si>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</si>
  <si>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</si>
  <si>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</si>
  <si>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</si>
  <si>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</si>
  <si>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</si>
  <si>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</si>
  <si>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</si>
  <si>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</si>
  <si>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</si>
  <si>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</si>
  <si>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</si>
  <si>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</si>
  <si>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</si>
  <si>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</si>
  <si>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</si>
  <si>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</si>
  <si>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</si>
  <si>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</si>
  <si>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</si>
  <si>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</si>
  <si>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</si>
  <si>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</si>
  <si>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</si>
  <si>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</si>
  <si>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</si>
  <si>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</si>
  <si>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</si>
  <si>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</si>
  <si>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</si>
  <si>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</si>
  <si>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</si>
  <si>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</si>
  <si>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</si>
  <si>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</si>
  <si>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</si>
  <si>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</si>
  <si>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</si>
  <si>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</si>
  <si>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</si>
  <si>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</si>
  <si>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</si>
  <si>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</si>
  <si>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</si>
  <si>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</si>
  <si>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</si>
  <si>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</si>
  <si>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</si>
  <si>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</si>
  <si>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</si>
  <si>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</si>
  <si>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</si>
  <si>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</si>
  <si>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</si>
  <si>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</si>
  <si>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</si>
  <si>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</si>
  <si>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</si>
  <si>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</si>
  <si>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</si>
  <si>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</si>
  <si>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</si>
  <si>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</si>
  <si>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</si>
  <si>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</si>
  <si>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</si>
  <si>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</si>
  <si>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</si>
  <si>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</si>
  <si>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</si>
  <si>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</si>
  <si>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</si>
  <si>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</si>
  <si>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</si>
  <si>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</si>
  <si>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</si>
  <si>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</si>
  <si>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</si>
  <si>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</si>
  <si>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</si>
  <si>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</si>
  <si>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</si>
  <si>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</si>
  <si>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</si>
  <si>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</si>
  <si>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</si>
  <si>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</si>
  <si>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</si>
  <si>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</si>
  <si>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</si>
  <si>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</si>
  <si>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</si>
  <si>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</si>
  <si>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</si>
  <si>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</si>
  <si>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</si>
  <si>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</si>
  <si>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</si>
  <si>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</si>
  <si>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</si>
  <si>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</si>
  <si>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</si>
  <si>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</si>
  <si>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</si>
  <si>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</si>
  <si>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</si>
  <si>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</si>
  <si>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</si>
  <si>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</si>
  <si>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</si>
  <si>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</si>
  <si>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</si>
  <si>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</si>
  <si>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</si>
  <si>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</si>
  <si>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</si>
  <si>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</si>
  <si>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</si>
  <si>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</si>
  <si>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</si>
  <si>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</si>
  <si>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</si>
  <si>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</si>
  <si>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</si>
  <si>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</si>
  <si>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</si>
  <si>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</si>
  <si>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</si>
  <si>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</si>
  <si>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</si>
  <si>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</si>
  <si>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</si>
  <si>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</si>
  <si>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</si>
  <si>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</si>
  <si>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</si>
  <si>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</si>
  <si>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</si>
  <si>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</si>
  <si>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</si>
  <si>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</si>
  <si>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</si>
  <si>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</si>
  <si>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</si>
  <si>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</si>
  <si>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</si>
  <si>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</si>
  <si>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</si>
  <si>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</si>
  <si>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</si>
  <si>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</si>
  <si>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</si>
  <si>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</si>
  <si>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</si>
  <si>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</si>
  <si>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</si>
  <si>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</si>
  <si>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</si>
  <si>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</si>
  <si>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</si>
  <si>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</si>
  <si>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</si>
  <si>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</si>
  <si>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</si>
  <si>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</si>
  <si>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</si>
  <si>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</si>
  <si>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</si>
  <si>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</si>
  <si>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</si>
  <si>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</si>
  <si>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</si>
  <si>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</si>
  <si>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</si>
  <si>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</si>
  <si>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</si>
  <si>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</si>
  <si>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</si>
  <si>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</si>
  <si>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</si>
  <si>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</si>
  <si>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</si>
  <si>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</si>
  <si>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</si>
  <si>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</si>
  <si>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</si>
  <si>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</si>
  <si>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</si>
  <si>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</si>
  <si>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</si>
  <si>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</si>
  <si>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</si>
  <si>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</si>
  <si>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</si>
  <si>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</si>
  <si>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</si>
  <si>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</si>
  <si>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</si>
  <si>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</si>
  <si>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</si>
  <si>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</si>
  <si>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</si>
  <si>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</si>
  <si>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</si>
  <si>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</si>
  <si>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</si>
  <si>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</si>
  <si>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</si>
  <si>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</si>
  <si>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</si>
  <si>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</si>
  <si>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</si>
  <si>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</si>
  <si>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</si>
  <si>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</si>
  <si>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</si>
  <si>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</si>
  <si>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</si>
  <si>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</si>
  <si>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</si>
  <si>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</si>
  <si>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</si>
  <si>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</si>
  <si>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</si>
  <si>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</si>
  <si>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</si>
  <si>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</si>
  <si>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</si>
  <si>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</si>
  <si>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</si>
  <si>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</si>
  <si>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</si>
  <si>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</si>
  <si>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</si>
  <si>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</si>
  <si>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</si>
  <si>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</si>
  <si>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</si>
  <si>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</si>
  <si>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</si>
  <si>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</si>
  <si>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</si>
  <si>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</si>
  <si>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</si>
  <si>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</si>
  <si>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</si>
  <si>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</si>
  <si>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</si>
  <si>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</si>
  <si>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</si>
  <si>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</si>
  <si>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</si>
  <si>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</si>
  <si>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</si>
  <si>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</si>
  <si>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</si>
  <si>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</si>
  <si>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</si>
  <si>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</si>
  <si>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</si>
  <si>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</si>
  <si>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</si>
  <si>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</si>
  <si>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</si>
  <si>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</si>
  <si>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</si>
  <si>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</si>
  <si>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</si>
  <si>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</si>
  <si>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</si>
  <si>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</si>
  <si>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</si>
  <si>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</si>
  <si>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</si>
  <si>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</si>
  <si>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</si>
  <si>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</si>
  <si>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</si>
  <si>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</si>
  <si>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</si>
  <si>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</si>
  <si>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</si>
  <si>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</si>
  <si>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</si>
  <si>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</si>
  <si>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</si>
  <si>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</si>
  <si>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</si>
  <si>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</si>
  <si>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</si>
  <si>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</si>
  <si>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</si>
  <si>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</si>
  <si>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</si>
  <si>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</si>
  <si>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</si>
  <si>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</si>
  <si>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</si>
  <si>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</si>
  <si>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</si>
  <si>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</si>
  <si>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</si>
  <si>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</si>
  <si>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</si>
  <si>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</si>
  <si>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</si>
  <si>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</si>
  <si>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</si>
  <si>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</si>
  <si>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</si>
  <si>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</si>
  <si>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</si>
  <si>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</si>
  <si>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</si>
  <si>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</si>
  <si>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</si>
  <si>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</si>
  <si>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</si>
  <si>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</si>
  <si>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</si>
  <si>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</si>
  <si>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</si>
  <si>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</si>
  <si>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</si>
  <si>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</si>
  <si>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</si>
  <si>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</si>
  <si>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</si>
  <si>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</si>
  <si>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</si>
  <si>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</si>
  <si>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</si>
  <si>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</si>
  <si>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</si>
  <si>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</si>
  <si>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</si>
  <si>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</si>
  <si>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</si>
  <si>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</si>
  <si>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</si>
  <si>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</si>
  <si>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</si>
  <si>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</si>
  <si>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</si>
  <si>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</si>
  <si>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</si>
  <si>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</si>
  <si>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</si>
  <si>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</si>
  <si>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</si>
  <si>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</si>
  <si>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</si>
  <si>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</si>
  <si>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</si>
  <si>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</si>
  <si>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</si>
  <si>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</si>
  <si>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</si>
  <si>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</si>
  <si>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</si>
  <si>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</si>
  <si>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</si>
  <si>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</si>
  <si>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</si>
  <si>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</si>
  <si>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</si>
  <si>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</si>
  <si>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</si>
  <si>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</si>
  <si>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</si>
  <si>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</si>
  <si>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</si>
  <si>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</si>
  <si>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</si>
  <si>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</si>
  <si>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</si>
  <si>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</si>
  <si>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</si>
  <si>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</si>
  <si>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</si>
  <si>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</si>
  <si>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</si>
  <si>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</si>
  <si>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</si>
  <si>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</si>
  <si>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</si>
  <si>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</si>
  <si>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</si>
  <si>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</si>
  <si>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</si>
  <si>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</si>
  <si>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</si>
  <si>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</si>
  <si>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</si>
  <si>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</si>
  <si>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</si>
  <si>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</si>
  <si>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</si>
  <si>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</si>
  <si>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</si>
  <si>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</si>
  <si>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</si>
  <si>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</si>
  <si>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</si>
  <si>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</si>
  <si>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</si>
  <si>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</si>
  <si>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</si>
  <si>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</si>
  <si>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</si>
  <si>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</si>
  <si>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</si>
  <si>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</si>
  <si>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</si>
  <si>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</si>
  <si>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</si>
  <si>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</si>
  <si>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</si>
  <si>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</si>
  <si>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</si>
  <si>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</si>
  <si>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</si>
  <si>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</si>
  <si>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</si>
  <si>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</si>
  <si>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</si>
  <si>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</si>
  <si>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</si>
  <si>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</si>
  <si>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</si>
  <si>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</si>
  <si>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</si>
  <si>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</si>
  <si>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</si>
  <si>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</si>
  <si>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</si>
  <si>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</si>
  <si>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</si>
  <si>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</si>
  <si>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</si>
  <si>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</si>
  <si>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</si>
  <si>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</si>
  <si>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</si>
  <si>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</si>
  <si>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</si>
  <si>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</si>
  <si>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</si>
  <si>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</si>
  <si>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</si>
  <si>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</si>
  <si>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</si>
  <si>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</si>
  <si>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</si>
  <si>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</si>
  <si>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</si>
  <si>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</si>
  <si>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</si>
  <si>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</si>
  <si>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</si>
  <si>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</si>
  <si>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</si>
  <si>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</si>
  <si>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</si>
  <si>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</si>
  <si>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</si>
  <si>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</si>
  <si>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</si>
  <si>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</si>
  <si>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</si>
  <si>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</si>
  <si>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</si>
  <si>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</si>
  <si>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</si>
  <si>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</si>
  <si>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</si>
  <si>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</si>
  <si>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</si>
  <si>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</si>
  <si>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</si>
  <si>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</si>
  <si>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</si>
  <si>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</si>
  <si>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</si>
  <si>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</si>
  <si>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</si>
  <si>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</si>
  <si>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</si>
  <si>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</si>
  <si>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</si>
  <si>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</si>
  <si>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</si>
  <si>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</si>
  <si>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</si>
  <si>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</si>
  <si>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</si>
  <si>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</si>
  <si>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</si>
  <si>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</si>
  <si>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</si>
  <si>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</si>
  <si>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</si>
  <si>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</si>
  <si>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</si>
  <si>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</si>
  <si>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</si>
  <si>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</si>
  <si>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</si>
  <si>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</si>
  <si>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</si>
  <si>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</si>
  <si>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</si>
  <si>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</si>
  <si>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</si>
  <si>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</si>
  <si>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</si>
  <si>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</si>
  <si>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</si>
  <si>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</si>
  <si>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</si>
  <si>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</si>
  <si>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</si>
  <si>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</si>
  <si>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</si>
  <si>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</si>
  <si>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</si>
  <si>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</si>
  <si>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</si>
  <si>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</si>
  <si>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</si>
  <si>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</si>
  <si>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</si>
  <si>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</si>
  <si>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</si>
  <si>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</si>
  <si>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</si>
  <si>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</si>
  <si>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</si>
  <si>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</si>
  <si>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</si>
  <si>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</si>
  <si>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</si>
  <si>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</si>
  <si>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</si>
  <si>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</si>
  <si>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</si>
  <si>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</si>
  <si>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</si>
  <si>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</si>
  <si>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</si>
  <si>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</si>
  <si>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</si>
  <si>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</si>
  <si>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</si>
  <si>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</si>
  <si>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</si>
  <si>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</si>
  <si>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</si>
  <si>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</si>
  <si>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</si>
  <si>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</si>
  <si>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</si>
  <si>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</si>
  <si>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</si>
  <si>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</si>
  <si>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</si>
  <si>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</si>
  <si>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</si>
  <si>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</si>
  <si>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</si>
  <si>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</si>
  <si>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</si>
  <si>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</si>
  <si>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</si>
  <si>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</si>
  <si>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</si>
  <si>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</si>
  <si>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</si>
  <si>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</si>
  <si>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</si>
  <si>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</si>
  <si>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</si>
  <si>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</si>
  <si>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</si>
  <si>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</si>
  <si>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</si>
  <si>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</si>
  <si>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</si>
  <si>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</si>
  <si>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</si>
  <si>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</si>
  <si>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</si>
  <si>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</si>
  <si>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</si>
  <si>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</si>
  <si>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</si>
  <si>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</si>
  <si>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</si>
  <si>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</si>
  <si>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</si>
  <si>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</si>
  <si>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</si>
  <si>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</si>
  <si>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</si>
  <si>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</si>
  <si>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</si>
  <si>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</si>
  <si>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</si>
  <si>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</si>
  <si>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</si>
  <si>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</si>
  <si>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</si>
  <si>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</si>
  <si>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</si>
  <si>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</si>
  <si>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</si>
  <si>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</si>
  <si>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</si>
  <si>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</si>
  <si>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</si>
  <si>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</si>
  <si>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</si>
  <si>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</si>
  <si>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</si>
  <si>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</si>
  <si>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</si>
  <si>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</si>
  <si>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</si>
  <si>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</si>
  <si>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</si>
  <si>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</si>
  <si>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</si>
  <si>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</si>
  <si>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</si>
  <si>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</si>
  <si>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</si>
  <si>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</si>
  <si>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</si>
  <si>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</si>
  <si>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</si>
  <si>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</si>
  <si>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</si>
  <si>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</si>
  <si>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24007</t>
  </si>
  <si>
    <t>BEGIJNENDIJK</t>
  </si>
  <si>
    <t>referentietaak LNE (2017); Jaarverslag De Lijn</t>
  </si>
  <si>
    <t>WKK-0655 Ivan Stuyven</t>
  </si>
  <si>
    <t>brandstofcel</t>
  </si>
  <si>
    <t>Aarschotsesteenweg 2 , 3130 Betekom</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</si>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</sst>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96005.410183180094</c:v>
                </c:pt>
                <c:pt idx="1">
                  <c:v>11343.0883604393</c:v>
                </c:pt>
                <c:pt idx="2">
                  <c:v>544.32299999999998</c:v>
                </c:pt>
                <c:pt idx="3">
                  <c:v>672.11396804063793</c:v>
                </c:pt>
                <c:pt idx="4">
                  <c:v>2429.4295117489214</c:v>
                </c:pt>
                <c:pt idx="5">
                  <c:v>62250.110088109534</c:v>
                </c:pt>
                <c:pt idx="6">
                  <c:v>287.02987217483599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96005.410183180094</c:v>
                </c:pt>
                <c:pt idx="1">
                  <c:v>11343.0883604393</c:v>
                </c:pt>
                <c:pt idx="2">
                  <c:v>544.32299999999998</c:v>
                </c:pt>
                <c:pt idx="3">
                  <c:v>672.11396804063793</c:v>
                </c:pt>
                <c:pt idx="4">
                  <c:v>2429.4295117489214</c:v>
                </c:pt>
                <c:pt idx="5">
                  <c:v>62250.110088109534</c:v>
                </c:pt>
                <c:pt idx="6">
                  <c:v>287.02987217483599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20483.005040472664</c:v>
                </c:pt>
                <c:pt idx="1">
                  <c:v>2169.0971287480352</c:v>
                </c:pt>
                <c:pt idx="2">
                  <c:v>102.31617048982859</c:v>
                </c:pt>
                <c:pt idx="3">
                  <c:v>170.29858369013357</c:v>
                </c:pt>
                <c:pt idx="4">
                  <c:v>503.79858995117155</c:v>
                </c:pt>
                <c:pt idx="5">
                  <c:v>15458.927565622105</c:v>
                </c:pt>
                <c:pt idx="6">
                  <c:v>72.602363346855313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20483.005040472664</c:v>
                </c:pt>
                <c:pt idx="1">
                  <c:v>2169.0971287480352</c:v>
                </c:pt>
                <c:pt idx="2">
                  <c:v>102.31617048982859</c:v>
                </c:pt>
                <c:pt idx="3">
                  <c:v>170.29858369013357</c:v>
                </c:pt>
                <c:pt idx="4">
                  <c:v>503.79858995117155</c:v>
                </c:pt>
                <c:pt idx="5">
                  <c:v>15458.927565622105</c:v>
                </c:pt>
                <c:pt idx="6">
                  <c:v>72.602363346855313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24007</v>
      </c>
      <c r="B6" s="390"/>
      <c r="C6" s="391"/>
    </row>
    <row r="7" spans="1:7" s="388" customFormat="1" ht="15.75" customHeight="1">
      <c r="A7" s="392" t="str">
        <f>txtMunicipality</f>
        <v>BEGIJNENDIJK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6842.9111000000012</v>
      </c>
      <c r="D10" s="686">
        <f ca="1">tertiair!C16</f>
        <v>12.175675675675675</v>
      </c>
      <c r="E10" s="686">
        <f ca="1">tertiair!D16</f>
        <v>3844.1929142270269</v>
      </c>
      <c r="F10" s="686">
        <f>tertiair!E16</f>
        <v>110.34365287141337</v>
      </c>
      <c r="G10" s="686">
        <f ca="1">tertiair!F16</f>
        <v>677.31383198571177</v>
      </c>
      <c r="H10" s="686">
        <f>tertiair!G16</f>
        <v>0</v>
      </c>
      <c r="I10" s="686">
        <f>tertiair!H16</f>
        <v>0</v>
      </c>
      <c r="J10" s="686">
        <f>tertiair!I16</f>
        <v>0</v>
      </c>
      <c r="K10" s="686">
        <f>tertiair!J16</f>
        <v>1.0112228314682269E-2</v>
      </c>
      <c r="L10" s="686">
        <f>tertiair!K16</f>
        <v>0</v>
      </c>
      <c r="M10" s="686">
        <f ca="1">tertiair!L16</f>
        <v>0</v>
      </c>
      <c r="N10" s="686">
        <f>tertiair!M16</f>
        <v>0</v>
      </c>
      <c r="O10" s="686">
        <f ca="1">tertiair!N16</f>
        <v>400.46407345115853</v>
      </c>
      <c r="P10" s="686">
        <f>tertiair!O16</f>
        <v>0</v>
      </c>
      <c r="Q10" s="687">
        <f>tertiair!P16</f>
        <v>0</v>
      </c>
      <c r="R10" s="689">
        <f ca="1">SUM(C10:Q10)</f>
        <v>11887.411360439301</v>
      </c>
      <c r="S10" s="67"/>
    </row>
    <row r="11" spans="1:19" s="448" customFormat="1">
      <c r="A11" s="808" t="s">
        <v>224</v>
      </c>
      <c r="B11" s="813"/>
      <c r="C11" s="686">
        <f>huishoudens!B8</f>
        <v>17632.042974388547</v>
      </c>
      <c r="D11" s="686">
        <f>huishoudens!C8</f>
        <v>0</v>
      </c>
      <c r="E11" s="686">
        <f>huishoudens!D8</f>
        <v>19775.090402099999</v>
      </c>
      <c r="F11" s="686">
        <f>huishoudens!E8</f>
        <v>17398.991708539284</v>
      </c>
      <c r="G11" s="686">
        <f>huishoudens!F8</f>
        <v>34548.980500501442</v>
      </c>
      <c r="H11" s="686">
        <f>huishoudens!G8</f>
        <v>0</v>
      </c>
      <c r="I11" s="686">
        <f>huishoudens!H8</f>
        <v>0</v>
      </c>
      <c r="J11" s="686">
        <f>huishoudens!I8</f>
        <v>0</v>
      </c>
      <c r="K11" s="686">
        <f>huishoudens!J8</f>
        <v>0</v>
      </c>
      <c r="L11" s="686">
        <f>huishoudens!K8</f>
        <v>0</v>
      </c>
      <c r="M11" s="686">
        <f>huishoudens!L8</f>
        <v>0</v>
      </c>
      <c r="N11" s="686">
        <f>huishoudens!M8</f>
        <v>0</v>
      </c>
      <c r="O11" s="686">
        <f>huishoudens!N8</f>
        <v>5721.7118352538355</v>
      </c>
      <c r="P11" s="686">
        <f>huishoudens!O8</f>
        <v>212.28352947441243</v>
      </c>
      <c r="Q11" s="687">
        <f>huishoudens!P8</f>
        <v>716.30923292258149</v>
      </c>
      <c r="R11" s="689">
        <f>SUM(C11:Q11)</f>
        <v>96005.410183180094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1106.7445289999998</v>
      </c>
      <c r="D13" s="686">
        <f>industrie!C18</f>
        <v>0</v>
      </c>
      <c r="E13" s="686">
        <f>industrie!D18</f>
        <v>523.34166279999999</v>
      </c>
      <c r="F13" s="686">
        <f>industrie!E18</f>
        <v>177.51580738456497</v>
      </c>
      <c r="G13" s="686">
        <f>industrie!F18</f>
        <v>560.26741956414969</v>
      </c>
      <c r="H13" s="686">
        <f>industrie!G18</f>
        <v>0</v>
      </c>
      <c r="I13" s="686">
        <f>industrie!H18</f>
        <v>0</v>
      </c>
      <c r="J13" s="686">
        <f>industrie!I18</f>
        <v>0</v>
      </c>
      <c r="K13" s="686">
        <f>industrie!J18</f>
        <v>0.45697946834519876</v>
      </c>
      <c r="L13" s="686">
        <f>industrie!K18</f>
        <v>0</v>
      </c>
      <c r="M13" s="686">
        <f>industrie!L18</f>
        <v>0</v>
      </c>
      <c r="N13" s="686">
        <f>industrie!M18</f>
        <v>0</v>
      </c>
      <c r="O13" s="686">
        <f>industrie!N18</f>
        <v>61.10311353186173</v>
      </c>
      <c r="P13" s="686">
        <f>industrie!O18</f>
        <v>0</v>
      </c>
      <c r="Q13" s="687">
        <f>industrie!P18</f>
        <v>0</v>
      </c>
      <c r="R13" s="689">
        <f>SUM(C13:Q13)</f>
        <v>2429.4295117489214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25581.698603388548</v>
      </c>
      <c r="D16" s="722">
        <f t="shared" ref="D16:R16" ca="1" si="0">SUM(D9:D15)</f>
        <v>12.175675675675675</v>
      </c>
      <c r="E16" s="722">
        <f t="shared" ca="1" si="0"/>
        <v>24142.624979127027</v>
      </c>
      <c r="F16" s="722">
        <f t="shared" si="0"/>
        <v>17686.85116879526</v>
      </c>
      <c r="G16" s="722">
        <f t="shared" ca="1" si="0"/>
        <v>35786.561752051304</v>
      </c>
      <c r="H16" s="722">
        <f t="shared" si="0"/>
        <v>0</v>
      </c>
      <c r="I16" s="722">
        <f t="shared" si="0"/>
        <v>0</v>
      </c>
      <c r="J16" s="722">
        <f t="shared" si="0"/>
        <v>0</v>
      </c>
      <c r="K16" s="722">
        <f t="shared" si="0"/>
        <v>0.46709169665988104</v>
      </c>
      <c r="L16" s="722">
        <f t="shared" si="0"/>
        <v>0</v>
      </c>
      <c r="M16" s="722">
        <f t="shared" ca="1" si="0"/>
        <v>0</v>
      </c>
      <c r="N16" s="722">
        <f t="shared" si="0"/>
        <v>0</v>
      </c>
      <c r="O16" s="722">
        <f t="shared" ca="1" si="0"/>
        <v>6183.2790222368558</v>
      </c>
      <c r="P16" s="722">
        <f t="shared" si="0"/>
        <v>212.28352947441243</v>
      </c>
      <c r="Q16" s="722">
        <f t="shared" si="0"/>
        <v>716.30923292258149</v>
      </c>
      <c r="R16" s="722">
        <f t="shared" ca="1" si="0"/>
        <v>110322.25105536832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271.91896384590001</v>
      </c>
      <c r="I19" s="686">
        <f>transport!H54</f>
        <v>0</v>
      </c>
      <c r="J19" s="686">
        <f>transport!I54</f>
        <v>0</v>
      </c>
      <c r="K19" s="686">
        <f>transport!J54</f>
        <v>0</v>
      </c>
      <c r="L19" s="686">
        <f>transport!K54</f>
        <v>0</v>
      </c>
      <c r="M19" s="686">
        <f>transport!L54</f>
        <v>0</v>
      </c>
      <c r="N19" s="686">
        <f>transport!M54</f>
        <v>15.110908328936</v>
      </c>
      <c r="O19" s="686">
        <f>transport!N54</f>
        <v>0</v>
      </c>
      <c r="P19" s="686">
        <f>transport!O54</f>
        <v>0</v>
      </c>
      <c r="Q19" s="687">
        <f>transport!P54</f>
        <v>0</v>
      </c>
      <c r="R19" s="689">
        <f>SUM(C19:Q19)</f>
        <v>287.02987217483599</v>
      </c>
      <c r="S19" s="67"/>
    </row>
    <row r="20" spans="1:19" s="448" customFormat="1">
      <c r="A20" s="808" t="s">
        <v>306</v>
      </c>
      <c r="B20" s="813"/>
      <c r="C20" s="686">
        <f>transport!B14</f>
        <v>32.375961335114724</v>
      </c>
      <c r="D20" s="686">
        <f>transport!C14</f>
        <v>0</v>
      </c>
      <c r="E20" s="686">
        <f>transport!D14</f>
        <v>130.54761328775345</v>
      </c>
      <c r="F20" s="686">
        <f>transport!E14</f>
        <v>108.9110557903055</v>
      </c>
      <c r="G20" s="686">
        <f>transport!F14</f>
        <v>0</v>
      </c>
      <c r="H20" s="686">
        <f>transport!G14</f>
        <v>46372.653232280063</v>
      </c>
      <c r="I20" s="686">
        <f>transport!H14</f>
        <v>12129.51818841491</v>
      </c>
      <c r="J20" s="686">
        <f>transport!I14</f>
        <v>0</v>
      </c>
      <c r="K20" s="686">
        <f>transport!J14</f>
        <v>0</v>
      </c>
      <c r="L20" s="686">
        <f>transport!K14</f>
        <v>0</v>
      </c>
      <c r="M20" s="686">
        <f>transport!L14</f>
        <v>0</v>
      </c>
      <c r="N20" s="686">
        <f>transport!M14</f>
        <v>3476.1040370013911</v>
      </c>
      <c r="O20" s="686">
        <f>transport!N14</f>
        <v>0</v>
      </c>
      <c r="P20" s="686">
        <f>transport!O14</f>
        <v>0</v>
      </c>
      <c r="Q20" s="687">
        <f>transport!P14</f>
        <v>0</v>
      </c>
      <c r="R20" s="689">
        <f>SUM(C20:Q20)</f>
        <v>62250.110088109534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32.375961335114724</v>
      </c>
      <c r="D22" s="811">
        <f t="shared" ref="D22:R22" si="1">SUM(D18:D21)</f>
        <v>0</v>
      </c>
      <c r="E22" s="811">
        <f t="shared" si="1"/>
        <v>130.54761328775345</v>
      </c>
      <c r="F22" s="811">
        <f t="shared" si="1"/>
        <v>108.9110557903055</v>
      </c>
      <c r="G22" s="811">
        <f t="shared" si="1"/>
        <v>0</v>
      </c>
      <c r="H22" s="811">
        <f t="shared" si="1"/>
        <v>46644.572196125962</v>
      </c>
      <c r="I22" s="811">
        <f t="shared" si="1"/>
        <v>12129.51818841491</v>
      </c>
      <c r="J22" s="811">
        <f t="shared" si="1"/>
        <v>0</v>
      </c>
      <c r="K22" s="811">
        <f t="shared" si="1"/>
        <v>0</v>
      </c>
      <c r="L22" s="811">
        <f t="shared" si="1"/>
        <v>0</v>
      </c>
      <c r="M22" s="811">
        <f t="shared" si="1"/>
        <v>0</v>
      </c>
      <c r="N22" s="811">
        <f t="shared" si="1"/>
        <v>3491.2149453303273</v>
      </c>
      <c r="O22" s="811">
        <f t="shared" si="1"/>
        <v>0</v>
      </c>
      <c r="P22" s="811">
        <f t="shared" si="1"/>
        <v>0</v>
      </c>
      <c r="Q22" s="811">
        <f t="shared" si="1"/>
        <v>0</v>
      </c>
      <c r="R22" s="811">
        <f t="shared" si="1"/>
        <v>62537.139960284367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133.66499999999999</v>
      </c>
      <c r="D24" s="686">
        <f>+landbouw!C8</f>
        <v>0</v>
      </c>
      <c r="E24" s="686">
        <f>+landbouw!D8</f>
        <v>25.064776000000002</v>
      </c>
      <c r="F24" s="686">
        <f>+landbouw!E8</f>
        <v>4.1716405727207198</v>
      </c>
      <c r="G24" s="686">
        <f>+landbouw!F8</f>
        <v>472.38691700926609</v>
      </c>
      <c r="H24" s="686">
        <f>+landbouw!G8</f>
        <v>0</v>
      </c>
      <c r="I24" s="686">
        <f>+landbouw!H8</f>
        <v>0</v>
      </c>
      <c r="J24" s="686">
        <f>+landbouw!I8</f>
        <v>0</v>
      </c>
      <c r="K24" s="686">
        <f>+landbouw!J8</f>
        <v>36.825634458651187</v>
      </c>
      <c r="L24" s="686">
        <f>+landbouw!K8</f>
        <v>0</v>
      </c>
      <c r="M24" s="686">
        <f>+landbouw!L8</f>
        <v>0</v>
      </c>
      <c r="N24" s="686">
        <f>+landbouw!M8</f>
        <v>0</v>
      </c>
      <c r="O24" s="686">
        <f>+landbouw!N8</f>
        <v>0</v>
      </c>
      <c r="P24" s="686">
        <f>+landbouw!O8</f>
        <v>0</v>
      </c>
      <c r="Q24" s="687">
        <f>+landbouw!P8</f>
        <v>0</v>
      </c>
      <c r="R24" s="689">
        <f>SUM(C24:Q24)</f>
        <v>672.11396804063793</v>
      </c>
      <c r="S24" s="67"/>
    </row>
    <row r="25" spans="1:19" s="448" customFormat="1" ht="15" thickBot="1">
      <c r="A25" s="830" t="s">
        <v>724</v>
      </c>
      <c r="B25" s="949"/>
      <c r="C25" s="950">
        <f>IF(Onbekend_ele_kWh="---",0,Onbekend_ele_kWh)/1000+IF(REST_rest_ele_kWh="---",0,REST_rest_ele_kWh)/1000</f>
        <v>363.87655000000001</v>
      </c>
      <c r="D25" s="950"/>
      <c r="E25" s="950">
        <f>IF(onbekend_gas_kWh="---",0,onbekend_gas_kWh)/1000+IF(REST_rest_gas_kWh="---",0,REST_rest_gas_kWh)/1000</f>
        <v>321.0326</v>
      </c>
      <c r="F25" s="950"/>
      <c r="G25" s="950"/>
      <c r="H25" s="950"/>
      <c r="I25" s="950"/>
      <c r="J25" s="950"/>
      <c r="K25" s="950"/>
      <c r="L25" s="950"/>
      <c r="M25" s="950"/>
      <c r="N25" s="950"/>
      <c r="O25" s="950"/>
      <c r="P25" s="950"/>
      <c r="Q25" s="951"/>
      <c r="R25" s="689">
        <f>SUM(C25:Q25)</f>
        <v>684.90914999999995</v>
      </c>
      <c r="S25" s="67"/>
    </row>
    <row r="26" spans="1:19" s="448" customFormat="1" ht="15.75" thickBot="1">
      <c r="A26" s="694" t="s">
        <v>725</v>
      </c>
      <c r="B26" s="816"/>
      <c r="C26" s="811">
        <f>SUM(C24:C25)</f>
        <v>497.54155000000003</v>
      </c>
      <c r="D26" s="811">
        <f t="shared" ref="D26:R26" si="2">SUM(D24:D25)</f>
        <v>0</v>
      </c>
      <c r="E26" s="811">
        <f t="shared" si="2"/>
        <v>346.097376</v>
      </c>
      <c r="F26" s="811">
        <f t="shared" si="2"/>
        <v>4.1716405727207198</v>
      </c>
      <c r="G26" s="811">
        <f t="shared" si="2"/>
        <v>472.38691700926609</v>
      </c>
      <c r="H26" s="811">
        <f t="shared" si="2"/>
        <v>0</v>
      </c>
      <c r="I26" s="811">
        <f t="shared" si="2"/>
        <v>0</v>
      </c>
      <c r="J26" s="811">
        <f t="shared" si="2"/>
        <v>0</v>
      </c>
      <c r="K26" s="811">
        <f t="shared" si="2"/>
        <v>36.825634458651187</v>
      </c>
      <c r="L26" s="811">
        <f t="shared" si="2"/>
        <v>0</v>
      </c>
      <c r="M26" s="811">
        <f t="shared" si="2"/>
        <v>0</v>
      </c>
      <c r="N26" s="811">
        <f t="shared" si="2"/>
        <v>0</v>
      </c>
      <c r="O26" s="811">
        <f t="shared" si="2"/>
        <v>0</v>
      </c>
      <c r="P26" s="811">
        <f t="shared" si="2"/>
        <v>0</v>
      </c>
      <c r="Q26" s="811">
        <f t="shared" si="2"/>
        <v>0</v>
      </c>
      <c r="R26" s="811">
        <f t="shared" si="2"/>
        <v>1357.0231180406379</v>
      </c>
      <c r="S26" s="67"/>
    </row>
    <row r="27" spans="1:19" s="448" customFormat="1" ht="17.25" thickTop="1" thickBot="1">
      <c r="A27" s="695" t="s">
        <v>115</v>
      </c>
      <c r="B27" s="803"/>
      <c r="C27" s="696">
        <f ca="1">C22+C16+C26</f>
        <v>26111.616114723663</v>
      </c>
      <c r="D27" s="696">
        <f t="shared" ref="D27:R27" ca="1" si="3">D22+D16+D26</f>
        <v>12.175675675675675</v>
      </c>
      <c r="E27" s="696">
        <f t="shared" ca="1" si="3"/>
        <v>24619.269968414781</v>
      </c>
      <c r="F27" s="696">
        <f t="shared" si="3"/>
        <v>17799.933865158284</v>
      </c>
      <c r="G27" s="696">
        <f t="shared" ca="1" si="3"/>
        <v>36258.94866906057</v>
      </c>
      <c r="H27" s="696">
        <f t="shared" si="3"/>
        <v>46644.572196125962</v>
      </c>
      <c r="I27" s="696">
        <f t="shared" si="3"/>
        <v>12129.51818841491</v>
      </c>
      <c r="J27" s="696">
        <f t="shared" si="3"/>
        <v>0</v>
      </c>
      <c r="K27" s="696">
        <f t="shared" si="3"/>
        <v>37.292726155311065</v>
      </c>
      <c r="L27" s="696">
        <f t="shared" si="3"/>
        <v>0</v>
      </c>
      <c r="M27" s="696">
        <f t="shared" ca="1" si="3"/>
        <v>0</v>
      </c>
      <c r="N27" s="696">
        <f t="shared" si="3"/>
        <v>3491.2149453303273</v>
      </c>
      <c r="O27" s="696">
        <f t="shared" ca="1" si="3"/>
        <v>6183.2790222368558</v>
      </c>
      <c r="P27" s="696">
        <f t="shared" si="3"/>
        <v>212.28352947441243</v>
      </c>
      <c r="Q27" s="696">
        <f t="shared" si="3"/>
        <v>716.30923292258149</v>
      </c>
      <c r="R27" s="696">
        <f t="shared" ca="1" si="3"/>
        <v>174216.41413369332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1286.2591857304224</v>
      </c>
      <c r="D40" s="686">
        <f ca="1">tertiair!C20</f>
        <v>2.7327627627627624</v>
      </c>
      <c r="E40" s="686">
        <f ca="1">tertiair!D20</f>
        <v>776.52696867385953</v>
      </c>
      <c r="F40" s="686">
        <f>tertiair!E20</f>
        <v>25.048009201810835</v>
      </c>
      <c r="G40" s="686">
        <f ca="1">tertiair!F20</f>
        <v>180.84279314018505</v>
      </c>
      <c r="H40" s="686">
        <f>tertiair!G20</f>
        <v>0</v>
      </c>
      <c r="I40" s="686">
        <f>tertiair!H20</f>
        <v>0</v>
      </c>
      <c r="J40" s="686">
        <f>tertiair!I20</f>
        <v>0</v>
      </c>
      <c r="K40" s="686">
        <f>tertiair!J20</f>
        <v>3.5797288233975232E-3</v>
      </c>
      <c r="L40" s="686">
        <f>tertiair!K20</f>
        <v>0</v>
      </c>
      <c r="M40" s="686">
        <f ca="1">tertiair!L20</f>
        <v>0</v>
      </c>
      <c r="N40" s="686">
        <f>tertiair!M20</f>
        <v>0</v>
      </c>
      <c r="O40" s="686">
        <f ca="1">tertiair!N20</f>
        <v>0</v>
      </c>
      <c r="P40" s="686">
        <f>tertiair!O20</f>
        <v>0</v>
      </c>
      <c r="Q40" s="769">
        <f>tertiair!P20</f>
        <v>0</v>
      </c>
      <c r="R40" s="849">
        <f t="shared" ca="1" si="4"/>
        <v>2271.4132992378641</v>
      </c>
    </row>
    <row r="41" spans="1:18">
      <c r="A41" s="821" t="s">
        <v>224</v>
      </c>
      <c r="B41" s="828"/>
      <c r="C41" s="686">
        <f ca="1">huishoudens!B12</f>
        <v>3314.2878677761605</v>
      </c>
      <c r="D41" s="686">
        <f ca="1">huishoudens!C12</f>
        <v>0</v>
      </c>
      <c r="E41" s="686">
        <f>huishoudens!D12</f>
        <v>3994.5682612241999</v>
      </c>
      <c r="F41" s="686">
        <f>huishoudens!E12</f>
        <v>3949.5711178384176</v>
      </c>
      <c r="G41" s="686">
        <f>huishoudens!F12</f>
        <v>9224.5777936338854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20483.005040472664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208.03431403385312</v>
      </c>
      <c r="D43" s="686">
        <f ca="1">industrie!C22</f>
        <v>0</v>
      </c>
      <c r="E43" s="686">
        <f>industrie!D22</f>
        <v>105.71501588560001</v>
      </c>
      <c r="F43" s="686">
        <f>industrie!E22</f>
        <v>40.296088276296246</v>
      </c>
      <c r="G43" s="686">
        <f>industrie!F22</f>
        <v>149.59140102362798</v>
      </c>
      <c r="H43" s="686">
        <f>industrie!G22</f>
        <v>0</v>
      </c>
      <c r="I43" s="686">
        <f>industrie!H22</f>
        <v>0</v>
      </c>
      <c r="J43" s="686">
        <f>industrie!I22</f>
        <v>0</v>
      </c>
      <c r="K43" s="686">
        <f>industrie!J22</f>
        <v>0.16177073179420035</v>
      </c>
      <c r="L43" s="686">
        <f>industrie!K22</f>
        <v>0</v>
      </c>
      <c r="M43" s="686">
        <f>industrie!L22</f>
        <v>0</v>
      </c>
      <c r="N43" s="686">
        <f>industrie!M22</f>
        <v>0</v>
      </c>
      <c r="O43" s="686">
        <f>industrie!N22</f>
        <v>0</v>
      </c>
      <c r="P43" s="686">
        <f>industrie!O22</f>
        <v>0</v>
      </c>
      <c r="Q43" s="769">
        <f>industrie!P22</f>
        <v>0</v>
      </c>
      <c r="R43" s="848">
        <f t="shared" ca="1" si="4"/>
        <v>503.79858995117155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4808.5813675404361</v>
      </c>
      <c r="D46" s="722">
        <f t="shared" ref="D46:Q46" ca="1" si="5">SUM(D39:D45)</f>
        <v>2.7327627627627624</v>
      </c>
      <c r="E46" s="722">
        <f t="shared" ca="1" si="5"/>
        <v>4876.8102457836594</v>
      </c>
      <c r="F46" s="722">
        <f t="shared" si="5"/>
        <v>4014.9152153165251</v>
      </c>
      <c r="G46" s="722">
        <f t="shared" ca="1" si="5"/>
        <v>9555.0119877976995</v>
      </c>
      <c r="H46" s="722">
        <f t="shared" si="5"/>
        <v>0</v>
      </c>
      <c r="I46" s="722">
        <f t="shared" si="5"/>
        <v>0</v>
      </c>
      <c r="J46" s="722">
        <f t="shared" si="5"/>
        <v>0</v>
      </c>
      <c r="K46" s="722">
        <f t="shared" si="5"/>
        <v>0.16535046061759787</v>
      </c>
      <c r="L46" s="722">
        <f t="shared" si="5"/>
        <v>0</v>
      </c>
      <c r="M46" s="722">
        <f t="shared" ca="1" si="5"/>
        <v>0</v>
      </c>
      <c r="N46" s="722">
        <f t="shared" si="5"/>
        <v>0</v>
      </c>
      <c r="O46" s="722">
        <f t="shared" ca="1" si="5"/>
        <v>0</v>
      </c>
      <c r="P46" s="722">
        <f t="shared" si="5"/>
        <v>0</v>
      </c>
      <c r="Q46" s="722">
        <f t="shared" si="5"/>
        <v>0</v>
      </c>
      <c r="R46" s="722">
        <f ca="1">SUM(R39:R45)</f>
        <v>23258.216929661703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72.602363346855313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72.602363346855313</v>
      </c>
    </row>
    <row r="50" spans="1:18">
      <c r="A50" s="824" t="s">
        <v>306</v>
      </c>
      <c r="B50" s="834"/>
      <c r="C50" s="692">
        <f ca="1">transport!B18</f>
        <v>6.0856961394901496</v>
      </c>
      <c r="D50" s="692">
        <f>transport!C18</f>
        <v>0</v>
      </c>
      <c r="E50" s="692">
        <f>transport!D18</f>
        <v>26.370617884126197</v>
      </c>
      <c r="F50" s="692">
        <f>transport!E18</f>
        <v>24.72280966439935</v>
      </c>
      <c r="G50" s="692">
        <f>transport!F18</f>
        <v>0</v>
      </c>
      <c r="H50" s="692">
        <f>transport!G18</f>
        <v>12381.498413018777</v>
      </c>
      <c r="I50" s="692">
        <f>transport!H18</f>
        <v>3020.2500289153127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15458.927565622105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6.0856961394901496</v>
      </c>
      <c r="D52" s="722">
        <f t="shared" ref="D52:Q52" ca="1" si="6">SUM(D48:D51)</f>
        <v>0</v>
      </c>
      <c r="E52" s="722">
        <f t="shared" si="6"/>
        <v>26.370617884126197</v>
      </c>
      <c r="F52" s="722">
        <f t="shared" si="6"/>
        <v>24.72280966439935</v>
      </c>
      <c r="G52" s="722">
        <f t="shared" si="6"/>
        <v>0</v>
      </c>
      <c r="H52" s="722">
        <f t="shared" si="6"/>
        <v>12454.100776365633</v>
      </c>
      <c r="I52" s="722">
        <f t="shared" si="6"/>
        <v>3020.2500289153127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15531.529928968961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25.124955088289376</v>
      </c>
      <c r="D54" s="692">
        <f ca="1">+landbouw!C12</f>
        <v>0</v>
      </c>
      <c r="E54" s="692">
        <f>+landbouw!D12</f>
        <v>5.0630847520000009</v>
      </c>
      <c r="F54" s="692">
        <f>+landbouw!E12</f>
        <v>0.94696241000760339</v>
      </c>
      <c r="G54" s="692">
        <f>+landbouw!F12</f>
        <v>126.12730684147405</v>
      </c>
      <c r="H54" s="692">
        <f>+landbouw!G12</f>
        <v>0</v>
      </c>
      <c r="I54" s="692">
        <f>+landbouw!H12</f>
        <v>0</v>
      </c>
      <c r="J54" s="692">
        <f>+landbouw!I12</f>
        <v>0</v>
      </c>
      <c r="K54" s="692">
        <f>+landbouw!J12</f>
        <v>13.036274598362519</v>
      </c>
      <c r="L54" s="692">
        <f>+landbouw!K12</f>
        <v>0</v>
      </c>
      <c r="M54" s="692">
        <f>+landbouw!L12</f>
        <v>0</v>
      </c>
      <c r="N54" s="692">
        <f>+landbouw!M12</f>
        <v>0</v>
      </c>
      <c r="O54" s="692">
        <f>+landbouw!N12</f>
        <v>0</v>
      </c>
      <c r="P54" s="692">
        <f>+landbouw!O12</f>
        <v>0</v>
      </c>
      <c r="Q54" s="693">
        <f>+landbouw!P12</f>
        <v>0</v>
      </c>
      <c r="R54" s="721">
        <f ca="1">SUM(C54:Q54)</f>
        <v>170.29858369013357</v>
      </c>
    </row>
    <row r="55" spans="1:18" ht="15" thickBot="1">
      <c r="A55" s="824" t="s">
        <v>724</v>
      </c>
      <c r="B55" s="834"/>
      <c r="C55" s="692">
        <f ca="1">C25*'EF ele_warmte'!B12</f>
        <v>68.397725481103393</v>
      </c>
      <c r="D55" s="692"/>
      <c r="E55" s="692">
        <f>E25*EF_CO2_aardgas</f>
        <v>64.848585200000002</v>
      </c>
      <c r="F55" s="692"/>
      <c r="G55" s="692"/>
      <c r="H55" s="692"/>
      <c r="I55" s="692"/>
      <c r="J55" s="692"/>
      <c r="K55" s="692"/>
      <c r="L55" s="692"/>
      <c r="M55" s="692"/>
      <c r="N55" s="692"/>
      <c r="O55" s="692"/>
      <c r="P55" s="692"/>
      <c r="Q55" s="693"/>
      <c r="R55" s="721">
        <f ca="1">SUM(C55:Q55)</f>
        <v>133.24631068110341</v>
      </c>
    </row>
    <row r="56" spans="1:18" ht="15.75" thickBot="1">
      <c r="A56" s="822" t="s">
        <v>725</v>
      </c>
      <c r="B56" s="835"/>
      <c r="C56" s="722">
        <f ca="1">SUM(C54:C55)</f>
        <v>93.522680569392776</v>
      </c>
      <c r="D56" s="722">
        <f t="shared" ref="D56:Q56" ca="1" si="7">SUM(D54:D55)</f>
        <v>0</v>
      </c>
      <c r="E56" s="722">
        <f t="shared" si="7"/>
        <v>69.911669951999997</v>
      </c>
      <c r="F56" s="722">
        <f t="shared" si="7"/>
        <v>0.94696241000760339</v>
      </c>
      <c r="G56" s="722">
        <f t="shared" si="7"/>
        <v>126.12730684147405</v>
      </c>
      <c r="H56" s="722">
        <f t="shared" si="7"/>
        <v>0</v>
      </c>
      <c r="I56" s="722">
        <f t="shared" si="7"/>
        <v>0</v>
      </c>
      <c r="J56" s="722">
        <f t="shared" si="7"/>
        <v>0</v>
      </c>
      <c r="K56" s="722">
        <f t="shared" si="7"/>
        <v>13.036274598362519</v>
      </c>
      <c r="L56" s="722">
        <f t="shared" si="7"/>
        <v>0</v>
      </c>
      <c r="M56" s="722">
        <f t="shared" si="7"/>
        <v>0</v>
      </c>
      <c r="N56" s="722">
        <f t="shared" si="7"/>
        <v>0</v>
      </c>
      <c r="O56" s="722">
        <f t="shared" si="7"/>
        <v>0</v>
      </c>
      <c r="P56" s="722">
        <f t="shared" si="7"/>
        <v>0</v>
      </c>
      <c r="Q56" s="723">
        <f t="shared" si="7"/>
        <v>0</v>
      </c>
      <c r="R56" s="724">
        <f ca="1">SUM(R54:R55)</f>
        <v>303.54489437123698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4908.1897442493191</v>
      </c>
      <c r="D61" s="730">
        <f t="shared" ref="D61:Q61" ca="1" si="8">D46+D52+D56</f>
        <v>2.7327627627627624</v>
      </c>
      <c r="E61" s="730">
        <f t="shared" ca="1" si="8"/>
        <v>4973.0925336197852</v>
      </c>
      <c r="F61" s="730">
        <f t="shared" si="8"/>
        <v>4040.5849873909319</v>
      </c>
      <c r="G61" s="730">
        <f t="shared" ca="1" si="8"/>
        <v>9681.1392946391734</v>
      </c>
      <c r="H61" s="730">
        <f t="shared" si="8"/>
        <v>12454.100776365633</v>
      </c>
      <c r="I61" s="730">
        <f t="shared" si="8"/>
        <v>3020.2500289153127</v>
      </c>
      <c r="J61" s="730">
        <f t="shared" si="8"/>
        <v>0</v>
      </c>
      <c r="K61" s="730">
        <f t="shared" si="8"/>
        <v>13.201625058980117</v>
      </c>
      <c r="L61" s="730">
        <f t="shared" si="8"/>
        <v>0</v>
      </c>
      <c r="M61" s="730">
        <f t="shared" ca="1" si="8"/>
        <v>0</v>
      </c>
      <c r="N61" s="730">
        <f t="shared" si="8"/>
        <v>0</v>
      </c>
      <c r="O61" s="730">
        <f t="shared" ca="1" si="8"/>
        <v>0</v>
      </c>
      <c r="P61" s="730">
        <f t="shared" si="8"/>
        <v>0</v>
      </c>
      <c r="Q61" s="730">
        <f t="shared" si="8"/>
        <v>0</v>
      </c>
      <c r="R61" s="730">
        <f ca="1">R46+R52+R56</f>
        <v>39093.291753001904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0.18796958881000544</v>
      </c>
      <c r="D63" s="776">
        <f t="shared" ca="1" si="9"/>
        <v>0.22444444444444442</v>
      </c>
      <c r="E63" s="975">
        <f t="shared" ca="1" si="9"/>
        <v>0.20199999999999999</v>
      </c>
      <c r="F63" s="776">
        <f t="shared" si="9"/>
        <v>0.22700000000000009</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3902.7452257121604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8.5</v>
      </c>
      <c r="D76" s="958">
        <f>'lokale energieproductie'!C8</f>
        <v>9.4444444444444429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1.9077777777777776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3902.7452257121604</v>
      </c>
      <c r="C78" s="748">
        <f>SUM(C72:C77)</f>
        <v>8.5</v>
      </c>
      <c r="D78" s="749">
        <f t="shared" ref="D78:H78" si="10">SUM(D76:D77)</f>
        <v>9.4444444444444429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1.9077777777777776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12.175675675675675</v>
      </c>
      <c r="D87" s="772">
        <f>'lokale energieproductie'!C17</f>
        <v>13.528528528528525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2.7327627627627624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12.175675675675675</v>
      </c>
      <c r="D90" s="748">
        <f t="shared" ref="D90:H90" si="12">SUM(D87:D89)</f>
        <v>13.528528528528525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2.7327627627627624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17632.042974388547</v>
      </c>
      <c r="C4" s="452">
        <f>huishoudens!C8</f>
        <v>0</v>
      </c>
      <c r="D4" s="452">
        <f>huishoudens!D8</f>
        <v>19775.090402099999</v>
      </c>
      <c r="E4" s="452">
        <f>huishoudens!E8</f>
        <v>17398.991708539284</v>
      </c>
      <c r="F4" s="452">
        <f>huishoudens!F8</f>
        <v>34548.980500501442</v>
      </c>
      <c r="G4" s="452">
        <f>huishoudens!G8</f>
        <v>0</v>
      </c>
      <c r="H4" s="452">
        <f>huishoudens!H8</f>
        <v>0</v>
      </c>
      <c r="I4" s="452">
        <f>huishoudens!I8</f>
        <v>0</v>
      </c>
      <c r="J4" s="452">
        <f>huishoudens!J8</f>
        <v>0</v>
      </c>
      <c r="K4" s="452">
        <f>huishoudens!K8</f>
        <v>0</v>
      </c>
      <c r="L4" s="452">
        <f>huishoudens!L8</f>
        <v>0</v>
      </c>
      <c r="M4" s="452">
        <f>huishoudens!M8</f>
        <v>0</v>
      </c>
      <c r="N4" s="452">
        <f>huishoudens!N8</f>
        <v>5721.7118352538355</v>
      </c>
      <c r="O4" s="452">
        <f>huishoudens!O8</f>
        <v>212.28352947441243</v>
      </c>
      <c r="P4" s="453">
        <f>huishoudens!P8</f>
        <v>716.30923292258149</v>
      </c>
      <c r="Q4" s="454">
        <f>SUM(B4:P4)</f>
        <v>96005.410183180094</v>
      </c>
    </row>
    <row r="5" spans="1:17">
      <c r="A5" s="451" t="s">
        <v>155</v>
      </c>
      <c r="B5" s="452">
        <f ca="1">tertiair!B16</f>
        <v>6298.5881000000008</v>
      </c>
      <c r="C5" s="452">
        <f ca="1">tertiair!C16</f>
        <v>12.175675675675675</v>
      </c>
      <c r="D5" s="452">
        <f ca="1">tertiair!D16</f>
        <v>3844.1929142270269</v>
      </c>
      <c r="E5" s="452">
        <f>tertiair!E16</f>
        <v>110.34365287141337</v>
      </c>
      <c r="F5" s="452">
        <f ca="1">tertiair!F16</f>
        <v>677.31383198571177</v>
      </c>
      <c r="G5" s="452">
        <f>tertiair!G16</f>
        <v>0</v>
      </c>
      <c r="H5" s="452">
        <f>tertiair!H16</f>
        <v>0</v>
      </c>
      <c r="I5" s="452">
        <f>tertiair!I16</f>
        <v>0</v>
      </c>
      <c r="J5" s="452">
        <f>tertiair!J16</f>
        <v>1.0112228314682269E-2</v>
      </c>
      <c r="K5" s="452">
        <f>tertiair!K16</f>
        <v>0</v>
      </c>
      <c r="L5" s="452">
        <f ca="1">tertiair!L16</f>
        <v>0</v>
      </c>
      <c r="M5" s="452">
        <f>tertiair!M16</f>
        <v>0</v>
      </c>
      <c r="N5" s="452">
        <f ca="1">tertiair!N16</f>
        <v>400.46407345115853</v>
      </c>
      <c r="O5" s="452">
        <f>tertiair!O16</f>
        <v>0</v>
      </c>
      <c r="P5" s="453">
        <f>tertiair!P16</f>
        <v>0</v>
      </c>
      <c r="Q5" s="451">
        <f t="shared" ref="Q5:Q14" ca="1" si="0">SUM(B5:P5)</f>
        <v>11343.0883604393</v>
      </c>
    </row>
    <row r="6" spans="1:17">
      <c r="A6" s="451" t="s">
        <v>193</v>
      </c>
      <c r="B6" s="452">
        <f>'openbare verlichting'!B8</f>
        <v>544.32299999999998</v>
      </c>
      <c r="C6" s="452"/>
      <c r="D6" s="452"/>
      <c r="E6" s="452"/>
      <c r="F6" s="452"/>
      <c r="G6" s="452"/>
      <c r="H6" s="452"/>
      <c r="I6" s="452"/>
      <c r="J6" s="452"/>
      <c r="K6" s="452"/>
      <c r="L6" s="452"/>
      <c r="M6" s="452"/>
      <c r="N6" s="452"/>
      <c r="O6" s="452"/>
      <c r="P6" s="453"/>
      <c r="Q6" s="451">
        <f t="shared" si="0"/>
        <v>544.32299999999998</v>
      </c>
    </row>
    <row r="7" spans="1:17">
      <c r="A7" s="451" t="s">
        <v>111</v>
      </c>
      <c r="B7" s="452">
        <f>landbouw!B8</f>
        <v>133.66499999999999</v>
      </c>
      <c r="C7" s="452">
        <f>landbouw!C8</f>
        <v>0</v>
      </c>
      <c r="D7" s="452">
        <f>landbouw!D8</f>
        <v>25.064776000000002</v>
      </c>
      <c r="E7" s="452">
        <f>landbouw!E8</f>
        <v>4.1716405727207198</v>
      </c>
      <c r="F7" s="452">
        <f>landbouw!F8</f>
        <v>472.38691700926609</v>
      </c>
      <c r="G7" s="452">
        <f>landbouw!G8</f>
        <v>0</v>
      </c>
      <c r="H7" s="452">
        <f>landbouw!H8</f>
        <v>0</v>
      </c>
      <c r="I7" s="452">
        <f>landbouw!I8</f>
        <v>0</v>
      </c>
      <c r="J7" s="452">
        <f>landbouw!J8</f>
        <v>36.825634458651187</v>
      </c>
      <c r="K7" s="452">
        <f>landbouw!K8</f>
        <v>0</v>
      </c>
      <c r="L7" s="452">
        <f>landbouw!L8</f>
        <v>0</v>
      </c>
      <c r="M7" s="452">
        <f>landbouw!M8</f>
        <v>0</v>
      </c>
      <c r="N7" s="452">
        <f>landbouw!N8</f>
        <v>0</v>
      </c>
      <c r="O7" s="452">
        <f>landbouw!O8</f>
        <v>0</v>
      </c>
      <c r="P7" s="453">
        <f>landbouw!P8</f>
        <v>0</v>
      </c>
      <c r="Q7" s="451">
        <f t="shared" si="0"/>
        <v>672.11396804063793</v>
      </c>
    </row>
    <row r="8" spans="1:17">
      <c r="A8" s="451" t="s">
        <v>625</v>
      </c>
      <c r="B8" s="452">
        <f>industrie!B18</f>
        <v>1106.7445289999998</v>
      </c>
      <c r="C8" s="452">
        <f>industrie!C18</f>
        <v>0</v>
      </c>
      <c r="D8" s="452">
        <f>industrie!D18</f>
        <v>523.34166279999999</v>
      </c>
      <c r="E8" s="452">
        <f>industrie!E18</f>
        <v>177.51580738456497</v>
      </c>
      <c r="F8" s="452">
        <f>industrie!F18</f>
        <v>560.26741956414969</v>
      </c>
      <c r="G8" s="452">
        <f>industrie!G18</f>
        <v>0</v>
      </c>
      <c r="H8" s="452">
        <f>industrie!H18</f>
        <v>0</v>
      </c>
      <c r="I8" s="452">
        <f>industrie!I18</f>
        <v>0</v>
      </c>
      <c r="J8" s="452">
        <f>industrie!J18</f>
        <v>0.45697946834519876</v>
      </c>
      <c r="K8" s="452">
        <f>industrie!K18</f>
        <v>0</v>
      </c>
      <c r="L8" s="452">
        <f>industrie!L18</f>
        <v>0</v>
      </c>
      <c r="M8" s="452">
        <f>industrie!M18</f>
        <v>0</v>
      </c>
      <c r="N8" s="452">
        <f>industrie!N18</f>
        <v>61.10311353186173</v>
      </c>
      <c r="O8" s="452">
        <f>industrie!O18</f>
        <v>0</v>
      </c>
      <c r="P8" s="453">
        <f>industrie!P18</f>
        <v>0</v>
      </c>
      <c r="Q8" s="451">
        <f t="shared" si="0"/>
        <v>2429.4295117489214</v>
      </c>
    </row>
    <row r="9" spans="1:17" s="457" customFormat="1">
      <c r="A9" s="455" t="s">
        <v>551</v>
      </c>
      <c r="B9" s="456">
        <f>transport!B14</f>
        <v>32.375961335114724</v>
      </c>
      <c r="C9" s="456">
        <f>transport!C14</f>
        <v>0</v>
      </c>
      <c r="D9" s="456">
        <f>transport!D14</f>
        <v>130.54761328775345</v>
      </c>
      <c r="E9" s="456">
        <f>transport!E14</f>
        <v>108.9110557903055</v>
      </c>
      <c r="F9" s="456">
        <f>transport!F14</f>
        <v>0</v>
      </c>
      <c r="G9" s="456">
        <f>transport!G14</f>
        <v>46372.653232280063</v>
      </c>
      <c r="H9" s="456">
        <f>transport!H14</f>
        <v>12129.51818841491</v>
      </c>
      <c r="I9" s="456">
        <f>transport!I14</f>
        <v>0</v>
      </c>
      <c r="J9" s="456">
        <f>transport!J14</f>
        <v>0</v>
      </c>
      <c r="K9" s="456">
        <f>transport!K14</f>
        <v>0</v>
      </c>
      <c r="L9" s="456">
        <f>transport!L14</f>
        <v>0</v>
      </c>
      <c r="M9" s="456">
        <f>transport!M14</f>
        <v>3476.1040370013911</v>
      </c>
      <c r="N9" s="456">
        <f>transport!N14</f>
        <v>0</v>
      </c>
      <c r="O9" s="456">
        <f>transport!O14</f>
        <v>0</v>
      </c>
      <c r="P9" s="456">
        <f>transport!P14</f>
        <v>0</v>
      </c>
      <c r="Q9" s="455">
        <f>SUM(B9:P9)</f>
        <v>62250.110088109534</v>
      </c>
    </row>
    <row r="10" spans="1:17">
      <c r="A10" s="451" t="s">
        <v>541</v>
      </c>
      <c r="B10" s="452">
        <f>transport!B54</f>
        <v>0</v>
      </c>
      <c r="C10" s="452">
        <f>transport!C54</f>
        <v>0</v>
      </c>
      <c r="D10" s="452">
        <f>transport!D54</f>
        <v>0</v>
      </c>
      <c r="E10" s="452">
        <f>transport!E54</f>
        <v>0</v>
      </c>
      <c r="F10" s="452">
        <f>transport!F54</f>
        <v>0</v>
      </c>
      <c r="G10" s="452">
        <f>transport!G54</f>
        <v>271.91896384590001</v>
      </c>
      <c r="H10" s="452">
        <f>transport!H54</f>
        <v>0</v>
      </c>
      <c r="I10" s="452">
        <f>transport!I54</f>
        <v>0</v>
      </c>
      <c r="J10" s="452">
        <f>transport!J54</f>
        <v>0</v>
      </c>
      <c r="K10" s="452">
        <f>transport!K54</f>
        <v>0</v>
      </c>
      <c r="L10" s="452">
        <f>transport!L54</f>
        <v>0</v>
      </c>
      <c r="M10" s="452">
        <f>transport!M54</f>
        <v>15.110908328936</v>
      </c>
      <c r="N10" s="452">
        <f>transport!N54</f>
        <v>0</v>
      </c>
      <c r="O10" s="452">
        <f>transport!O54</f>
        <v>0</v>
      </c>
      <c r="P10" s="453">
        <f>transport!P54</f>
        <v>0</v>
      </c>
      <c r="Q10" s="451">
        <f t="shared" si="0"/>
        <v>287.02987217483599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363.87655000000001</v>
      </c>
      <c r="C14" s="459"/>
      <c r="D14" s="459">
        <f>'SEAP template'!E25</f>
        <v>321.0326</v>
      </c>
      <c r="E14" s="459"/>
      <c r="F14" s="459"/>
      <c r="G14" s="459"/>
      <c r="H14" s="459"/>
      <c r="I14" s="459"/>
      <c r="J14" s="459"/>
      <c r="K14" s="459"/>
      <c r="L14" s="459"/>
      <c r="M14" s="459"/>
      <c r="N14" s="459"/>
      <c r="O14" s="459"/>
      <c r="P14" s="460"/>
      <c r="Q14" s="451">
        <f t="shared" si="0"/>
        <v>684.90914999999995</v>
      </c>
    </row>
    <row r="15" spans="1:17" s="463" customFormat="1">
      <c r="A15" s="461" t="s">
        <v>545</v>
      </c>
      <c r="B15" s="462">
        <f ca="1">SUM(B4:B14)</f>
        <v>26111.616114723663</v>
      </c>
      <c r="C15" s="462">
        <f t="shared" ref="C15:Q15" ca="1" si="1">SUM(C4:C14)</f>
        <v>12.175675675675675</v>
      </c>
      <c r="D15" s="462">
        <f t="shared" ca="1" si="1"/>
        <v>24619.269968414777</v>
      </c>
      <c r="E15" s="462">
        <f t="shared" si="1"/>
        <v>17799.933865158284</v>
      </c>
      <c r="F15" s="462">
        <f t="shared" ca="1" si="1"/>
        <v>36258.94866906057</v>
      </c>
      <c r="G15" s="462">
        <f t="shared" si="1"/>
        <v>46644.572196125962</v>
      </c>
      <c r="H15" s="462">
        <f t="shared" si="1"/>
        <v>12129.51818841491</v>
      </c>
      <c r="I15" s="462">
        <f t="shared" si="1"/>
        <v>0</v>
      </c>
      <c r="J15" s="462">
        <f t="shared" si="1"/>
        <v>37.292726155311065</v>
      </c>
      <c r="K15" s="462">
        <f t="shared" si="1"/>
        <v>0</v>
      </c>
      <c r="L15" s="462">
        <f t="shared" ca="1" si="1"/>
        <v>0</v>
      </c>
      <c r="M15" s="462">
        <f t="shared" si="1"/>
        <v>3491.2149453303273</v>
      </c>
      <c r="N15" s="462">
        <f t="shared" ca="1" si="1"/>
        <v>6183.2790222368558</v>
      </c>
      <c r="O15" s="462">
        <f t="shared" si="1"/>
        <v>212.28352947441243</v>
      </c>
      <c r="P15" s="462">
        <f t="shared" si="1"/>
        <v>716.30923292258149</v>
      </c>
      <c r="Q15" s="462">
        <f t="shared" ca="1" si="1"/>
        <v>174216.41413369332</v>
      </c>
    </row>
    <row r="17" spans="1:17">
      <c r="A17" s="464" t="s">
        <v>546</v>
      </c>
      <c r="B17" s="781">
        <f ca="1">huishoudens!B10</f>
        <v>0.18796958881000544</v>
      </c>
      <c r="C17" s="781">
        <f ca="1">huishoudens!C10</f>
        <v>0.22444444444444442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3314.2878677761605</v>
      </c>
      <c r="C22" s="452">
        <f t="shared" ref="C22:C32" ca="1" si="3">C4*$C$17</f>
        <v>0</v>
      </c>
      <c r="D22" s="452">
        <f t="shared" ref="D22:D32" si="4">D4*$D$17</f>
        <v>3994.5682612241999</v>
      </c>
      <c r="E22" s="452">
        <f t="shared" ref="E22:E32" si="5">E4*$E$17</f>
        <v>3949.5711178384176</v>
      </c>
      <c r="F22" s="452">
        <f t="shared" ref="F22:F32" si="6">F4*$F$17</f>
        <v>9224.5777936338854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20483.005040472664</v>
      </c>
    </row>
    <row r="23" spans="1:17">
      <c r="A23" s="451" t="s">
        <v>155</v>
      </c>
      <c r="B23" s="452">
        <f t="shared" ca="1" si="2"/>
        <v>1183.9430152405937</v>
      </c>
      <c r="C23" s="452">
        <f t="shared" ca="1" si="3"/>
        <v>2.7327627627627624</v>
      </c>
      <c r="D23" s="452">
        <f t="shared" ca="1" si="4"/>
        <v>776.52696867385953</v>
      </c>
      <c r="E23" s="452">
        <f t="shared" si="5"/>
        <v>25.048009201810835</v>
      </c>
      <c r="F23" s="452">
        <f t="shared" ca="1" si="6"/>
        <v>180.84279314018505</v>
      </c>
      <c r="G23" s="452">
        <f t="shared" si="7"/>
        <v>0</v>
      </c>
      <c r="H23" s="452">
        <f t="shared" si="8"/>
        <v>0</v>
      </c>
      <c r="I23" s="452">
        <f t="shared" si="9"/>
        <v>0</v>
      </c>
      <c r="J23" s="452">
        <f t="shared" si="10"/>
        <v>3.5797288233975232E-3</v>
      </c>
      <c r="K23" s="452">
        <f t="shared" si="11"/>
        <v>0</v>
      </c>
      <c r="L23" s="452">
        <f t="shared" ca="1" si="12"/>
        <v>0</v>
      </c>
      <c r="M23" s="452">
        <f t="shared" si="13"/>
        <v>0</v>
      </c>
      <c r="N23" s="452">
        <f t="shared" ca="1" si="14"/>
        <v>0</v>
      </c>
      <c r="O23" s="452">
        <f t="shared" si="15"/>
        <v>0</v>
      </c>
      <c r="P23" s="453">
        <f t="shared" si="16"/>
        <v>0</v>
      </c>
      <c r="Q23" s="451">
        <f t="shared" ref="Q23:Q31" ca="1" si="17">SUM(B23:P23)</f>
        <v>2169.0971287480352</v>
      </c>
    </row>
    <row r="24" spans="1:17">
      <c r="A24" s="451" t="s">
        <v>193</v>
      </c>
      <c r="B24" s="452">
        <f t="shared" ca="1" si="2"/>
        <v>102.31617048982859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102.31617048982859</v>
      </c>
    </row>
    <row r="25" spans="1:17">
      <c r="A25" s="451" t="s">
        <v>111</v>
      </c>
      <c r="B25" s="452">
        <f t="shared" ca="1" si="2"/>
        <v>25.124955088289376</v>
      </c>
      <c r="C25" s="452">
        <f t="shared" ca="1" si="3"/>
        <v>0</v>
      </c>
      <c r="D25" s="452">
        <f t="shared" si="4"/>
        <v>5.0630847520000009</v>
      </c>
      <c r="E25" s="452">
        <f t="shared" si="5"/>
        <v>0.94696241000760339</v>
      </c>
      <c r="F25" s="452">
        <f t="shared" si="6"/>
        <v>126.12730684147405</v>
      </c>
      <c r="G25" s="452">
        <f t="shared" si="7"/>
        <v>0</v>
      </c>
      <c r="H25" s="452">
        <f t="shared" si="8"/>
        <v>0</v>
      </c>
      <c r="I25" s="452">
        <f t="shared" si="9"/>
        <v>0</v>
      </c>
      <c r="J25" s="452">
        <f t="shared" si="10"/>
        <v>13.036274598362519</v>
      </c>
      <c r="K25" s="452">
        <f t="shared" si="11"/>
        <v>0</v>
      </c>
      <c r="L25" s="452">
        <f t="shared" si="12"/>
        <v>0</v>
      </c>
      <c r="M25" s="452">
        <f t="shared" si="13"/>
        <v>0</v>
      </c>
      <c r="N25" s="452">
        <f t="shared" si="14"/>
        <v>0</v>
      </c>
      <c r="O25" s="452">
        <f t="shared" si="15"/>
        <v>0</v>
      </c>
      <c r="P25" s="453">
        <f t="shared" si="16"/>
        <v>0</v>
      </c>
      <c r="Q25" s="451">
        <f t="shared" ca="1" si="17"/>
        <v>170.29858369013357</v>
      </c>
    </row>
    <row r="26" spans="1:17">
      <c r="A26" s="451" t="s">
        <v>625</v>
      </c>
      <c r="B26" s="452">
        <f t="shared" ca="1" si="2"/>
        <v>208.03431403385312</v>
      </c>
      <c r="C26" s="452">
        <f t="shared" ca="1" si="3"/>
        <v>0</v>
      </c>
      <c r="D26" s="452">
        <f t="shared" si="4"/>
        <v>105.71501588560001</v>
      </c>
      <c r="E26" s="452">
        <f t="shared" si="5"/>
        <v>40.296088276296246</v>
      </c>
      <c r="F26" s="452">
        <f t="shared" si="6"/>
        <v>149.59140102362798</v>
      </c>
      <c r="G26" s="452">
        <f t="shared" si="7"/>
        <v>0</v>
      </c>
      <c r="H26" s="452">
        <f t="shared" si="8"/>
        <v>0</v>
      </c>
      <c r="I26" s="452">
        <f t="shared" si="9"/>
        <v>0</v>
      </c>
      <c r="J26" s="452">
        <f t="shared" si="10"/>
        <v>0.16177073179420035</v>
      </c>
      <c r="K26" s="452">
        <f t="shared" si="11"/>
        <v>0</v>
      </c>
      <c r="L26" s="452">
        <f t="shared" si="12"/>
        <v>0</v>
      </c>
      <c r="M26" s="452">
        <f t="shared" si="13"/>
        <v>0</v>
      </c>
      <c r="N26" s="452">
        <f t="shared" si="14"/>
        <v>0</v>
      </c>
      <c r="O26" s="452">
        <f t="shared" si="15"/>
        <v>0</v>
      </c>
      <c r="P26" s="453">
        <f t="shared" si="16"/>
        <v>0</v>
      </c>
      <c r="Q26" s="451">
        <f t="shared" ca="1" si="17"/>
        <v>503.79858995117155</v>
      </c>
    </row>
    <row r="27" spans="1:17" s="457" customFormat="1">
      <c r="A27" s="455" t="s">
        <v>551</v>
      </c>
      <c r="B27" s="775">
        <f t="shared" ca="1" si="2"/>
        <v>6.0856961394901496</v>
      </c>
      <c r="C27" s="456">
        <f t="shared" ca="1" si="3"/>
        <v>0</v>
      </c>
      <c r="D27" s="456">
        <f t="shared" si="4"/>
        <v>26.370617884126197</v>
      </c>
      <c r="E27" s="456">
        <f t="shared" si="5"/>
        <v>24.72280966439935</v>
      </c>
      <c r="F27" s="456">
        <f t="shared" si="6"/>
        <v>0</v>
      </c>
      <c r="G27" s="456">
        <f t="shared" si="7"/>
        <v>12381.498413018777</v>
      </c>
      <c r="H27" s="456">
        <f t="shared" si="8"/>
        <v>3020.2500289153127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15458.927565622105</v>
      </c>
    </row>
    <row r="28" spans="1:17" ht="16.5" customHeight="1">
      <c r="A28" s="451" t="s">
        <v>541</v>
      </c>
      <c r="B28" s="452">
        <f t="shared" ca="1" si="2"/>
        <v>0</v>
      </c>
      <c r="C28" s="452">
        <f t="shared" ca="1" si="3"/>
        <v>0</v>
      </c>
      <c r="D28" s="452">
        <f t="shared" si="4"/>
        <v>0</v>
      </c>
      <c r="E28" s="452">
        <f t="shared" si="5"/>
        <v>0</v>
      </c>
      <c r="F28" s="452">
        <f t="shared" si="6"/>
        <v>0</v>
      </c>
      <c r="G28" s="452">
        <f t="shared" si="7"/>
        <v>72.602363346855313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72.602363346855313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68.397725481103393</v>
      </c>
      <c r="C32" s="452">
        <f t="shared" ca="1" si="3"/>
        <v>0</v>
      </c>
      <c r="D32" s="452">
        <f t="shared" si="4"/>
        <v>64.848585200000002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133.24631068110341</v>
      </c>
    </row>
    <row r="33" spans="1:17" s="463" customFormat="1">
      <c r="A33" s="461" t="s">
        <v>545</v>
      </c>
      <c r="B33" s="462">
        <f ca="1">SUM(B22:B32)</f>
        <v>4908.1897442493182</v>
      </c>
      <c r="C33" s="462">
        <f t="shared" ref="C33:Q33" ca="1" si="19">SUM(C22:C32)</f>
        <v>2.7327627627627624</v>
      </c>
      <c r="D33" s="462">
        <f t="shared" ca="1" si="19"/>
        <v>4973.0925336197852</v>
      </c>
      <c r="E33" s="462">
        <f t="shared" si="19"/>
        <v>4040.5849873909319</v>
      </c>
      <c r="F33" s="462">
        <f t="shared" ca="1" si="19"/>
        <v>9681.1392946391734</v>
      </c>
      <c r="G33" s="462">
        <f t="shared" si="19"/>
        <v>12454.100776365633</v>
      </c>
      <c r="H33" s="462">
        <f t="shared" si="19"/>
        <v>3020.2500289153127</v>
      </c>
      <c r="I33" s="462">
        <f t="shared" si="19"/>
        <v>0</v>
      </c>
      <c r="J33" s="462">
        <f t="shared" si="19"/>
        <v>13.201625058980119</v>
      </c>
      <c r="K33" s="462">
        <f t="shared" si="19"/>
        <v>0</v>
      </c>
      <c r="L33" s="462">
        <f t="shared" ca="1" si="19"/>
        <v>0</v>
      </c>
      <c r="M33" s="462">
        <f t="shared" si="19"/>
        <v>0</v>
      </c>
      <c r="N33" s="462">
        <f t="shared" ca="1" si="19"/>
        <v>0</v>
      </c>
      <c r="O33" s="462">
        <f t="shared" si="19"/>
        <v>0</v>
      </c>
      <c r="P33" s="462">
        <f t="shared" si="19"/>
        <v>0</v>
      </c>
      <c r="Q33" s="462">
        <f t="shared" ca="1" si="19"/>
        <v>39093.291753001904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3902.7452257121604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8.5</v>
      </c>
      <c r="D8" s="1029">
        <f>'SEAP template'!D76</f>
        <v>9.4444444444444429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1.9077777777777776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3902.7452257121604</v>
      </c>
      <c r="C10" s="1031">
        <f>SUM(C4:C9)</f>
        <v>8.5</v>
      </c>
      <c r="D10" s="1031">
        <f t="shared" ref="D10:H10" si="0">SUM(D8:D9)</f>
        <v>9.4444444444444429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1.9077777777777776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0.18796958881000544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12.175675675675675</v>
      </c>
      <c r="D17" s="1030">
        <f>'SEAP template'!D87</f>
        <v>13.528528528528525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2.7327627627627624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12.175675675675675</v>
      </c>
      <c r="D20" s="1031">
        <f t="shared" ref="D20:H20" si="2">SUM(D17:D19)</f>
        <v>13.528528528528525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2.7327627627627624</v>
      </c>
    </row>
    <row r="21" spans="1:16">
      <c r="B21" s="887"/>
    </row>
    <row r="22" spans="1:16">
      <c r="A22" s="464" t="s">
        <v>797</v>
      </c>
      <c r="B22" s="781" t="s">
        <v>795</v>
      </c>
      <c r="C22" s="781">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0.18796958881000544</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0.18796958881000544</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0.18796958881000544</v>
      </c>
      <c r="C29" s="502">
        <f ca="1">'EF ele_warmte'!B22</f>
        <v>0.22444444444444442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4101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370.56</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32</v>
      </c>
      <c r="C17" s="330"/>
      <c r="D17" s="330"/>
      <c r="E17" s="330"/>
      <c r="F17" s="330"/>
    </row>
    <row r="18" spans="1:6">
      <c r="A18" s="1298" t="s">
        <v>8</v>
      </c>
      <c r="B18" s="1299">
        <v>28</v>
      </c>
      <c r="C18" s="330"/>
      <c r="D18" s="330"/>
      <c r="E18" s="330"/>
      <c r="F18" s="330"/>
    </row>
    <row r="19" spans="1:6">
      <c r="A19" s="1298" t="s">
        <v>9</v>
      </c>
      <c r="B19" s="1299">
        <v>22</v>
      </c>
      <c r="C19" s="330"/>
      <c r="D19" s="330"/>
      <c r="E19" s="330"/>
      <c r="F19" s="330"/>
    </row>
    <row r="20" spans="1:6">
      <c r="A20" s="1298" t="s">
        <v>10</v>
      </c>
      <c r="B20" s="1299">
        <v>18</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47</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1293</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1425</v>
      </c>
      <c r="D39" s="1299">
        <v>21923603.550000001</v>
      </c>
      <c r="E39" s="1299">
        <v>4142</v>
      </c>
      <c r="F39" s="1299">
        <v>14381131.5</v>
      </c>
    </row>
    <row r="40" spans="1:6">
      <c r="A40" s="1298" t="s">
        <v>29</v>
      </c>
      <c r="B40" s="1298" t="s">
        <v>28</v>
      </c>
      <c r="C40" s="1299">
        <v>0</v>
      </c>
      <c r="D40" s="1299">
        <v>0</v>
      </c>
      <c r="E40" s="1299">
        <v>0</v>
      </c>
      <c r="F40" s="1299">
        <v>0</v>
      </c>
    </row>
    <row r="41" spans="1:6">
      <c r="A41" s="1298" t="s">
        <v>31</v>
      </c>
      <c r="B41" s="1298" t="s">
        <v>32</v>
      </c>
      <c r="C41" s="1299">
        <v>40</v>
      </c>
      <c r="D41" s="1299">
        <v>460420.4</v>
      </c>
      <c r="E41" s="1299">
        <v>98</v>
      </c>
      <c r="F41" s="1299">
        <v>628542.52899999998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38270</v>
      </c>
      <c r="E44" s="1299">
        <v>9</v>
      </c>
      <c r="F44" s="1299">
        <v>260987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7920</v>
      </c>
      <c r="E48" s="1299">
        <v>4</v>
      </c>
      <c r="F48" s="1299">
        <v>23541</v>
      </c>
    </row>
    <row r="49" spans="1:6">
      <c r="A49" s="1298" t="s">
        <v>31</v>
      </c>
      <c r="B49" s="1298" t="s">
        <v>39</v>
      </c>
      <c r="C49" s="1299">
        <v>0</v>
      </c>
      <c r="D49" s="1299">
        <v>0</v>
      </c>
      <c r="E49" s="1299">
        <v>0</v>
      </c>
      <c r="F49" s="1299">
        <v>0</v>
      </c>
    </row>
    <row r="50" spans="1:6">
      <c r="A50" s="1298" t="s">
        <v>31</v>
      </c>
      <c r="B50" s="1298" t="s">
        <v>40</v>
      </c>
      <c r="C50" s="1299">
        <v>4</v>
      </c>
      <c r="D50" s="1299">
        <v>73591</v>
      </c>
      <c r="E50" s="1299">
        <v>8</v>
      </c>
      <c r="F50" s="1299">
        <v>193674</v>
      </c>
    </row>
    <row r="51" spans="1:6">
      <c r="A51" s="1298" t="s">
        <v>41</v>
      </c>
      <c r="B51" s="1298" t="s">
        <v>42</v>
      </c>
      <c r="C51" s="1299">
        <v>0</v>
      </c>
      <c r="D51" s="1299">
        <v>0</v>
      </c>
      <c r="E51" s="1299">
        <v>20</v>
      </c>
      <c r="F51" s="1299">
        <v>133665</v>
      </c>
    </row>
    <row r="52" spans="1:6">
      <c r="A52" s="1298" t="s">
        <v>41</v>
      </c>
      <c r="B52" s="1298" t="s">
        <v>28</v>
      </c>
      <c r="C52" s="1299">
        <v>1</v>
      </c>
      <c r="D52" s="1299">
        <v>27788</v>
      </c>
      <c r="E52" s="1299">
        <v>0</v>
      </c>
      <c r="F52" s="1299">
        <v>0</v>
      </c>
    </row>
    <row r="53" spans="1:6">
      <c r="A53" s="1298" t="s">
        <v>43</v>
      </c>
      <c r="B53" s="1298" t="s">
        <v>44</v>
      </c>
      <c r="C53" s="1299">
        <v>28</v>
      </c>
      <c r="D53" s="1299">
        <v>321032.59999999998</v>
      </c>
      <c r="E53" s="1299">
        <v>70</v>
      </c>
      <c r="F53" s="1299">
        <v>363876.55</v>
      </c>
    </row>
    <row r="54" spans="1:6">
      <c r="A54" s="1298" t="s">
        <v>45</v>
      </c>
      <c r="B54" s="1298" t="s">
        <v>46</v>
      </c>
      <c r="C54" s="1299">
        <v>0</v>
      </c>
      <c r="D54" s="1299">
        <v>0</v>
      </c>
      <c r="E54" s="1299">
        <v>1</v>
      </c>
      <c r="F54" s="1299">
        <v>544323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v>
      </c>
      <c r="D57" s="1299">
        <v>392410</v>
      </c>
      <c r="E57" s="1299">
        <v>45</v>
      </c>
      <c r="F57" s="1299">
        <v>595676</v>
      </c>
    </row>
    <row r="58" spans="1:6">
      <c r="A58" s="1298" t="s">
        <v>48</v>
      </c>
      <c r="B58" s="1298" t="s">
        <v>50</v>
      </c>
      <c r="C58" s="1299">
        <v>8</v>
      </c>
      <c r="D58" s="1299">
        <v>139753</v>
      </c>
      <c r="E58" s="1299">
        <v>27</v>
      </c>
      <c r="F58" s="1299">
        <v>524241</v>
      </c>
    </row>
    <row r="59" spans="1:6">
      <c r="A59" s="1298" t="s">
        <v>48</v>
      </c>
      <c r="B59" s="1298" t="s">
        <v>51</v>
      </c>
      <c r="C59" s="1299">
        <v>29</v>
      </c>
      <c r="D59" s="1299">
        <v>685342.6</v>
      </c>
      <c r="E59" s="1299">
        <v>99</v>
      </c>
      <c r="F59" s="1299">
        <v>3302460.8</v>
      </c>
    </row>
    <row r="60" spans="1:6">
      <c r="A60" s="1298" t="s">
        <v>48</v>
      </c>
      <c r="B60" s="1298" t="s">
        <v>52</v>
      </c>
      <c r="C60" s="1299">
        <v>19</v>
      </c>
      <c r="D60" s="1299">
        <v>754995</v>
      </c>
      <c r="E60" s="1299">
        <v>40</v>
      </c>
      <c r="F60" s="1299">
        <v>726378</v>
      </c>
    </row>
    <row r="61" spans="1:6">
      <c r="A61" s="1298" t="s">
        <v>48</v>
      </c>
      <c r="B61" s="1298" t="s">
        <v>53</v>
      </c>
      <c r="C61" s="1299">
        <v>39</v>
      </c>
      <c r="D61" s="1299">
        <v>1745955</v>
      </c>
      <c r="E61" s="1299">
        <v>111</v>
      </c>
      <c r="F61" s="1299">
        <v>979167.3</v>
      </c>
    </row>
    <row r="62" spans="1:6">
      <c r="A62" s="1298" t="s">
        <v>48</v>
      </c>
      <c r="B62" s="1298" t="s">
        <v>54</v>
      </c>
      <c r="C62" s="1299">
        <v>3</v>
      </c>
      <c r="D62" s="1299">
        <v>568868</v>
      </c>
      <c r="E62" s="1299">
        <v>4</v>
      </c>
      <c r="F62" s="1299">
        <v>162165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4</v>
      </c>
      <c r="F66" s="1299">
        <v>119424.001</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54288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43153160</v>
      </c>
      <c r="E73" s="450"/>
      <c r="F73" s="330"/>
    </row>
    <row r="74" spans="1:6">
      <c r="A74" s="1298" t="s">
        <v>63</v>
      </c>
      <c r="B74" s="1298" t="s">
        <v>647</v>
      </c>
      <c r="C74" s="1312" t="s">
        <v>649</v>
      </c>
      <c r="D74" s="1313">
        <v>4153448</v>
      </c>
      <c r="E74" s="450"/>
      <c r="F74" s="330"/>
    </row>
    <row r="75" spans="1:6">
      <c r="A75" s="1298" t="s">
        <v>64</v>
      </c>
      <c r="B75" s="1298" t="s">
        <v>646</v>
      </c>
      <c r="C75" s="1312" t="s">
        <v>650</v>
      </c>
      <c r="D75" s="1313">
        <v>24541980</v>
      </c>
      <c r="E75" s="450"/>
      <c r="F75" s="330"/>
    </row>
    <row r="76" spans="1:6">
      <c r="A76" s="1298" t="s">
        <v>64</v>
      </c>
      <c r="B76" s="1298" t="s">
        <v>647</v>
      </c>
      <c r="C76" s="1312" t="s">
        <v>651</v>
      </c>
      <c r="D76" s="1313">
        <v>394336</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78792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3250.9114743885484</v>
      </c>
      <c r="C91" s="330"/>
      <c r="D91" s="330"/>
      <c r="E91" s="330"/>
      <c r="F91" s="330"/>
    </row>
    <row r="92" spans="1:6">
      <c r="A92" s="1293" t="s">
        <v>68</v>
      </c>
      <c r="B92" s="1294">
        <v>651.83375132361198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158</v>
      </c>
      <c r="C97" s="330"/>
      <c r="D97" s="330"/>
      <c r="E97" s="330"/>
      <c r="F97" s="330"/>
    </row>
    <row r="98" spans="1:6">
      <c r="A98" s="1298" t="s">
        <v>71</v>
      </c>
      <c r="B98" s="1299">
        <v>0</v>
      </c>
      <c r="C98" s="330"/>
      <c r="D98" s="330"/>
      <c r="E98" s="330"/>
      <c r="F98" s="330"/>
    </row>
    <row r="99" spans="1:6">
      <c r="A99" s="1298" t="s">
        <v>72</v>
      </c>
      <c r="B99" s="1299">
        <v>129</v>
      </c>
      <c r="C99" s="330"/>
      <c r="D99" s="330"/>
      <c r="E99" s="330"/>
      <c r="F99" s="330"/>
    </row>
    <row r="100" spans="1:6">
      <c r="A100" s="1298" t="s">
        <v>73</v>
      </c>
      <c r="B100" s="1299">
        <v>217</v>
      </c>
      <c r="C100" s="330"/>
      <c r="D100" s="330"/>
      <c r="E100" s="330"/>
      <c r="F100" s="330"/>
    </row>
    <row r="101" spans="1:6">
      <c r="A101" s="1298" t="s">
        <v>74</v>
      </c>
      <c r="B101" s="1299">
        <v>34</v>
      </c>
      <c r="C101" s="330"/>
      <c r="D101" s="330"/>
      <c r="E101" s="330"/>
      <c r="F101" s="330"/>
    </row>
    <row r="102" spans="1:6">
      <c r="A102" s="1298" t="s">
        <v>75</v>
      </c>
      <c r="B102" s="1299">
        <v>22</v>
      </c>
      <c r="C102" s="330"/>
      <c r="D102" s="330"/>
      <c r="E102" s="330"/>
      <c r="F102" s="330"/>
    </row>
    <row r="103" spans="1:6">
      <c r="A103" s="1298" t="s">
        <v>76</v>
      </c>
      <c r="B103" s="1299">
        <v>93</v>
      </c>
      <c r="C103" s="330"/>
      <c r="D103" s="330"/>
      <c r="E103" s="330"/>
      <c r="F103" s="330"/>
    </row>
    <row r="104" spans="1:6">
      <c r="A104" s="1298" t="s">
        <v>77</v>
      </c>
      <c r="B104" s="1299">
        <v>2805</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29</v>
      </c>
      <c r="C123" s="1299">
        <v>16</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91</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37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26111.616114723663</v>
      </c>
      <c r="C3" s="43" t="s">
        <v>169</v>
      </c>
      <c r="D3" s="43"/>
      <c r="E3" s="154"/>
      <c r="F3" s="43"/>
      <c r="G3" s="43"/>
      <c r="H3" s="43"/>
      <c r="I3" s="43"/>
      <c r="J3" s="43"/>
      <c r="K3" s="96"/>
    </row>
    <row r="4" spans="1:11">
      <c r="A4" s="358" t="s">
        <v>170</v>
      </c>
      <c r="B4" s="49">
        <f>IF(ISERROR('SEAP template'!B78+'SEAP template'!C78),0,'SEAP template'!B78+'SEAP template'!C78)</f>
        <v>3911.2452257121604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1.9077777777777776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0.18796958881000544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2.7327627627627624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12.175675675675675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544.32299999999998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544.32299999999998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0.18796958881000544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102.31617048982859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14381.1315</v>
      </c>
      <c r="C5" s="17">
        <f>IF(ISERROR('Eigen informatie GS &amp; warmtenet'!B59),0,'Eigen informatie GS &amp; warmtenet'!B59)</f>
        <v>0</v>
      </c>
      <c r="D5" s="30">
        <f>(SUM(HH_hh_gas_kWh,HH_rest_gas_kWh)/1000)*0.902</f>
        <v>19775.090402099999</v>
      </c>
      <c r="E5" s="17">
        <f>B46*B57</f>
        <v>17398.991708539284</v>
      </c>
      <c r="F5" s="17">
        <f>B51*B62</f>
        <v>34548.980500501442</v>
      </c>
      <c r="G5" s="18"/>
      <c r="H5" s="17"/>
      <c r="I5" s="17"/>
      <c r="J5" s="17">
        <f>B50*B61+C50*C61</f>
        <v>0</v>
      </c>
      <c r="K5" s="17"/>
      <c r="L5" s="17"/>
      <c r="M5" s="17"/>
      <c r="N5" s="17">
        <f>B48*B59+C48*C59</f>
        <v>5721.7118352538355</v>
      </c>
      <c r="O5" s="17">
        <f>B69*B70*B71</f>
        <v>212.28352947441243</v>
      </c>
      <c r="P5" s="17">
        <f>B77*B78*B79/1000-B77*B78*B79/1000/B80</f>
        <v>716.30923292258149</v>
      </c>
    </row>
    <row r="6" spans="1:16">
      <c r="A6" s="16" t="s">
        <v>611</v>
      </c>
      <c r="B6" s="783">
        <f>kWh_PV_kleiner_dan_10kW</f>
        <v>3250.9114743885484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17632.042974388547</v>
      </c>
      <c r="C8" s="21">
        <f>C5</f>
        <v>0</v>
      </c>
      <c r="D8" s="21">
        <f>D5</f>
        <v>19775.090402099999</v>
      </c>
      <c r="E8" s="21">
        <f>E5</f>
        <v>17398.991708539284</v>
      </c>
      <c r="F8" s="21">
        <f>F5</f>
        <v>34548.980500501442</v>
      </c>
      <c r="G8" s="21"/>
      <c r="H8" s="21"/>
      <c r="I8" s="21"/>
      <c r="J8" s="21">
        <f>J5</f>
        <v>0</v>
      </c>
      <c r="K8" s="21"/>
      <c r="L8" s="21">
        <f>L5</f>
        <v>0</v>
      </c>
      <c r="M8" s="21">
        <f>M5</f>
        <v>0</v>
      </c>
      <c r="N8" s="21">
        <f>N5</f>
        <v>5721.7118352538355</v>
      </c>
      <c r="O8" s="21">
        <f>O5</f>
        <v>212.28352947441243</v>
      </c>
      <c r="P8" s="21">
        <f>P5</f>
        <v>716.30923292258149</v>
      </c>
    </row>
    <row r="9" spans="1:16">
      <c r="B9" s="19"/>
      <c r="C9" s="19"/>
      <c r="D9" s="258"/>
      <c r="E9" s="19"/>
      <c r="F9" s="19"/>
      <c r="G9" s="19"/>
      <c r="H9" s="19"/>
      <c r="I9" s="19"/>
      <c r="J9" s="19"/>
      <c r="K9" s="19"/>
      <c r="L9" s="19"/>
      <c r="M9" s="19"/>
      <c r="N9" s="19"/>
      <c r="O9" s="19"/>
      <c r="P9" s="19"/>
    </row>
    <row r="10" spans="1:16">
      <c r="A10" s="24" t="s">
        <v>213</v>
      </c>
      <c r="B10" s="25">
        <f ca="1">'EF ele_warmte'!B12</f>
        <v>0.18796958881000544</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3314.2878677761605</v>
      </c>
      <c r="C12" s="23">
        <f ca="1">C10*C8</f>
        <v>0</v>
      </c>
      <c r="D12" s="23">
        <f>D8*D10</f>
        <v>3994.5682612241999</v>
      </c>
      <c r="E12" s="23">
        <f>E10*E8</f>
        <v>3949.5711178384176</v>
      </c>
      <c r="F12" s="23">
        <f>F10*F8</f>
        <v>9224.5777936338854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158</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33.94736842105263</v>
      </c>
      <c r="D20" s="229"/>
      <c r="E20" s="15"/>
    </row>
    <row r="21" spans="1:7">
      <c r="A21" s="171" t="s">
        <v>73</v>
      </c>
      <c r="B21" s="37">
        <f>aantalw2001_elektriciteit</f>
        <v>217</v>
      </c>
      <c r="C21" s="167">
        <f>IF(ISERROR(B21/SUM($B$20,$B$21,$B$22)*100),0,B21/SUM($B$20,$B$21,$B$22)*100)</f>
        <v>57.10526315789474</v>
      </c>
      <c r="D21" s="229"/>
      <c r="E21" s="15"/>
    </row>
    <row r="22" spans="1:7">
      <c r="A22" s="171" t="s">
        <v>74</v>
      </c>
      <c r="B22" s="37">
        <f>aantalw2001_hout</f>
        <v>34</v>
      </c>
      <c r="C22" s="167">
        <f>IF(ISERROR(B22/SUM($B$20,$B$21,$B$22)*100),0,B22/SUM($B$20,$B$21,$B$22)*100)</f>
        <v>8.9473684210526319</v>
      </c>
      <c r="D22" s="229"/>
      <c r="E22" s="15"/>
    </row>
    <row r="23" spans="1:7">
      <c r="A23" s="171" t="s">
        <v>75</v>
      </c>
      <c r="B23" s="37">
        <f>aantalw2001_niet_gespec</f>
        <v>22</v>
      </c>
      <c r="C23" s="166" t="s">
        <v>110</v>
      </c>
      <c r="D23" s="228"/>
      <c r="E23" s="15"/>
    </row>
    <row r="24" spans="1:7">
      <c r="A24" s="171" t="s">
        <v>76</v>
      </c>
      <c r="B24" s="37">
        <f>aantalw2001_steenkool</f>
        <v>93</v>
      </c>
      <c r="C24" s="166" t="s">
        <v>110</v>
      </c>
      <c r="D24" s="229"/>
      <c r="E24" s="15"/>
    </row>
    <row r="25" spans="1:7">
      <c r="A25" s="171" t="s">
        <v>77</v>
      </c>
      <c r="B25" s="37">
        <f>aantalw2001_stookolie</f>
        <v>2805</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4101</v>
      </c>
      <c r="C28" s="36"/>
      <c r="D28" s="228"/>
    </row>
    <row r="29" spans="1:7" s="15" customFormat="1">
      <c r="A29" s="230" t="s">
        <v>819</v>
      </c>
      <c r="B29" s="37">
        <f>SUM(HH_hh_gas_aantal,HH_rest_gas_aantal)</f>
        <v>1425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1425</v>
      </c>
      <c r="C32" s="167">
        <f>IF(ISERROR(B32/SUM($B$32,$B$34,$B$35,$B$36,$B$38,$B$39)*100),0,B32/SUM($B$32,$B$34,$B$35,$B$36,$B$38,$B$39)*100)</f>
        <v>35.33349863625093</v>
      </c>
      <c r="D32" s="233"/>
      <c r="G32" s="15"/>
    </row>
    <row r="33" spans="1:7">
      <c r="A33" s="171" t="s">
        <v>71</v>
      </c>
      <c r="B33" s="34" t="s">
        <v>110</v>
      </c>
      <c r="C33" s="167"/>
      <c r="D33" s="233"/>
      <c r="G33" s="15"/>
    </row>
    <row r="34" spans="1:7">
      <c r="A34" s="171" t="s">
        <v>72</v>
      </c>
      <c r="B34" s="33">
        <f>IF((($B$28-$B$32-$B$39-$B$77-$B$38)*C20/100)&lt;0,0,($B$28-$B$32-$B$39-$B$77-$B$38)*C20/100)</f>
        <v>320.22552631578941</v>
      </c>
      <c r="C34" s="167">
        <f>IF(ISERROR(B34/SUM($B$32,$B$34,$B$35,$B$36,$B$38,$B$39)*100),0,B34/SUM($B$32,$B$34,$B$35,$B$36,$B$38,$B$39)*100)</f>
        <v>7.9401320683310042</v>
      </c>
      <c r="D34" s="233"/>
      <c r="G34" s="15"/>
    </row>
    <row r="35" spans="1:7">
      <c r="A35" s="171" t="s">
        <v>73</v>
      </c>
      <c r="B35" s="33">
        <f>IF((($B$28-$B$32-$B$39-$B$77-$B$38)*C21/100)&lt;0,0,($B$28-$B$32-$B$39-$B$77-$B$38)*C21/100)</f>
        <v>538.67394736842107</v>
      </c>
      <c r="C35" s="167">
        <f>IF(ISERROR(B35/SUM($B$32,$B$34,$B$35,$B$36,$B$38,$B$39)*100),0,B35/SUM($B$32,$B$34,$B$35,$B$36,$B$38,$B$39)*100)</f>
        <v>13.356656269983166</v>
      </c>
      <c r="D35" s="233"/>
      <c r="G35" s="15"/>
    </row>
    <row r="36" spans="1:7">
      <c r="A36" s="171" t="s">
        <v>74</v>
      </c>
      <c r="B36" s="33">
        <f>IF((($B$28-$B$32-$B$39-$B$77-$B$38)*C22/100)&lt;0,0,($B$28-$B$32-$B$39-$B$77-$B$38)*C22/100)</f>
        <v>84.400526315789463</v>
      </c>
      <c r="C36" s="167">
        <f>IF(ISERROR(B36/SUM($B$32,$B$34,$B$35,$B$36,$B$38,$B$39)*100),0,B36/SUM($B$32,$B$34,$B$35,$B$36,$B$38,$B$39)*100)</f>
        <v>2.0927479870019705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1664.7</v>
      </c>
      <c r="C39" s="167">
        <f>IF(ISERROR(B39/SUM($B$32,$B$34,$B$35,$B$36,$B$38,$B$39)*100),0,B39/SUM($B$32,$B$34,$B$35,$B$36,$B$38,$B$39)*100)</f>
        <v>41.276965038432927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1425</v>
      </c>
      <c r="C44" s="34" t="s">
        <v>110</v>
      </c>
      <c r="D44" s="174"/>
    </row>
    <row r="45" spans="1:7">
      <c r="A45" s="171" t="s">
        <v>71</v>
      </c>
      <c r="B45" s="33" t="str">
        <f t="shared" si="0"/>
        <v>-</v>
      </c>
      <c r="C45" s="34" t="s">
        <v>110</v>
      </c>
      <c r="D45" s="174"/>
    </row>
    <row r="46" spans="1:7">
      <c r="A46" s="171" t="s">
        <v>72</v>
      </c>
      <c r="B46" s="33">
        <f t="shared" si="0"/>
        <v>320.22552631578941</v>
      </c>
      <c r="C46" s="34" t="s">
        <v>110</v>
      </c>
      <c r="D46" s="174"/>
    </row>
    <row r="47" spans="1:7">
      <c r="A47" s="171" t="s">
        <v>73</v>
      </c>
      <c r="B47" s="33">
        <f t="shared" si="0"/>
        <v>538.67394736842107</v>
      </c>
      <c r="C47" s="34" t="s">
        <v>110</v>
      </c>
      <c r="D47" s="174"/>
    </row>
    <row r="48" spans="1:7">
      <c r="A48" s="171" t="s">
        <v>74</v>
      </c>
      <c r="B48" s="33">
        <f t="shared" si="0"/>
        <v>84.400526315789463</v>
      </c>
      <c r="C48" s="33">
        <f>B48*10</f>
        <v>844.00526315789466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1664.7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6290.0881000000008</v>
      </c>
      <c r="C5" s="17">
        <f>IF(ISERROR('Eigen informatie GS &amp; warmtenet'!B60),0,'Eigen informatie GS &amp; warmtenet'!B60)</f>
        <v>0</v>
      </c>
      <c r="D5" s="30">
        <f>SUM(D6:D12)</f>
        <v>3867.1658871999998</v>
      </c>
      <c r="E5" s="17">
        <f>SUM(E6:E12)</f>
        <v>110.34365287141337</v>
      </c>
      <c r="F5" s="17">
        <f>SUM(F6:F12)</f>
        <v>677.31383198571177</v>
      </c>
      <c r="G5" s="18"/>
      <c r="H5" s="17"/>
      <c r="I5" s="17"/>
      <c r="J5" s="17">
        <f>SUM(J6:J12)</f>
        <v>1.0112228314682269E-2</v>
      </c>
      <c r="K5" s="17"/>
      <c r="L5" s="17"/>
      <c r="M5" s="17"/>
      <c r="N5" s="17">
        <f>SUM(N6:N12)</f>
        <v>400.46407345115853</v>
      </c>
      <c r="O5" s="17">
        <f>B38*B39*B40</f>
        <v>0</v>
      </c>
      <c r="P5" s="17">
        <f>B46*B47*B48/1000-B46*B47*B48/1000/B49</f>
        <v>0</v>
      </c>
      <c r="R5" s="32"/>
    </row>
    <row r="6" spans="1:18">
      <c r="A6" s="32" t="s">
        <v>53</v>
      </c>
      <c r="B6" s="37">
        <f>B26</f>
        <v>979.16730000000007</v>
      </c>
      <c r="C6" s="33"/>
      <c r="D6" s="37">
        <f>IF(ISERROR(TER_kantoor_gas_kWh/1000),0,TER_kantoor_gas_kWh/1000)*0.902</f>
        <v>1574.85141</v>
      </c>
      <c r="E6" s="33">
        <f>$C$26*'E Balans VL '!I12/100/3.6*1000000</f>
        <v>7.8790453173302213</v>
      </c>
      <c r="F6" s="33">
        <f>$C$26*('E Balans VL '!L12+'E Balans VL '!N12)/100/3.6*1000000</f>
        <v>119.7135029352184</v>
      </c>
      <c r="G6" s="34"/>
      <c r="H6" s="33"/>
      <c r="I6" s="33"/>
      <c r="J6" s="33">
        <f>$C$26*('E Balans VL '!D12+'E Balans VL '!E12)/100/3.6*1000000</f>
        <v>0</v>
      </c>
      <c r="K6" s="33"/>
      <c r="L6" s="33"/>
      <c r="M6" s="33"/>
      <c r="N6" s="33">
        <f>$C$26*'E Balans VL '!Y12/100/3.6*1000000</f>
        <v>0.52625420497940956</v>
      </c>
      <c r="O6" s="33"/>
      <c r="P6" s="33"/>
      <c r="R6" s="32"/>
    </row>
    <row r="7" spans="1:18">
      <c r="A7" s="32" t="s">
        <v>52</v>
      </c>
      <c r="B7" s="37">
        <f t="shared" ref="B7:B12" si="0">B27</f>
        <v>726.37800000000004</v>
      </c>
      <c r="C7" s="33"/>
      <c r="D7" s="37">
        <f>IF(ISERROR(TER_horeca_gas_kWh/1000),0,TER_horeca_gas_kWh/1000)*0.902</f>
        <v>681.00549000000001</v>
      </c>
      <c r="E7" s="33">
        <f>$C$27*'E Balans VL '!I9/100/3.6*1000000</f>
        <v>7.7995160474683809</v>
      </c>
      <c r="F7" s="33">
        <f>$C$27*('E Balans VL '!L9+'E Balans VL '!N9)/100/3.6*1000000</f>
        <v>87.365659683090001</v>
      </c>
      <c r="G7" s="34"/>
      <c r="H7" s="33"/>
      <c r="I7" s="33"/>
      <c r="J7" s="33">
        <f>$C$27*('E Balans VL '!D9+'E Balans VL '!E9)/100/3.6*1000000</f>
        <v>0</v>
      </c>
      <c r="K7" s="33"/>
      <c r="L7" s="33"/>
      <c r="M7" s="33"/>
      <c r="N7" s="33">
        <f>$C$27*'E Balans VL '!Y9/100/3.6*1000000</f>
        <v>0.10889878417286054</v>
      </c>
      <c r="O7" s="33"/>
      <c r="P7" s="33"/>
      <c r="R7" s="32"/>
    </row>
    <row r="8" spans="1:18">
      <c r="A8" s="6" t="s">
        <v>51</v>
      </c>
      <c r="B8" s="37">
        <f t="shared" si="0"/>
        <v>3302.4607999999998</v>
      </c>
      <c r="C8" s="33"/>
      <c r="D8" s="37">
        <f>IF(ISERROR(TER_handel_gas_kWh/1000),0,TER_handel_gas_kWh/1000)*0.902</f>
        <v>618.17902519999996</v>
      </c>
      <c r="E8" s="33">
        <f>$C$28*'E Balans VL '!I13/100/3.6*1000000</f>
        <v>88.627937486339547</v>
      </c>
      <c r="F8" s="33">
        <f>$C$28*('E Balans VL '!L13+'E Balans VL '!N13)/100/3.6*1000000</f>
        <v>315.15654478634337</v>
      </c>
      <c r="G8" s="34"/>
      <c r="H8" s="33"/>
      <c r="I8" s="33"/>
      <c r="J8" s="33">
        <f>$C$28*('E Balans VL '!D13+'E Balans VL '!E13)/100/3.6*1000000</f>
        <v>0</v>
      </c>
      <c r="K8" s="33"/>
      <c r="L8" s="33"/>
      <c r="M8" s="33"/>
      <c r="N8" s="33">
        <f>$C$28*'E Balans VL '!Y13/100/3.6*1000000</f>
        <v>1.3091330113723307</v>
      </c>
      <c r="O8" s="33"/>
      <c r="P8" s="33"/>
      <c r="R8" s="32"/>
    </row>
    <row r="9" spans="1:18">
      <c r="A9" s="32" t="s">
        <v>50</v>
      </c>
      <c r="B9" s="37">
        <f t="shared" si="0"/>
        <v>524.24099999999999</v>
      </c>
      <c r="C9" s="33"/>
      <c r="D9" s="37">
        <f>IF(ISERROR(TER_gezond_gas_kWh/1000),0,TER_gezond_gas_kWh/1000)*0.902</f>
        <v>126.05720599999999</v>
      </c>
      <c r="E9" s="33">
        <f>$C$29*'E Balans VL '!I10/100/3.6*1000000</f>
        <v>0.98259833428205456</v>
      </c>
      <c r="F9" s="33">
        <f>$C$29*('E Balans VL '!L10+'E Balans VL '!N10)/100/3.6*1000000</f>
        <v>43.097393530553525</v>
      </c>
      <c r="G9" s="34"/>
      <c r="H9" s="33"/>
      <c r="I9" s="33"/>
      <c r="J9" s="33">
        <f>$C$29*('E Balans VL '!D10+'E Balans VL '!E10)/100/3.6*1000000</f>
        <v>0</v>
      </c>
      <c r="K9" s="33"/>
      <c r="L9" s="33"/>
      <c r="M9" s="33"/>
      <c r="N9" s="33">
        <f>$C$29*'E Balans VL '!Y10/100/3.6*1000000</f>
        <v>4.0789861199877127</v>
      </c>
      <c r="O9" s="33"/>
      <c r="P9" s="33"/>
      <c r="R9" s="32"/>
    </row>
    <row r="10" spans="1:18">
      <c r="A10" s="32" t="s">
        <v>49</v>
      </c>
      <c r="B10" s="37">
        <f t="shared" si="0"/>
        <v>595.67600000000004</v>
      </c>
      <c r="C10" s="33"/>
      <c r="D10" s="37">
        <f>IF(ISERROR(TER_ander_gas_kWh/1000),0,TER_ander_gas_kWh/1000)*0.902</f>
        <v>353.95382000000001</v>
      </c>
      <c r="E10" s="33">
        <f>$C$30*'E Balans VL '!I14/100/3.6*1000000</f>
        <v>0.91824058989164603</v>
      </c>
      <c r="F10" s="33">
        <f>$C$30*('E Balans VL '!L14+'E Balans VL '!N14)/100/3.6*1000000</f>
        <v>92.478863445400847</v>
      </c>
      <c r="G10" s="34"/>
      <c r="H10" s="33"/>
      <c r="I10" s="33"/>
      <c r="J10" s="33">
        <f>$C$30*('E Balans VL '!D14+'E Balans VL '!E14)/100/3.6*1000000</f>
        <v>1.0112228314682269E-2</v>
      </c>
      <c r="K10" s="33"/>
      <c r="L10" s="33"/>
      <c r="M10" s="33"/>
      <c r="N10" s="33">
        <f>$C$30*'E Balans VL '!Y14/100/3.6*1000000</f>
        <v>394.08015032750632</v>
      </c>
      <c r="O10" s="33"/>
      <c r="P10" s="33"/>
      <c r="R10" s="32"/>
    </row>
    <row r="11" spans="1:18">
      <c r="A11" s="32" t="s">
        <v>54</v>
      </c>
      <c r="B11" s="37">
        <f t="shared" si="0"/>
        <v>162.16499999999999</v>
      </c>
      <c r="C11" s="33"/>
      <c r="D11" s="37">
        <f>IF(ISERROR(TER_onderwijs_gas_kWh/1000),0,TER_onderwijs_gas_kWh/1000)*0.902</f>
        <v>513.11893600000008</v>
      </c>
      <c r="E11" s="33">
        <f>$C$31*'E Balans VL '!I11/100/3.6*1000000</f>
        <v>4.1363150961015149</v>
      </c>
      <c r="F11" s="33">
        <f>$C$31*('E Balans VL '!L11+'E Balans VL '!N11)/100/3.6*1000000</f>
        <v>19.501867605105637</v>
      </c>
      <c r="G11" s="34"/>
      <c r="H11" s="33"/>
      <c r="I11" s="33"/>
      <c r="J11" s="33">
        <f>$C$31*('E Balans VL '!D11+'E Balans VL '!E11)/100/3.6*1000000</f>
        <v>0</v>
      </c>
      <c r="K11" s="33"/>
      <c r="L11" s="33"/>
      <c r="M11" s="33"/>
      <c r="N11" s="33">
        <f>$C$31*'E Balans VL '!Y11/100/3.6*1000000</f>
        <v>0.36065100313990506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8.5</v>
      </c>
      <c r="C13" s="247">
        <f ca="1">'lokale energieproductie'!O38+'lokale energieproductie'!O31</f>
        <v>12.175675675675675</v>
      </c>
      <c r="D13" s="308">
        <f ca="1">('lokale energieproductie'!P31+'lokale energieproductie'!P38)*(-1)</f>
        <v>-22.972972972972972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6298.5881000000008</v>
      </c>
      <c r="C16" s="21">
        <f t="shared" ca="1" si="1"/>
        <v>12.175675675675675</v>
      </c>
      <c r="D16" s="21">
        <f t="shared" ca="1" si="1"/>
        <v>3844.1929142270269</v>
      </c>
      <c r="E16" s="21">
        <f t="shared" si="1"/>
        <v>110.34365287141337</v>
      </c>
      <c r="F16" s="21">
        <f t="shared" ca="1" si="1"/>
        <v>677.31383198571177</v>
      </c>
      <c r="G16" s="21">
        <f t="shared" si="1"/>
        <v>0</v>
      </c>
      <c r="H16" s="21">
        <f t="shared" si="1"/>
        <v>0</v>
      </c>
      <c r="I16" s="21">
        <f t="shared" si="1"/>
        <v>0</v>
      </c>
      <c r="J16" s="21">
        <f t="shared" si="1"/>
        <v>1.0112228314682269E-2</v>
      </c>
      <c r="K16" s="21">
        <f t="shared" si="1"/>
        <v>0</v>
      </c>
      <c r="L16" s="21">
        <f t="shared" ca="1" si="1"/>
        <v>0</v>
      </c>
      <c r="M16" s="21">
        <f t="shared" si="1"/>
        <v>0</v>
      </c>
      <c r="N16" s="21">
        <f t="shared" ca="1" si="1"/>
        <v>400.46407345115853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0.18796958881000544</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1183.9430152405937</v>
      </c>
      <c r="C20" s="23">
        <f t="shared" ref="C20:P20" ca="1" si="2">C16*C18</f>
        <v>2.7327627627627624</v>
      </c>
      <c r="D20" s="23">
        <f t="shared" ca="1" si="2"/>
        <v>776.52696867385953</v>
      </c>
      <c r="E20" s="23">
        <f t="shared" si="2"/>
        <v>25.048009201810835</v>
      </c>
      <c r="F20" s="23">
        <f t="shared" ca="1" si="2"/>
        <v>180.84279314018505</v>
      </c>
      <c r="G20" s="23">
        <f t="shared" si="2"/>
        <v>0</v>
      </c>
      <c r="H20" s="23">
        <f t="shared" si="2"/>
        <v>0</v>
      </c>
      <c r="I20" s="23">
        <f t="shared" si="2"/>
        <v>0</v>
      </c>
      <c r="J20" s="23">
        <f t="shared" si="2"/>
        <v>3.5797288233975232E-3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979.16730000000007</v>
      </c>
      <c r="C26" s="39">
        <f>IF(ISERROR(B26*3.6/1000000/'E Balans VL '!Z12*100),0,B26*3.6/1000000/'E Balans VL '!Z12*100)</f>
        <v>2.0772138434292545E-2</v>
      </c>
      <c r="D26" s="237" t="s">
        <v>708</v>
      </c>
      <c r="F26" s="6"/>
    </row>
    <row r="27" spans="1:18">
      <c r="A27" s="231" t="s">
        <v>52</v>
      </c>
      <c r="B27" s="33">
        <f>IF(ISERROR(TER_horeca_ele_kWh/1000),0,TER_horeca_ele_kWh/1000)</f>
        <v>726.37800000000004</v>
      </c>
      <c r="C27" s="39">
        <f>IF(ISERROR(B27*3.6/1000000/'E Balans VL '!Z9*100),0,B27*3.6/1000000/'E Balans VL '!Z9*100)</f>
        <v>5.470269802427629E-2</v>
      </c>
      <c r="D27" s="237" t="s">
        <v>708</v>
      </c>
      <c r="F27" s="6"/>
    </row>
    <row r="28" spans="1:18">
      <c r="A28" s="171" t="s">
        <v>51</v>
      </c>
      <c r="B28" s="33">
        <f>IF(ISERROR(TER_handel_ele_kWh/1000),0,TER_handel_ele_kWh/1000)</f>
        <v>3302.4607999999998</v>
      </c>
      <c r="C28" s="39">
        <f>IF(ISERROR(B28*3.6/1000000/'E Balans VL '!Z13*100),0,B28*3.6/1000000/'E Balans VL '!Z13*100)</f>
        <v>9.5858735492411001E-2</v>
      </c>
      <c r="D28" s="237" t="s">
        <v>708</v>
      </c>
      <c r="F28" s="6"/>
    </row>
    <row r="29" spans="1:18">
      <c r="A29" s="231" t="s">
        <v>50</v>
      </c>
      <c r="B29" s="33">
        <f>IF(ISERROR(TER_gezond_ele_kWh/1000),0,TER_gezond_ele_kWh/1000)</f>
        <v>524.24099999999999</v>
      </c>
      <c r="C29" s="39">
        <f>IF(ISERROR(B29*3.6/1000000/'E Balans VL '!Z10*100),0,B29*3.6/1000000/'E Balans VL '!Z10*100)</f>
        <v>5.2870330032855642E-2</v>
      </c>
      <c r="D29" s="237" t="s">
        <v>708</v>
      </c>
      <c r="F29" s="6"/>
    </row>
    <row r="30" spans="1:18">
      <c r="A30" s="231" t="s">
        <v>49</v>
      </c>
      <c r="B30" s="33">
        <f>IF(ISERROR(TER_ander_ele_kWh/1000),0,TER_ander_ele_kWh/1000)</f>
        <v>595.67600000000004</v>
      </c>
      <c r="C30" s="39">
        <f>IF(ISERROR(B30*3.6/1000000/'E Balans VL '!Z14*100),0,B30*3.6/1000000/'E Balans VL '!Z14*100)</f>
        <v>4.322442031067706E-2</v>
      </c>
      <c r="D30" s="237" t="s">
        <v>708</v>
      </c>
      <c r="F30" s="6"/>
    </row>
    <row r="31" spans="1:18">
      <c r="A31" s="231" t="s">
        <v>54</v>
      </c>
      <c r="B31" s="33">
        <f>IF(ISERROR(TER_onderwijs_ele_kWh/1000),0,TER_onderwijs_ele_kWh/1000)</f>
        <v>162.16499999999999</v>
      </c>
      <c r="C31" s="39">
        <f>IF(ISERROR(B31*3.6/1000000/'E Balans VL '!Z11*100),0,B31*3.6/1000000/'E Balans VL '!Z11*100)</f>
        <v>4.622362866629065E-2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1106.7445289999998</v>
      </c>
      <c r="C5" s="17">
        <f>IF(ISERROR('Eigen informatie GS &amp; warmtenet'!B61),0,'Eigen informatie GS &amp; warmtenet'!B61)</f>
        <v>0</v>
      </c>
      <c r="D5" s="30">
        <f>SUM(D6:D15)</f>
        <v>523.34166279999999</v>
      </c>
      <c r="E5" s="17">
        <f>SUM(E6:E15)</f>
        <v>177.51580738456497</v>
      </c>
      <c r="F5" s="17">
        <f>SUM(F6:F15)</f>
        <v>560.26741956414969</v>
      </c>
      <c r="G5" s="18"/>
      <c r="H5" s="17"/>
      <c r="I5" s="17"/>
      <c r="J5" s="17">
        <f>SUM(J6:J15)</f>
        <v>0.45697946834519876</v>
      </c>
      <c r="K5" s="17"/>
      <c r="L5" s="17"/>
      <c r="M5" s="17"/>
      <c r="N5" s="17">
        <f>SUM(N6:N15)</f>
        <v>61.10311353186173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260.98700000000002</v>
      </c>
      <c r="C8" s="33"/>
      <c r="D8" s="37">
        <f>IF( ISERROR(IND_metaal_Gas_kWH/1000),0,IND_metaal_Gas_kWH/1000)*0.902</f>
        <v>34.519540000000006</v>
      </c>
      <c r="E8" s="33">
        <f>C30*'E Balans VL '!I18/100/3.6*1000000</f>
        <v>1.8828380272036833</v>
      </c>
      <c r="F8" s="33">
        <f>C30*'E Balans VL '!L18/100/3.6*1000000+C30*'E Balans VL '!N18/100/3.6*1000000</f>
        <v>24.68455793682006</v>
      </c>
      <c r="G8" s="34"/>
      <c r="H8" s="33"/>
      <c r="I8" s="33"/>
      <c r="J8" s="40">
        <f>C30*'E Balans VL '!D18/100/3.6*1000000+C30*'E Balans VL '!E18/100/3.6*1000000</f>
        <v>0.26250224124716298</v>
      </c>
      <c r="K8" s="33"/>
      <c r="L8" s="33"/>
      <c r="M8" s="33"/>
      <c r="N8" s="33">
        <f>C30*'E Balans VL '!Y18/100/3.6*1000000</f>
        <v>3.2995661834310468</v>
      </c>
      <c r="O8" s="33"/>
      <c r="P8" s="33"/>
      <c r="R8" s="32"/>
    </row>
    <row r="9" spans="1:18">
      <c r="A9" s="6" t="s">
        <v>32</v>
      </c>
      <c r="B9" s="37">
        <f t="shared" si="0"/>
        <v>628.54252899999994</v>
      </c>
      <c r="C9" s="33"/>
      <c r="D9" s="37">
        <f>IF( ISERROR(IND_andere_gas_kWh/1000),0,IND_andere_gas_kWh/1000)*0.902</f>
        <v>415.29920080000005</v>
      </c>
      <c r="E9" s="33">
        <f>C31*'E Balans VL '!I19/100/3.6*1000000</f>
        <v>174.17753945246807</v>
      </c>
      <c r="F9" s="33">
        <f>C31*'E Balans VL '!L19/100/3.6*1000000+C31*'E Balans VL '!N19/100/3.6*1000000</f>
        <v>520.93740632607341</v>
      </c>
      <c r="G9" s="34"/>
      <c r="H9" s="33"/>
      <c r="I9" s="33"/>
      <c r="J9" s="40">
        <f>C31*'E Balans VL '!D19/100/3.6*1000000+C31*'E Balans VL '!E19/100/3.6*1000000</f>
        <v>0</v>
      </c>
      <c r="K9" s="33"/>
      <c r="L9" s="33"/>
      <c r="M9" s="33"/>
      <c r="N9" s="33">
        <f>C31*'E Balans VL '!Y19/100/3.6*1000000</f>
        <v>45.624499697990828</v>
      </c>
      <c r="O9" s="33"/>
      <c r="P9" s="33"/>
      <c r="R9" s="32"/>
    </row>
    <row r="10" spans="1:18">
      <c r="A10" s="6" t="s">
        <v>40</v>
      </c>
      <c r="B10" s="37">
        <f t="shared" si="0"/>
        <v>193.67400000000001</v>
      </c>
      <c r="C10" s="33"/>
      <c r="D10" s="37">
        <f>IF( ISERROR(IND_voed_gas_kWh/1000),0,IND_voed_gas_kWh/1000)*0.902</f>
        <v>66.379081999999997</v>
      </c>
      <c r="E10" s="33">
        <f>C32*'E Balans VL '!I20/100/3.6*1000000</f>
        <v>0.34286858158970579</v>
      </c>
      <c r="F10" s="33">
        <f>C32*'E Balans VL '!L20/100/3.6*1000000+C32*'E Balans VL '!N20/100/3.6*1000000</f>
        <v>10.460112517264589</v>
      </c>
      <c r="G10" s="34"/>
      <c r="H10" s="33"/>
      <c r="I10" s="33"/>
      <c r="J10" s="40">
        <f>C32*'E Balans VL '!D20/100/3.6*1000000+C32*'E Balans VL '!E20/100/3.6*1000000</f>
        <v>0</v>
      </c>
      <c r="K10" s="33"/>
      <c r="L10" s="33"/>
      <c r="M10" s="33"/>
      <c r="N10" s="33">
        <f>C32*'E Balans VL '!Y20/100/3.6*1000000</f>
        <v>11.253938506768987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23.541</v>
      </c>
      <c r="C15" s="33"/>
      <c r="D15" s="37">
        <f>IF( ISERROR(IND_rest_gas_kWh/1000),0,IND_rest_gas_kWh/1000)*0.902</f>
        <v>7.14384</v>
      </c>
      <c r="E15" s="33">
        <f>C37*'E Balans VL '!I15/100/3.6*1000000</f>
        <v>1.1125613233035125</v>
      </c>
      <c r="F15" s="33">
        <f>C37*'E Balans VL '!L15/100/3.6*1000000+C37*'E Balans VL '!N15/100/3.6*1000000</f>
        <v>4.1853427839916231</v>
      </c>
      <c r="G15" s="34"/>
      <c r="H15" s="33"/>
      <c r="I15" s="33"/>
      <c r="J15" s="40">
        <f>C37*'E Balans VL '!D15/100/3.6*1000000+C37*'E Balans VL '!E15/100/3.6*1000000</f>
        <v>0.1944772270980358</v>
      </c>
      <c r="K15" s="33"/>
      <c r="L15" s="33"/>
      <c r="M15" s="33"/>
      <c r="N15" s="33">
        <f>C37*'E Balans VL '!Y15/100/3.6*1000000</f>
        <v>0.92510914367086361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1106.7445289999998</v>
      </c>
      <c r="C18" s="21">
        <f>C5+C16</f>
        <v>0</v>
      </c>
      <c r="D18" s="21">
        <f>MAX((D5+D16),0)</f>
        <v>523.34166279999999</v>
      </c>
      <c r="E18" s="21">
        <f>MAX((E5+E16),0)</f>
        <v>177.51580738456497</v>
      </c>
      <c r="F18" s="21">
        <f>MAX((F5+F16),0)</f>
        <v>560.26741956414969</v>
      </c>
      <c r="G18" s="21"/>
      <c r="H18" s="21"/>
      <c r="I18" s="21"/>
      <c r="J18" s="21">
        <f>MAX((J5+J16),0)</f>
        <v>0.45697946834519876</v>
      </c>
      <c r="K18" s="21"/>
      <c r="L18" s="21">
        <f>MAX((L5+L16),0)</f>
        <v>0</v>
      </c>
      <c r="M18" s="21"/>
      <c r="N18" s="21">
        <f>MAX((N5+N16),0)</f>
        <v>61.10311353186173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0.18796958881000544</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208.03431403385312</v>
      </c>
      <c r="C22" s="23">
        <f ca="1">C18*C20</f>
        <v>0</v>
      </c>
      <c r="D22" s="23">
        <f>D18*D20</f>
        <v>105.71501588560001</v>
      </c>
      <c r="E22" s="23">
        <f>E18*E20</f>
        <v>40.296088276296246</v>
      </c>
      <c r="F22" s="23">
        <f>F18*F20</f>
        <v>149.59140102362798</v>
      </c>
      <c r="G22" s="23"/>
      <c r="H22" s="23"/>
      <c r="I22" s="23"/>
      <c r="J22" s="23">
        <f>J18*J20</f>
        <v>0.16177073179420035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260.98700000000002</v>
      </c>
      <c r="C30" s="39">
        <f>IF(ISERROR(B30*3.6/1000000/'E Balans VL '!Z18*100),0,B30*3.6/1000000/'E Balans VL '!Z18*100)</f>
        <v>1.5066372279543225E-2</v>
      </c>
      <c r="D30" s="237" t="s">
        <v>708</v>
      </c>
    </row>
    <row r="31" spans="1:18">
      <c r="A31" s="6" t="s">
        <v>32</v>
      </c>
      <c r="B31" s="37">
        <f>IF( ISERROR(IND_ander_ele_kWh/1000),0,IND_ander_ele_kWh/1000)</f>
        <v>628.54252899999994</v>
      </c>
      <c r="C31" s="39">
        <f>IF(ISERROR(B31*3.6/1000000/'E Balans VL '!Z19*100),0,B31*3.6/1000000/'E Balans VL '!Z19*100)</f>
        <v>3.1613651866980105E-2</v>
      </c>
      <c r="D31" s="237" t="s">
        <v>708</v>
      </c>
    </row>
    <row r="32" spans="1:18">
      <c r="A32" s="171" t="s">
        <v>40</v>
      </c>
      <c r="B32" s="37">
        <f>IF( ISERROR(IND_voed_ele_kWh/1000),0,IND_voed_ele_kWh/1000)</f>
        <v>193.67400000000001</v>
      </c>
      <c r="C32" s="39">
        <f>IF(ISERROR(B32*3.6/1000000/'E Balans VL '!Z20*100),0,B32*3.6/1000000/'E Balans VL '!Z20*100)</f>
        <v>6.4504942842596863E-3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23.541</v>
      </c>
      <c r="C37" s="39">
        <f>IF(ISERROR(B37*3.6/1000000/'E Balans VL '!Z15*100),0,B37*3.6/1000000/'E Balans VL '!Z15*100)</f>
        <v>1.8368417595291702E-4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133.66499999999999</v>
      </c>
      <c r="C5" s="17">
        <f>'Eigen informatie GS &amp; warmtenet'!B62</f>
        <v>0</v>
      </c>
      <c r="D5" s="30">
        <f>IF(ISERROR(SUM(LB_lb_gas_kWh,LB_rest_gas_kWh)/1000),0,SUM(LB_lb_gas_kWh,LB_rest_gas_kWh)/1000)*0.902</f>
        <v>25.064776000000002</v>
      </c>
      <c r="E5" s="17">
        <f>B17*'E Balans VL '!I25/3.6*1000000/100</f>
        <v>4.1716405727207198</v>
      </c>
      <c r="F5" s="17">
        <f>B17*('E Balans VL '!L25/3.6*1000000+'E Balans VL '!N25/3.6*1000000)/100</f>
        <v>472.38691700926609</v>
      </c>
      <c r="G5" s="18"/>
      <c r="H5" s="17"/>
      <c r="I5" s="17"/>
      <c r="J5" s="17">
        <f>('E Balans VL '!D25+'E Balans VL '!E25)/3.6*1000000*landbouw!B17/100</f>
        <v>36.825634458651187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133.66499999999999</v>
      </c>
      <c r="C8" s="21">
        <f>C5+C6</f>
        <v>0</v>
      </c>
      <c r="D8" s="21">
        <f>MAX((D5+D6),0)</f>
        <v>25.064776000000002</v>
      </c>
      <c r="E8" s="21">
        <f>MAX((E5+E6),0)</f>
        <v>4.1716405727207198</v>
      </c>
      <c r="F8" s="21">
        <f>MAX((F5+F6),0)</f>
        <v>472.38691700926609</v>
      </c>
      <c r="G8" s="21"/>
      <c r="H8" s="21"/>
      <c r="I8" s="21"/>
      <c r="J8" s="21">
        <f>MAX((J5+J6),0)</f>
        <v>36.825634458651187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0.18796958881000544</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25.124955088289376</v>
      </c>
      <c r="C12" s="23">
        <f ca="1">C8*C10</f>
        <v>0</v>
      </c>
      <c r="D12" s="23">
        <f>D8*D10</f>
        <v>5.0630847520000009</v>
      </c>
      <c r="E12" s="23">
        <f>E8*E10</f>
        <v>0.94696241000760339</v>
      </c>
      <c r="F12" s="23">
        <f>F8*F10</f>
        <v>126.12730684147405</v>
      </c>
      <c r="G12" s="23"/>
      <c r="H12" s="23"/>
      <c r="I12" s="23"/>
      <c r="J12" s="23">
        <f>J8*J10</f>
        <v>13.036274598362519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1.9870260451482928E-2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6.7144193263623784</v>
      </c>
      <c r="C26" s="247">
        <f>B26*'GWP N2O_CH4'!B5</f>
        <v>141.00280585360994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0.37669616104663844</v>
      </c>
      <c r="C27" s="247">
        <f>B27*'GWP N2O_CH4'!B5</f>
        <v>7.9106193819794077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9.3954287234498904E-2</v>
      </c>
      <c r="C28" s="247">
        <f>B28*'GWP N2O_CH4'!B4</f>
        <v>29.125829042694662</v>
      </c>
      <c r="D28" s="50"/>
    </row>
    <row r="29" spans="1:4">
      <c r="A29" s="41" t="s">
        <v>276</v>
      </c>
      <c r="B29" s="247">
        <f>B34*'ha_N2O bodem landbouw'!B4</f>
        <v>2.5019687340344219</v>
      </c>
      <c r="C29" s="247">
        <f>B29*'GWP N2O_CH4'!B4</f>
        <v>775.61030755067077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5.4863669643956446E-4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1.16553460806413E-4</v>
      </c>
      <c r="C5" s="437" t="s">
        <v>210</v>
      </c>
      <c r="D5" s="422">
        <f>SUM(D6:D11)</f>
        <v>4.6997140783591241E-4</v>
      </c>
      <c r="E5" s="422">
        <f>SUM(E6:E11)</f>
        <v>3.920798008450998E-4</v>
      </c>
      <c r="F5" s="435" t="s">
        <v>210</v>
      </c>
      <c r="G5" s="422">
        <f>SUM(G6:G11)</f>
        <v>0.16694155163620825</v>
      </c>
      <c r="H5" s="422">
        <f>SUM(H6:H11)</f>
        <v>4.3666265478293671E-2</v>
      </c>
      <c r="I5" s="437" t="s">
        <v>210</v>
      </c>
      <c r="J5" s="437" t="s">
        <v>210</v>
      </c>
      <c r="K5" s="437" t="s">
        <v>210</v>
      </c>
      <c r="L5" s="437" t="s">
        <v>210</v>
      </c>
      <c r="M5" s="422">
        <f>SUM(M6:M11)</f>
        <v>1.2513974533205009E-2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7.4298541117322011E-5</v>
      </c>
      <c r="C6" s="423"/>
      <c r="D6" s="890">
        <f>vkm_GW_PW*SUMIFS(TableVerdeelsleutelVkm[CNG],TableVerdeelsleutelVkm[Voertuigtype],"Lichte voertuigen")*SUMIFS(TableECFTransport[EnergieConsumptieFactor (PJ per km)],TableECFTransport[Index],CONCATENATE($A6,"_CNG_CNG"))</f>
        <v>2.3934549900812889E-4</v>
      </c>
      <c r="E6" s="890">
        <f>vkm_GW_PW*SUMIFS(TableVerdeelsleutelVkm[LPG],TableVerdeelsleutelVkm[Voertuigtype],"Lichte voertuigen")*SUMIFS(TableECFTransport[EnergieConsumptieFactor (PJ per km)],TableECFTransport[Index],CONCATENATE($A6,"_LPG_LPG"))</f>
        <v>2.0468267183624232E-4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6.6122622380132168E-2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2.2421775718260005E-2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5.295989463591797E-3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3.9430202394802535E-2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5.6381649037827422E-7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2.2728517474759286E-3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4.2254919689090996E-5</v>
      </c>
      <c r="C8" s="423"/>
      <c r="D8" s="425">
        <f>vkm_NGW_PW*SUMIFS(TableVerdeelsleutelVkm[CNG],TableVerdeelsleutelVkm[Voertuigtype],"Lichte voertuigen")*SUMIFS(TableECFTransport[EnergieConsumptieFactor (PJ per km)],TableECFTransport[Index],CONCATENATE($A8,"_CNG_CNG"))</f>
        <v>2.3062590882778352E-4</v>
      </c>
      <c r="E8" s="425">
        <f>vkm_NGW_PW*SUMIFS(TableVerdeelsleutelVkm[LPG],TableVerdeelsleutelVkm[Voertuigtype],"Lichte voertuigen")*SUMIFS(TableECFTransport[EnergieConsumptieFactor (PJ per km)],TableECFTransport[Index],CONCATENATE($A8,"_LPG_LPG"))</f>
        <v>1.8739712900885751E-4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5.6569592322713226E-2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2.1243838573323383E-2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4.6673455886547879E-3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4.819134538560298E-3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8.7370219905722319E-8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2.7778773348249532E-4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32.375961335114724</v>
      </c>
      <c r="C14" s="21"/>
      <c r="D14" s="21">
        <f t="shared" ref="D14:M14" si="0">((D5)*10^9/3600)+D12</f>
        <v>130.54761328775345</v>
      </c>
      <c r="E14" s="21">
        <f t="shared" si="0"/>
        <v>108.9110557903055</v>
      </c>
      <c r="F14" s="21"/>
      <c r="G14" s="21">
        <f t="shared" si="0"/>
        <v>46372.653232280063</v>
      </c>
      <c r="H14" s="21">
        <f t="shared" si="0"/>
        <v>12129.51818841491</v>
      </c>
      <c r="I14" s="21"/>
      <c r="J14" s="21"/>
      <c r="K14" s="21"/>
      <c r="L14" s="21"/>
      <c r="M14" s="21">
        <f t="shared" si="0"/>
        <v>3476.1040370013911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0.18796958881000544</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6.0856961394901496</v>
      </c>
      <c r="C18" s="23"/>
      <c r="D18" s="23">
        <f t="shared" ref="D18:M18" si="1">D14*D16</f>
        <v>26.370617884126197</v>
      </c>
      <c r="E18" s="23">
        <f t="shared" si="1"/>
        <v>24.72280966439935</v>
      </c>
      <c r="F18" s="23"/>
      <c r="G18" s="23">
        <f t="shared" si="1"/>
        <v>12381.498413018777</v>
      </c>
      <c r="H18" s="23">
        <f t="shared" si="1"/>
        <v>3020.2500289153127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9.7890826984524002E-4</v>
      </c>
      <c r="H50" s="319">
        <f t="shared" si="2"/>
        <v>0</v>
      </c>
      <c r="I50" s="319">
        <f t="shared" si="2"/>
        <v>0</v>
      </c>
      <c r="J50" s="319">
        <f t="shared" si="2"/>
        <v>0</v>
      </c>
      <c r="K50" s="319">
        <f t="shared" si="2"/>
        <v>0</v>
      </c>
      <c r="L50" s="319">
        <f t="shared" si="2"/>
        <v>0</v>
      </c>
      <c r="M50" s="319">
        <f t="shared" si="2"/>
        <v>5.4399269984169602E-5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9.7890826984524002E-4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5.4399269984169602E-5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271.91896384590001</v>
      </c>
      <c r="H54" s="21">
        <f t="shared" si="3"/>
        <v>0</v>
      </c>
      <c r="I54" s="21">
        <f t="shared" si="3"/>
        <v>0</v>
      </c>
      <c r="J54" s="21">
        <f t="shared" si="3"/>
        <v>0</v>
      </c>
      <c r="K54" s="21">
        <f t="shared" si="3"/>
        <v>0</v>
      </c>
      <c r="L54" s="21">
        <f t="shared" si="3"/>
        <v>0</v>
      </c>
      <c r="M54" s="21">
        <f t="shared" si="3"/>
        <v>15.110908328936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0.18796958881000544</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72.602363346855313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3902.7452257121604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8.5</v>
      </c>
      <c r="C8" s="548">
        <f>B48</f>
        <v>9.4444444444444429</v>
      </c>
      <c r="D8" s="549"/>
      <c r="E8" s="549">
        <f>E48</f>
        <v>0</v>
      </c>
      <c r="F8" s="550"/>
      <c r="G8" s="551"/>
      <c r="H8" s="549">
        <f>I48</f>
        <v>0</v>
      </c>
      <c r="I8" s="549">
        <f>G48+F48</f>
        <v>0</v>
      </c>
      <c r="J8" s="549">
        <f>H48+D48+C48</f>
        <v>0</v>
      </c>
      <c r="K8" s="549"/>
      <c r="L8" s="549"/>
      <c r="M8" s="549"/>
      <c r="N8" s="552"/>
      <c r="O8" s="553">
        <f>C8*$C$12+D8*$D$12+E8*$E$12+F8*$F$12+G8*$G$12+H8*$H$12+I8*$I$12+J8*$J$12</f>
        <v>1.9077777777777776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3911.2452257121604</v>
      </c>
      <c r="C10" s="563">
        <f t="shared" ref="C10:L10" si="0">SUM(C8:C9)</f>
        <v>9.4444444444444429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1.9077777777777776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12.175675675675675</v>
      </c>
      <c r="C17" s="579">
        <f>B49</f>
        <v>13.528528528528525</v>
      </c>
      <c r="D17" s="580"/>
      <c r="E17" s="580">
        <f>E49</f>
        <v>0</v>
      </c>
      <c r="F17" s="581"/>
      <c r="G17" s="582"/>
      <c r="H17" s="579">
        <f>I49</f>
        <v>0</v>
      </c>
      <c r="I17" s="580">
        <f>G49+F49</f>
        <v>0</v>
      </c>
      <c r="J17" s="580">
        <f>H49+D49+C49</f>
        <v>0</v>
      </c>
      <c r="K17" s="580"/>
      <c r="L17" s="580"/>
      <c r="M17" s="580"/>
      <c r="N17" s="972"/>
      <c r="O17" s="583">
        <f>C17*$C$22+E17*$E$22+H17*$H$22+I17*$I$22+J17*$J$22+D17*$D$22+F17*$F$22+G17*$G$22+K17*$K$22+L17*$L$22</f>
        <v>2.7327627627627624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12.175675675675675</v>
      </c>
      <c r="C20" s="562">
        <f>SUM(C17:C19)</f>
        <v>13.528528528528525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2.7327627627627624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24007</v>
      </c>
      <c r="C28" s="791">
        <v>3130</v>
      </c>
      <c r="D28" s="640"/>
      <c r="E28" s="639"/>
      <c r="F28" s="639" t="s">
        <v>888</v>
      </c>
      <c r="G28" s="639" t="s">
        <v>889</v>
      </c>
      <c r="H28" s="639" t="s">
        <v>889</v>
      </c>
      <c r="I28" s="639" t="s">
        <v>890</v>
      </c>
      <c r="J28" s="790">
        <v>41736</v>
      </c>
      <c r="K28" s="790">
        <v>42153</v>
      </c>
      <c r="L28" s="639" t="s">
        <v>891</v>
      </c>
      <c r="M28" s="639">
        <v>1.7</v>
      </c>
      <c r="N28" s="639">
        <v>8.5</v>
      </c>
      <c r="O28" s="639">
        <v>12.175675675675675</v>
      </c>
      <c r="P28" s="639">
        <v>22.972972972972972</v>
      </c>
      <c r="Q28" s="639">
        <v>0</v>
      </c>
      <c r="R28" s="639">
        <v>0</v>
      </c>
      <c r="S28" s="639">
        <v>0</v>
      </c>
      <c r="T28" s="639">
        <v>0</v>
      </c>
      <c r="U28" s="639">
        <v>0</v>
      </c>
      <c r="V28" s="639">
        <v>0</v>
      </c>
      <c r="W28" s="639">
        <v>0</v>
      </c>
      <c r="X28" s="639">
        <v>1100</v>
      </c>
      <c r="Y28" s="639" t="s">
        <v>51</v>
      </c>
      <c r="Z28" s="641" t="s">
        <v>155</v>
      </c>
    </row>
    <row r="29" spans="1:26" s="573" customFormat="1">
      <c r="A29" s="595" t="s">
        <v>279</v>
      </c>
      <c r="B29" s="596"/>
      <c r="C29" s="596"/>
      <c r="D29" s="596"/>
      <c r="E29" s="596"/>
      <c r="F29" s="596"/>
      <c r="G29" s="596"/>
      <c r="H29" s="596"/>
      <c r="I29" s="596"/>
      <c r="J29" s="596"/>
      <c r="K29" s="596"/>
      <c r="L29" s="597"/>
      <c r="M29" s="597">
        <f>SUM(M28:M28)</f>
        <v>1.7</v>
      </c>
      <c r="N29" s="597">
        <f>SUM(N28:N28)</f>
        <v>8.5</v>
      </c>
      <c r="O29" s="597">
        <f>SUM(O28:O28)</f>
        <v>12.175675675675675</v>
      </c>
      <c r="P29" s="597">
        <f>SUM(P28:P28)</f>
        <v>22.972972972972972</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1.7</v>
      </c>
      <c r="N31" s="597">
        <f ca="1">SUMIF($Z$28:AD28,"tertiair",N28:N28)</f>
        <v>8.5</v>
      </c>
      <c r="O31" s="597">
        <f ca="1">SUMIF($Z$28:AE28,"tertiair",O28:O28)</f>
        <v>12.175675675675675</v>
      </c>
      <c r="P31" s="597">
        <f ca="1">SUMIF($Z$28:AF28,"tertiair",P28:P28)</f>
        <v>22.972972972972972</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0.5888888888888888</v>
      </c>
      <c r="C45" s="622">
        <f>IF(ISERROR(N29/(O29+N29)),0,N29/(N29+O29))</f>
        <v>0.41111111111111109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9.4444444444444429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13.528528528528525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2020-06-20T15:31:19Z</dcterms:modified>
</cp:coreProperties>
</file>