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<sst xmlns="http://schemas.openxmlformats.org/spreadsheetml/2006/main" count="2402" uniqueCount="888">
  <si>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</si>
  <si>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</si>
  <si>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</si>
  <si>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</si>
  <si>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</si>
  <si>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</si>
  <si>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</si>
  <si>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</si>
  <si>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</si>
  <si>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</si>
  <si>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</si>
  <si>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</si>
  <si>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</si>
  <si>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</si>
  <si>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</si>
  <si>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</si>
  <si>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</si>
  <si>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</si>
  <si>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</si>
  <si>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</si>
  <si>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</si>
  <si>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</si>
  <si>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</si>
  <si>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</si>
  <si>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</si>
  <si>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</si>
  <si>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</si>
  <si>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</si>
  <si>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</si>
  <si>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</si>
  <si>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</si>
  <si>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</si>
  <si>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</si>
  <si>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</si>
  <si>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</si>
  <si>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</si>
  <si>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</si>
  <si>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</si>
  <si>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</si>
  <si>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</si>
  <si>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</si>
  <si>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</si>
  <si>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</si>
  <si>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</si>
  <si>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</si>
  <si>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</si>
  <si>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</si>
  <si>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</si>
  <si>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</si>
  <si>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</si>
  <si>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</si>
  <si>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</si>
  <si>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</si>
  <si>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</si>
  <si>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</si>
  <si>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</si>
  <si>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</si>
  <si>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</si>
  <si>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</si>
  <si>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</si>
  <si>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</si>
  <si>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</si>
  <si>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</si>
  <si>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</si>
  <si>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</si>
  <si>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</si>
  <si>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</si>
  <si>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</si>
  <si>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</si>
  <si>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</si>
  <si>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</si>
  <si>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</si>
  <si>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</si>
  <si>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</si>
  <si>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</si>
  <si>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</si>
  <si>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</si>
  <si>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</si>
  <si>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</si>
  <si>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</si>
  <si>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</si>
  <si>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</si>
  <si>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</si>
  <si>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</si>
  <si>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</si>
  <si>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</si>
  <si>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</si>
  <si>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</si>
  <si>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</si>
  <si>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</si>
  <si>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</si>
  <si>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</si>
  <si>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</si>
  <si>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</si>
  <si>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</si>
  <si>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</si>
  <si>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</si>
  <si>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</si>
  <si>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</si>
  <si>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</si>
  <si>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</si>
  <si>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</si>
  <si>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</si>
  <si>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</si>
  <si>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</si>
  <si>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</si>
  <si>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</si>
  <si>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</si>
  <si>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</si>
  <si>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</si>
  <si>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</si>
  <si>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</si>
  <si>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</si>
  <si>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</si>
  <si>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</si>
  <si>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</si>
  <si>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</si>
  <si>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</si>
  <si>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</si>
  <si>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</si>
  <si>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</si>
  <si>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</si>
  <si>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</si>
  <si>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</si>
  <si>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</si>
  <si>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</si>
  <si>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</si>
  <si>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</si>
  <si>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</si>
  <si>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</si>
  <si>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</si>
  <si>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</si>
  <si>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</si>
  <si>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</si>
  <si>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</si>
  <si>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</si>
  <si>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</si>
  <si>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</si>
  <si>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</si>
  <si>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</si>
  <si>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</si>
  <si>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</si>
  <si>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</si>
  <si>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</si>
  <si>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</si>
  <si>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</si>
  <si>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</si>
  <si>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</si>
  <si>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</si>
  <si>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</si>
  <si>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</si>
  <si>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</si>
  <si>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</si>
  <si>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</si>
  <si>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</si>
  <si>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</si>
  <si>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</si>
  <si>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</si>
  <si>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</si>
  <si>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</si>
  <si>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</si>
  <si>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</si>
  <si>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</si>
  <si>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</si>
  <si>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</si>
  <si>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</si>
  <si>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</si>
  <si>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</si>
  <si>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</si>
  <si>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</si>
  <si>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</si>
  <si>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</si>
  <si>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</si>
  <si>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</si>
  <si>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</si>
  <si>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</si>
  <si>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</si>
  <si>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</si>
  <si>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</si>
  <si>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</si>
  <si>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</si>
  <si>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</si>
  <si>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</si>
  <si>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</si>
  <si>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</si>
  <si>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</si>
  <si>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</si>
  <si>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</si>
  <si>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</si>
  <si>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</si>
  <si>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</si>
  <si>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</si>
  <si>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</si>
  <si>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</si>
  <si>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</si>
  <si>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</si>
  <si>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</si>
  <si>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</si>
  <si>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</si>
  <si>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</si>
  <si>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</si>
  <si>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</si>
  <si>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</si>
  <si>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</si>
  <si>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</si>
  <si>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</si>
  <si>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</si>
  <si>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</si>
  <si>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</si>
  <si>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</si>
  <si>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</si>
  <si>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</si>
  <si>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</si>
  <si>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</si>
  <si>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</si>
  <si>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</si>
  <si>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</si>
  <si>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</si>
  <si>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</si>
  <si>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</si>
  <si>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</si>
  <si>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</si>
  <si>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</si>
  <si>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</si>
  <si>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</si>
  <si>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</si>
  <si>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</si>
  <si>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</si>
  <si>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</si>
  <si>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</si>
  <si>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</si>
  <si>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</si>
  <si>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</si>
  <si>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</si>
  <si>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</si>
  <si>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</si>
  <si>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</si>
  <si>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</si>
  <si>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</si>
  <si>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</si>
  <si>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</si>
  <si>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</si>
  <si>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</si>
  <si>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</si>
  <si>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</si>
  <si>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</si>
  <si>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</si>
  <si>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</si>
  <si>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</si>
  <si>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</si>
  <si>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</si>
  <si>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</si>
  <si>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</si>
  <si>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</si>
  <si>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</si>
  <si>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</si>
  <si>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</si>
  <si>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</si>
  <si>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</si>
  <si>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</si>
  <si>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</si>
  <si>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</si>
  <si>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</si>
  <si>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</si>
  <si>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</si>
  <si>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</si>
  <si>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</si>
  <si>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</si>
  <si>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</si>
  <si>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</si>
  <si>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</si>
  <si>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</si>
  <si>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</si>
  <si>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</si>
  <si>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</si>
  <si>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</si>
  <si>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</si>
  <si>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</si>
  <si>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</si>
  <si>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</si>
  <si>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</si>
  <si>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</si>
  <si>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</si>
  <si>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</si>
  <si>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</si>
  <si>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</si>
  <si>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</si>
  <si>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</si>
  <si>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</si>
  <si>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</si>
  <si>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</si>
  <si>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</si>
  <si>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</si>
  <si>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</si>
  <si>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</si>
  <si>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</si>
  <si>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</si>
  <si>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</si>
  <si>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</si>
  <si>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</si>
  <si>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</si>
  <si>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</si>
  <si>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</si>
  <si>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</si>
  <si>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</si>
  <si>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</si>
  <si>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</si>
  <si>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</si>
  <si>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</si>
  <si>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</si>
  <si>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</si>
  <si>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</si>
  <si>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</si>
  <si>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</si>
  <si>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</si>
  <si>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</si>
  <si>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</si>
  <si>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</si>
  <si>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</si>
  <si>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</si>
  <si>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</si>
  <si>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</si>
  <si>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</si>
  <si>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</si>
  <si>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</si>
  <si>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</si>
  <si>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</si>
  <si>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</si>
  <si>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</si>
  <si>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</si>
  <si>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</si>
  <si>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</si>
  <si>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</si>
  <si>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</si>
  <si>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</si>
  <si>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</si>
  <si>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</si>
  <si>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</si>
  <si>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</si>
  <si>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</si>
  <si>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</si>
  <si>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</si>
  <si>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</si>
  <si>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</si>
  <si>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</si>
  <si>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</si>
  <si>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</si>
  <si>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</si>
  <si>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</si>
  <si>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</si>
  <si>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</si>
  <si>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</si>
  <si>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</si>
  <si>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</si>
  <si>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</si>
  <si>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</si>
  <si>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</si>
  <si>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</si>
  <si>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</si>
  <si>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</si>
  <si>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</si>
  <si>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</si>
  <si>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</si>
  <si>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</si>
  <si>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</si>
  <si>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</si>
  <si>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</si>
  <si>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</si>
  <si>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</si>
  <si>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</si>
  <si>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</si>
  <si>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</si>
  <si>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</si>
  <si>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</si>
  <si>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</si>
  <si>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</si>
  <si>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</si>
  <si>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</si>
  <si>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</si>
  <si>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</si>
  <si>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</si>
  <si>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</si>
  <si>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</si>
  <si>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</si>
  <si>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</si>
  <si>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</si>
  <si>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</si>
  <si>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</si>
  <si>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</si>
  <si>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</si>
  <si>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</si>
  <si>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</si>
  <si>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</si>
  <si>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</si>
  <si>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</si>
  <si>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</si>
  <si>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</si>
  <si>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</si>
  <si>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</si>
  <si>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</si>
  <si>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</si>
  <si>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</si>
  <si>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</si>
  <si>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</si>
  <si>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</si>
  <si>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</si>
  <si>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</si>
  <si>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</si>
  <si>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</si>
  <si>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</si>
  <si>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</si>
  <si>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</si>
  <si>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</si>
  <si>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</si>
  <si>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</si>
  <si>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</si>
  <si>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</si>
  <si>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</si>
  <si>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</si>
  <si>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</si>
  <si>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</si>
  <si>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</si>
  <si>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</si>
  <si>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</si>
  <si>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</si>
  <si>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</si>
  <si>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</si>
  <si>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</si>
  <si>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</si>
  <si>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</si>
  <si>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</si>
  <si>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</si>
  <si>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</si>
  <si>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</si>
  <si>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</si>
  <si>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</si>
  <si>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</si>
  <si>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</si>
  <si>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</si>
  <si>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</si>
  <si>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</si>
  <si>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</si>
  <si>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</si>
  <si>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</si>
  <si>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</si>
  <si>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</si>
  <si>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</si>
  <si>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</si>
  <si>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</si>
  <si>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</si>
  <si>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</si>
  <si>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</si>
  <si>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</si>
  <si>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</si>
  <si>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</si>
  <si>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</si>
  <si>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</si>
  <si>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</si>
  <si>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</si>
  <si>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</si>
  <si>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</si>
  <si>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</si>
  <si>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</si>
  <si>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</si>
  <si>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</si>
  <si>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</si>
  <si>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</si>
  <si>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</si>
  <si>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</si>
  <si>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</si>
  <si>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</si>
  <si>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</si>
  <si>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</si>
  <si>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</si>
  <si>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</si>
  <si>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</si>
  <si>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</si>
  <si>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</si>
  <si>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</si>
  <si>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</si>
  <si>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</si>
  <si>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</si>
  <si>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</si>
  <si>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</si>
  <si>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</si>
  <si>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</si>
  <si>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</si>
  <si>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</si>
  <si>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</si>
  <si>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</si>
  <si>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</si>
  <si>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</si>
  <si>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</si>
  <si>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</si>
  <si>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</si>
  <si>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</si>
  <si>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</si>
  <si>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</si>
  <si>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</si>
  <si>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</si>
  <si>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</si>
  <si>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</si>
  <si>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</si>
  <si>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</si>
  <si>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</si>
  <si>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</si>
  <si>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</si>
  <si>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</si>
  <si>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</si>
  <si>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</si>
  <si>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</si>
  <si>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</si>
  <si>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</si>
  <si>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</si>
  <si>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</si>
  <si>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</si>
  <si>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</si>
  <si>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</si>
  <si>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</si>
  <si>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</si>
  <si>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</si>
  <si>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</si>
  <si>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</si>
  <si>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</si>
  <si>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</si>
  <si>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</si>
  <si>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</si>
  <si>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</si>
  <si>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</si>
  <si>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</si>
  <si>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</si>
  <si>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</si>
  <si>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</si>
  <si>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</si>
  <si>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</si>
  <si>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</si>
  <si>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</si>
  <si>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</si>
  <si>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</si>
  <si>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</si>
  <si>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</si>
  <si>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</si>
  <si>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</si>
  <si>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</si>
  <si>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</si>
  <si>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</si>
  <si>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</si>
  <si>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</si>
  <si>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</si>
  <si>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</si>
  <si>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</si>
  <si>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</si>
  <si>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</si>
  <si>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</si>
  <si>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</si>
  <si>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</si>
  <si>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</si>
  <si>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</si>
  <si>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</si>
  <si>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</si>
  <si>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</si>
  <si>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</si>
  <si>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</si>
  <si>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</si>
  <si>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</si>
  <si>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</si>
  <si>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</si>
  <si>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</si>
  <si>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</si>
  <si>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</si>
  <si>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</si>
  <si>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</si>
  <si>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</si>
  <si>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</si>
  <si>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</si>
  <si>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</si>
  <si>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</si>
  <si>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</si>
  <si>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</si>
  <si>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</si>
  <si>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</si>
  <si>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</si>
  <si>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</si>
  <si>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</si>
  <si>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</si>
  <si>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</si>
  <si>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</si>
  <si>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</si>
  <si>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</si>
  <si>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</si>
  <si>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</si>
  <si>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</si>
  <si>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</si>
  <si>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</si>
  <si>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</si>
  <si>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</si>
  <si>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</si>
  <si>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</si>
  <si>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</si>
  <si>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</si>
  <si>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</si>
  <si>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</si>
  <si>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</si>
  <si>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</si>
  <si>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</si>
  <si>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</si>
  <si>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</si>
  <si>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</si>
  <si>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</si>
  <si>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</si>
  <si>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</si>
  <si>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</si>
  <si>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</si>
  <si>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</si>
  <si>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</si>
  <si>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</si>
  <si>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</si>
  <si>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</si>
  <si>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</si>
  <si>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</si>
  <si>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</si>
  <si>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</si>
  <si>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</si>
  <si>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</si>
  <si>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</si>
  <si>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</si>
  <si>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</si>
  <si>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</si>
  <si>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</si>
  <si>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</si>
  <si>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</si>
  <si>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</si>
  <si>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</si>
  <si>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</si>
  <si>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</si>
  <si>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</si>
  <si>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</si>
  <si>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</si>
  <si>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</si>
  <si>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</si>
  <si>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</si>
  <si>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</si>
  <si>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</si>
  <si>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</si>
  <si>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</si>
  <si>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</si>
  <si>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</si>
  <si>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</si>
  <si>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</si>
  <si>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</si>
  <si>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</si>
  <si>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</si>
  <si>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</si>
  <si>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</si>
  <si>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</si>
  <si>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</si>
  <si>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</si>
  <si>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</si>
  <si>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</si>
  <si>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</si>
  <si>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</si>
  <si>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</si>
  <si>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</si>
  <si>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</si>
  <si>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</si>
  <si>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</si>
  <si>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</si>
  <si>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</si>
  <si>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</si>
  <si>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</si>
  <si>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</si>
  <si>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</si>
  <si>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</si>
  <si>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</si>
  <si>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</si>
  <si>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</si>
  <si>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</si>
  <si>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</si>
  <si>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</si>
  <si>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</si>
  <si>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</si>
  <si>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</si>
  <si>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</si>
  <si>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</si>
  <si>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</si>
  <si>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</si>
  <si>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</si>
  <si>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</si>
  <si>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</si>
  <si>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</si>
  <si>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</si>
  <si>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</si>
  <si>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</si>
  <si>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</si>
  <si>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</si>
  <si>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</si>
  <si>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</si>
  <si>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</si>
  <si>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</si>
  <si>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</si>
  <si>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</si>
  <si>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</si>
  <si>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</si>
  <si>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</si>
  <si>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</si>
  <si>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</si>
  <si>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</si>
  <si>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</si>
  <si>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</si>
  <si>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</si>
  <si>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</si>
  <si>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</si>
  <si>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</si>
  <si>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</si>
  <si>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</si>
  <si>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</si>
  <si>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</si>
  <si>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</si>
  <si>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</si>
  <si>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</si>
  <si>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</si>
  <si>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</si>
  <si>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</si>
  <si>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</si>
  <si>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</si>
  <si>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</si>
  <si>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</si>
  <si>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</si>
  <si>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</si>
  <si>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</si>
  <si>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</si>
  <si>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</si>
  <si>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</si>
  <si>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</si>
  <si>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</si>
  <si>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</si>
  <si>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</si>
  <si>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</si>
  <si>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</si>
  <si>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</si>
  <si>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</si>
  <si>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</si>
  <si>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</si>
  <si>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</si>
  <si>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</si>
  <si>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</si>
  <si>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</si>
  <si>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</si>
  <si>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</si>
  <si>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</si>
  <si>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</si>
  <si>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</si>
  <si>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</si>
  <si>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</si>
  <si>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</si>
  <si>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</si>
  <si>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</si>
  <si>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</si>
  <si>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</si>
  <si>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</si>
  <si>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</si>
  <si>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</si>
  <si>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</si>
  <si>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</si>
  <si>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</si>
  <si>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</si>
  <si>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</si>
  <si>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</si>
  <si>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</si>
  <si>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</si>
  <si>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</si>
  <si>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</si>
  <si>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</si>
  <si>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</si>
  <si>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</si>
  <si>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</si>
  <si>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</si>
  <si>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</si>
  <si>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</si>
  <si>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</si>
  <si>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</si>
  <si>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</si>
  <si>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</si>
  <si>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</si>
  <si>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</si>
  <si>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</si>
  <si>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</si>
  <si>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</si>
  <si>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</si>
  <si>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</si>
  <si>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</si>
  <si>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</si>
  <si>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</si>
  <si>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</si>
  <si>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</si>
  <si>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</si>
  <si>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</si>
  <si>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</si>
  <si>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</si>
  <si>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</si>
  <si>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</si>
  <si>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</si>
  <si>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</si>
  <si>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</si>
  <si>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</si>
  <si>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</si>
  <si>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</si>
  <si>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</si>
  <si>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</si>
  <si>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</si>
  <si>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</si>
  <si>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</si>
  <si>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</si>
  <si>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</si>
  <si>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</si>
  <si>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</si>
  <si>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</si>
  <si>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</si>
  <si>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</si>
  <si>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</si>
  <si>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</si>
  <si>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</si>
  <si>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</si>
  <si>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</si>
  <si>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</si>
  <si>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</si>
  <si>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</si>
  <si>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</si>
  <si>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</si>
  <si>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</si>
  <si>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</si>
  <si>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</si>
  <si>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</si>
  <si>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</si>
  <si>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</si>
  <si>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</si>
  <si>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</si>
  <si>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</si>
  <si>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</si>
  <si>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</si>
  <si>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</si>
  <si>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</si>
  <si>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</si>
  <si>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</si>
  <si>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</si>
  <si>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</si>
  <si>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</si>
  <si>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</si>
  <si>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</si>
  <si>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</si>
  <si>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</si>
  <si>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</si>
  <si>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</si>
  <si>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</si>
  <si>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</si>
  <si>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</si>
  <si>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</si>
  <si>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</si>
  <si>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</si>
  <si>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</si>
  <si>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</si>
  <si>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</si>
  <si>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</si>
  <si>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</si>
  <si>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</si>
  <si>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</si>
  <si>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</si>
  <si>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</si>
  <si>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</si>
  <si>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</si>
  <si>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</si>
  <si>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</si>
  <si>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</si>
  <si>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</si>
  <si>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</si>
  <si>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</si>
  <si>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</si>
  <si>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</si>
  <si>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</si>
  <si>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</si>
  <si>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</si>
  <si>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</si>
  <si>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</si>
  <si>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</si>
  <si>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</si>
  <si>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23101</t>
  </si>
  <si>
    <t>SINT-GENESIUS-RODE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</si>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</sst>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176372.15211137064</c:v>
                </c:pt>
                <c:pt idx="1">
                  <c:v>54452.021301309796</c:v>
                </c:pt>
                <c:pt idx="2">
                  <c:v>1149.6569999999999</c:v>
                </c:pt>
                <c:pt idx="3">
                  <c:v>512.16232842517354</c:v>
                </c:pt>
                <c:pt idx="4">
                  <c:v>4806.9469094071801</c:v>
                </c:pt>
                <c:pt idx="5">
                  <c:v>90012.545731718579</c:v>
                </c:pt>
                <c:pt idx="6">
                  <c:v>1766.5640939813215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176372.15211137064</c:v>
                </c:pt>
                <c:pt idx="1">
                  <c:v>54452.021301309796</c:v>
                </c:pt>
                <c:pt idx="2">
                  <c:v>1149.6569999999999</c:v>
                </c:pt>
                <c:pt idx="3">
                  <c:v>512.16232842517354</c:v>
                </c:pt>
                <c:pt idx="4">
                  <c:v>4806.9469094071801</c:v>
                </c:pt>
                <c:pt idx="5">
                  <c:v>90012.545731718579</c:v>
                </c:pt>
                <c:pt idx="6">
                  <c:v>1766.5640939813215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35129.942089472104</c:v>
                </c:pt>
                <c:pt idx="1">
                  <c:v>10944.251525548441</c:v>
                </c:pt>
                <c:pt idx="2">
                  <c:v>247.4144540906515</c:v>
                </c:pt>
                <c:pt idx="3">
                  <c:v>130.83871554842707</c:v>
                </c:pt>
                <c:pt idx="4">
                  <c:v>1030.4631389343886</c:v>
                </c:pt>
                <c:pt idx="5">
                  <c:v>22274.822296418239</c:v>
                </c:pt>
                <c:pt idx="6">
                  <c:v>446.84104568954496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35129.942089472104</c:v>
                </c:pt>
                <c:pt idx="1">
                  <c:v>10944.251525548441</c:v>
                </c:pt>
                <c:pt idx="2">
                  <c:v>247.4144540906515</c:v>
                </c:pt>
                <c:pt idx="3">
                  <c:v>130.83871554842707</c:v>
                </c:pt>
                <c:pt idx="4">
                  <c:v>1030.4631389343886</c:v>
                </c:pt>
                <c:pt idx="5">
                  <c:v>22274.822296418239</c:v>
                </c:pt>
                <c:pt idx="6">
                  <c:v>446.84104568954496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23101</v>
      </c>
      <c r="B6" s="390"/>
      <c r="C6" s="391"/>
    </row>
    <row r="7" spans="1:7" s="388" customFormat="1" ht="15.75" customHeight="1">
      <c r="A7" s="392" t="str">
        <f>txtMunicipality</f>
        <v>SINT-GENESIUS-RODE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17707.986204000001</v>
      </c>
      <c r="D10" s="686">
        <f ca="1">tertiair!C16</f>
        <v>0</v>
      </c>
      <c r="E10" s="686">
        <f ca="1">tertiair!D16</f>
        <v>33668.574786571997</v>
      </c>
      <c r="F10" s="686">
        <f>tertiair!E16</f>
        <v>220.48969844971066</v>
      </c>
      <c r="G10" s="686">
        <f ca="1">tertiair!F16</f>
        <v>1983.7398170988827</v>
      </c>
      <c r="H10" s="686">
        <f>tertiair!G16</f>
        <v>0</v>
      </c>
      <c r="I10" s="686">
        <f>tertiair!H16</f>
        <v>0</v>
      </c>
      <c r="J10" s="686">
        <f>tertiair!I16</f>
        <v>0</v>
      </c>
      <c r="K10" s="686">
        <f>tertiair!J16</f>
        <v>5.1420894617072624E-2</v>
      </c>
      <c r="L10" s="686">
        <f>tertiair!K16</f>
        <v>0</v>
      </c>
      <c r="M10" s="686">
        <f ca="1">tertiair!L16</f>
        <v>0</v>
      </c>
      <c r="N10" s="686">
        <f>tertiair!M16</f>
        <v>0</v>
      </c>
      <c r="O10" s="686">
        <f ca="1">tertiair!N16</f>
        <v>2015.9391135287442</v>
      </c>
      <c r="P10" s="686">
        <f>tertiair!O16</f>
        <v>4.8972607658411542</v>
      </c>
      <c r="Q10" s="687">
        <f>tertiair!P16</f>
        <v>0</v>
      </c>
      <c r="R10" s="689">
        <f ca="1">SUM(C10:Q10)</f>
        <v>55601.678301309796</v>
      </c>
      <c r="S10" s="67"/>
    </row>
    <row r="11" spans="1:19" s="448" customFormat="1">
      <c r="A11" s="808" t="s">
        <v>224</v>
      </c>
      <c r="B11" s="813"/>
      <c r="C11" s="686">
        <f>huishoudens!B8</f>
        <v>33142.290169353284</v>
      </c>
      <c r="D11" s="686">
        <f>huishoudens!C8</f>
        <v>0</v>
      </c>
      <c r="E11" s="686">
        <f>huishoudens!D8</f>
        <v>126526.34502336402</v>
      </c>
      <c r="F11" s="686">
        <f>huishoudens!E8</f>
        <v>2382.0124839471141</v>
      </c>
      <c r="G11" s="686">
        <f>huishoudens!F8</f>
        <v>7110.2785603843276</v>
      </c>
      <c r="H11" s="686">
        <f>huishoudens!G8</f>
        <v>0</v>
      </c>
      <c r="I11" s="686">
        <f>huishoudens!H8</f>
        <v>0</v>
      </c>
      <c r="J11" s="686">
        <f>huishoudens!I8</f>
        <v>0</v>
      </c>
      <c r="K11" s="686">
        <f>huishoudens!J8</f>
        <v>0</v>
      </c>
      <c r="L11" s="686">
        <f>huishoudens!K8</f>
        <v>0</v>
      </c>
      <c r="M11" s="686">
        <f>huishoudens!L8</f>
        <v>0</v>
      </c>
      <c r="N11" s="686">
        <f>huishoudens!M8</f>
        <v>0</v>
      </c>
      <c r="O11" s="686">
        <f>huishoudens!N8</f>
        <v>6934.7931597541274</v>
      </c>
      <c r="P11" s="686">
        <f>huishoudens!O8</f>
        <v>128.95728426015705</v>
      </c>
      <c r="Q11" s="687">
        <f>huishoudens!P8</f>
        <v>147.47543030759033</v>
      </c>
      <c r="R11" s="689">
        <f>SUM(C11:Q11)</f>
        <v>176372.15211137064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1605.2464759999998</v>
      </c>
      <c r="D13" s="686">
        <f>industrie!C18</f>
        <v>0</v>
      </c>
      <c r="E13" s="686">
        <f>industrie!D18</f>
        <v>2144.6043408680002</v>
      </c>
      <c r="F13" s="686">
        <f>industrie!E18</f>
        <v>232.71848103712989</v>
      </c>
      <c r="G13" s="686">
        <f>industrie!F18</f>
        <v>730.34724353807962</v>
      </c>
      <c r="H13" s="686">
        <f>industrie!G18</f>
        <v>0</v>
      </c>
      <c r="I13" s="686">
        <f>industrie!H18</f>
        <v>0</v>
      </c>
      <c r="J13" s="686">
        <f>industrie!I18</f>
        <v>0</v>
      </c>
      <c r="K13" s="686">
        <f>industrie!J18</f>
        <v>11.193975107916977</v>
      </c>
      <c r="L13" s="686">
        <f>industrie!K18</f>
        <v>0</v>
      </c>
      <c r="M13" s="686">
        <f>industrie!L18</f>
        <v>0</v>
      </c>
      <c r="N13" s="686">
        <f>industrie!M18</f>
        <v>0</v>
      </c>
      <c r="O13" s="686">
        <f>industrie!N18</f>
        <v>82.836392856053266</v>
      </c>
      <c r="P13" s="686">
        <f>industrie!O18</f>
        <v>0</v>
      </c>
      <c r="Q13" s="687">
        <f>industrie!P18</f>
        <v>0</v>
      </c>
      <c r="R13" s="689">
        <f>SUM(C13:Q13)</f>
        <v>4806.9469094071801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52455.522849353285</v>
      </c>
      <c r="D16" s="722">
        <f t="shared" ref="D16:R16" ca="1" si="0">SUM(D9:D15)</f>
        <v>0</v>
      </c>
      <c r="E16" s="722">
        <f t="shared" ca="1" si="0"/>
        <v>162339.52415080403</v>
      </c>
      <c r="F16" s="722">
        <f t="shared" si="0"/>
        <v>2835.2206634339545</v>
      </c>
      <c r="G16" s="722">
        <f t="shared" ca="1" si="0"/>
        <v>9824.3656210212903</v>
      </c>
      <c r="H16" s="722">
        <f t="shared" si="0"/>
        <v>0</v>
      </c>
      <c r="I16" s="722">
        <f t="shared" si="0"/>
        <v>0</v>
      </c>
      <c r="J16" s="722">
        <f t="shared" si="0"/>
        <v>0</v>
      </c>
      <c r="K16" s="722">
        <f t="shared" si="0"/>
        <v>11.245396002534049</v>
      </c>
      <c r="L16" s="722">
        <f t="shared" si="0"/>
        <v>0</v>
      </c>
      <c r="M16" s="722">
        <f t="shared" ca="1" si="0"/>
        <v>0</v>
      </c>
      <c r="N16" s="722">
        <f t="shared" si="0"/>
        <v>0</v>
      </c>
      <c r="O16" s="722">
        <f t="shared" ca="1" si="0"/>
        <v>9033.5686661389263</v>
      </c>
      <c r="P16" s="722">
        <f t="shared" si="0"/>
        <v>133.85454502599822</v>
      </c>
      <c r="Q16" s="722">
        <f t="shared" si="0"/>
        <v>147.47543030759033</v>
      </c>
      <c r="R16" s="722">
        <f t="shared" ca="1" si="0"/>
        <v>236780.77732208761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1673.5619688747001</v>
      </c>
      <c r="I19" s="686">
        <f>transport!H54</f>
        <v>0</v>
      </c>
      <c r="J19" s="686">
        <f>transport!I54</f>
        <v>0</v>
      </c>
      <c r="K19" s="686">
        <f>transport!J54</f>
        <v>0</v>
      </c>
      <c r="L19" s="686">
        <f>transport!K54</f>
        <v>0</v>
      </c>
      <c r="M19" s="686">
        <f>transport!L54</f>
        <v>0</v>
      </c>
      <c r="N19" s="686">
        <f>transport!M54</f>
        <v>93.002125106621335</v>
      </c>
      <c r="O19" s="686">
        <f>transport!N54</f>
        <v>0</v>
      </c>
      <c r="P19" s="686">
        <f>transport!O54</f>
        <v>0</v>
      </c>
      <c r="Q19" s="687">
        <f>transport!P54</f>
        <v>0</v>
      </c>
      <c r="R19" s="689">
        <f>SUM(C19:Q19)</f>
        <v>1766.5640939813215</v>
      </c>
      <c r="S19" s="67"/>
    </row>
    <row r="20" spans="1:19" s="448" customFormat="1">
      <c r="A20" s="808" t="s">
        <v>306</v>
      </c>
      <c r="B20" s="813"/>
      <c r="C20" s="686">
        <f>transport!B14</f>
        <v>50.669817094904168</v>
      </c>
      <c r="D20" s="686">
        <f>transport!C14</f>
        <v>0</v>
      </c>
      <c r="E20" s="686">
        <f>transport!D14</f>
        <v>230.57596204735282</v>
      </c>
      <c r="F20" s="686">
        <f>transport!E14</f>
        <v>190.17886117286645</v>
      </c>
      <c r="G20" s="686">
        <f>transport!F14</f>
        <v>0</v>
      </c>
      <c r="H20" s="686">
        <f>transport!G14</f>
        <v>63145.179609575265</v>
      </c>
      <c r="I20" s="686">
        <f>transport!H14</f>
        <v>21343.003557485961</v>
      </c>
      <c r="J20" s="686">
        <f>transport!I14</f>
        <v>0</v>
      </c>
      <c r="K20" s="686">
        <f>transport!J14</f>
        <v>0</v>
      </c>
      <c r="L20" s="686">
        <f>transport!K14</f>
        <v>0</v>
      </c>
      <c r="M20" s="686">
        <f>transport!L14</f>
        <v>0</v>
      </c>
      <c r="N20" s="686">
        <f>transport!M14</f>
        <v>5052.9379243422327</v>
      </c>
      <c r="O20" s="686">
        <f>transport!N14</f>
        <v>0</v>
      </c>
      <c r="P20" s="686">
        <f>transport!O14</f>
        <v>0</v>
      </c>
      <c r="Q20" s="687">
        <f>transport!P14</f>
        <v>0</v>
      </c>
      <c r="R20" s="689">
        <f>SUM(C20:Q20)</f>
        <v>90012.545731718579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50.669817094904168</v>
      </c>
      <c r="D22" s="811">
        <f t="shared" ref="D22:R22" si="1">SUM(D18:D21)</f>
        <v>0</v>
      </c>
      <c r="E22" s="811">
        <f t="shared" si="1"/>
        <v>230.57596204735282</v>
      </c>
      <c r="F22" s="811">
        <f t="shared" si="1"/>
        <v>190.17886117286645</v>
      </c>
      <c r="G22" s="811">
        <f t="shared" si="1"/>
        <v>0</v>
      </c>
      <c r="H22" s="811">
        <f t="shared" si="1"/>
        <v>64818.741578449968</v>
      </c>
      <c r="I22" s="811">
        <f t="shared" si="1"/>
        <v>21343.003557485961</v>
      </c>
      <c r="J22" s="811">
        <f t="shared" si="1"/>
        <v>0</v>
      </c>
      <c r="K22" s="811">
        <f t="shared" si="1"/>
        <v>0</v>
      </c>
      <c r="L22" s="811">
        <f t="shared" si="1"/>
        <v>0</v>
      </c>
      <c r="M22" s="811">
        <f t="shared" si="1"/>
        <v>0</v>
      </c>
      <c r="N22" s="811">
        <f t="shared" si="1"/>
        <v>5145.9400494488536</v>
      </c>
      <c r="O22" s="811">
        <f t="shared" si="1"/>
        <v>0</v>
      </c>
      <c r="P22" s="811">
        <f t="shared" si="1"/>
        <v>0</v>
      </c>
      <c r="Q22" s="811">
        <f t="shared" si="1"/>
        <v>0</v>
      </c>
      <c r="R22" s="811">
        <f t="shared" si="1"/>
        <v>91779.109825699896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95.881236000000001</v>
      </c>
      <c r="D24" s="686">
        <f>+landbouw!C8</f>
        <v>0</v>
      </c>
      <c r="E24" s="686">
        <f>+landbouw!D8</f>
        <v>48.017815757999998</v>
      </c>
      <c r="F24" s="686">
        <f>+landbouw!E8</f>
        <v>2.9924217578289807</v>
      </c>
      <c r="G24" s="686">
        <f>+landbouw!F8</f>
        <v>338.85490946080029</v>
      </c>
      <c r="H24" s="686">
        <f>+landbouw!G8</f>
        <v>0</v>
      </c>
      <c r="I24" s="686">
        <f>+landbouw!H8</f>
        <v>0</v>
      </c>
      <c r="J24" s="686">
        <f>+landbouw!I8</f>
        <v>0</v>
      </c>
      <c r="K24" s="686">
        <f>+landbouw!J8</f>
        <v>26.415945448544257</v>
      </c>
      <c r="L24" s="686">
        <f>+landbouw!K8</f>
        <v>0</v>
      </c>
      <c r="M24" s="686">
        <f>+landbouw!L8</f>
        <v>0</v>
      </c>
      <c r="N24" s="686">
        <f>+landbouw!M8</f>
        <v>0</v>
      </c>
      <c r="O24" s="686">
        <f>+landbouw!N8</f>
        <v>0</v>
      </c>
      <c r="P24" s="686">
        <f>+landbouw!O8</f>
        <v>0</v>
      </c>
      <c r="Q24" s="687">
        <f>+landbouw!P8</f>
        <v>0</v>
      </c>
      <c r="R24" s="689">
        <f>SUM(C24:Q24)</f>
        <v>512.16232842517354</v>
      </c>
      <c r="S24" s="67"/>
    </row>
    <row r="25" spans="1:19" s="448" customFormat="1" ht="15" thickBot="1">
      <c r="A25" s="830" t="s">
        <v>724</v>
      </c>
      <c r="B25" s="949"/>
      <c r="C25" s="950">
        <f>IF(Onbekend_ele_kWh="---",0,Onbekend_ele_kWh)/1000+IF(REST_rest_ele_kWh="---",0,REST_rest_ele_kWh)/1000</f>
        <v>1890.0073810000001</v>
      </c>
      <c r="D25" s="950"/>
      <c r="E25" s="950">
        <f>IF(onbekend_gas_kWh="---",0,onbekend_gas_kWh)/1000+IF(REST_rest_gas_kWh="---",0,REST_rest_gas_kWh)/1000</f>
        <v>8191.1013760000005</v>
      </c>
      <c r="F25" s="950"/>
      <c r="G25" s="950"/>
      <c r="H25" s="950"/>
      <c r="I25" s="950"/>
      <c r="J25" s="950"/>
      <c r="K25" s="950"/>
      <c r="L25" s="950"/>
      <c r="M25" s="950"/>
      <c r="N25" s="950"/>
      <c r="O25" s="950"/>
      <c r="P25" s="950"/>
      <c r="Q25" s="951"/>
      <c r="R25" s="689">
        <f>SUM(C25:Q25)</f>
        <v>10081.108757</v>
      </c>
      <c r="S25" s="67"/>
    </row>
    <row r="26" spans="1:19" s="448" customFormat="1" ht="15.75" thickBot="1">
      <c r="A26" s="694" t="s">
        <v>725</v>
      </c>
      <c r="B26" s="816"/>
      <c r="C26" s="811">
        <f>SUM(C24:C25)</f>
        <v>1985.8886170000001</v>
      </c>
      <c r="D26" s="811">
        <f t="shared" ref="D26:R26" si="2">SUM(D24:D25)</f>
        <v>0</v>
      </c>
      <c r="E26" s="811">
        <f t="shared" si="2"/>
        <v>8239.1191917579999</v>
      </c>
      <c r="F26" s="811">
        <f t="shared" si="2"/>
        <v>2.9924217578289807</v>
      </c>
      <c r="G26" s="811">
        <f t="shared" si="2"/>
        <v>338.85490946080029</v>
      </c>
      <c r="H26" s="811">
        <f t="shared" si="2"/>
        <v>0</v>
      </c>
      <c r="I26" s="811">
        <f t="shared" si="2"/>
        <v>0</v>
      </c>
      <c r="J26" s="811">
        <f t="shared" si="2"/>
        <v>0</v>
      </c>
      <c r="K26" s="811">
        <f t="shared" si="2"/>
        <v>26.415945448544257</v>
      </c>
      <c r="L26" s="811">
        <f t="shared" si="2"/>
        <v>0</v>
      </c>
      <c r="M26" s="811">
        <f t="shared" si="2"/>
        <v>0</v>
      </c>
      <c r="N26" s="811">
        <f t="shared" si="2"/>
        <v>0</v>
      </c>
      <c r="O26" s="811">
        <f t="shared" si="2"/>
        <v>0</v>
      </c>
      <c r="P26" s="811">
        <f t="shared" si="2"/>
        <v>0</v>
      </c>
      <c r="Q26" s="811">
        <f t="shared" si="2"/>
        <v>0</v>
      </c>
      <c r="R26" s="811">
        <f t="shared" si="2"/>
        <v>10593.271085425173</v>
      </c>
      <c r="S26" s="67"/>
    </row>
    <row r="27" spans="1:19" s="448" customFormat="1" ht="17.25" thickTop="1" thickBot="1">
      <c r="A27" s="695" t="s">
        <v>115</v>
      </c>
      <c r="B27" s="803"/>
      <c r="C27" s="696">
        <f ca="1">C22+C16+C26</f>
        <v>54492.081283448184</v>
      </c>
      <c r="D27" s="696">
        <f t="shared" ref="D27:R27" ca="1" si="3">D22+D16+D26</f>
        <v>0</v>
      </c>
      <c r="E27" s="696">
        <f t="shared" ca="1" si="3"/>
        <v>170809.2193046094</v>
      </c>
      <c r="F27" s="696">
        <f t="shared" si="3"/>
        <v>3028.3919463646503</v>
      </c>
      <c r="G27" s="696">
        <f t="shared" ca="1" si="3"/>
        <v>10163.220530482091</v>
      </c>
      <c r="H27" s="696">
        <f t="shared" si="3"/>
        <v>64818.741578449968</v>
      </c>
      <c r="I27" s="696">
        <f t="shared" si="3"/>
        <v>21343.003557485961</v>
      </c>
      <c r="J27" s="696">
        <f t="shared" si="3"/>
        <v>0</v>
      </c>
      <c r="K27" s="696">
        <f t="shared" si="3"/>
        <v>37.661341451078307</v>
      </c>
      <c r="L27" s="696">
        <f t="shared" si="3"/>
        <v>0</v>
      </c>
      <c r="M27" s="696">
        <f t="shared" ca="1" si="3"/>
        <v>0</v>
      </c>
      <c r="N27" s="696">
        <f t="shared" si="3"/>
        <v>5145.9400494488536</v>
      </c>
      <c r="O27" s="696">
        <f t="shared" ca="1" si="3"/>
        <v>9033.5686661389263</v>
      </c>
      <c r="P27" s="696">
        <f t="shared" si="3"/>
        <v>133.85454502599822</v>
      </c>
      <c r="Q27" s="696">
        <f t="shared" si="3"/>
        <v>147.47543030759033</v>
      </c>
      <c r="R27" s="696">
        <f t="shared" ca="1" si="3"/>
        <v>339153.15823321266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3810.8859770413683</v>
      </c>
      <c r="D40" s="686">
        <f ca="1">tertiair!C20</f>
        <v>0</v>
      </c>
      <c r="E40" s="686">
        <f ca="1">tertiair!D20</f>
        <v>6801.0521068875441</v>
      </c>
      <c r="F40" s="686">
        <f>tertiair!E20</f>
        <v>50.051161548084323</v>
      </c>
      <c r="G40" s="686">
        <f ca="1">tertiair!F20</f>
        <v>529.65853116540166</v>
      </c>
      <c r="H40" s="686">
        <f>tertiair!G20</f>
        <v>0</v>
      </c>
      <c r="I40" s="686">
        <f>tertiair!H20</f>
        <v>0</v>
      </c>
      <c r="J40" s="686">
        <f>tertiair!I20</f>
        <v>0</v>
      </c>
      <c r="K40" s="686">
        <f>tertiair!J20</f>
        <v>1.8202996694443706E-2</v>
      </c>
      <c r="L40" s="686">
        <f>tertiair!K20</f>
        <v>0</v>
      </c>
      <c r="M40" s="686">
        <f ca="1">tertiair!L20</f>
        <v>0</v>
      </c>
      <c r="N40" s="686">
        <f>tertiair!M20</f>
        <v>0</v>
      </c>
      <c r="O40" s="686">
        <f ca="1">tertiair!N20</f>
        <v>0</v>
      </c>
      <c r="P40" s="686">
        <f>tertiair!O20</f>
        <v>0</v>
      </c>
      <c r="Q40" s="769">
        <f>tertiair!P20</f>
        <v>0</v>
      </c>
      <c r="R40" s="849">
        <f t="shared" ca="1" si="4"/>
        <v>11191.665979639092</v>
      </c>
    </row>
    <row r="41" spans="1:18">
      <c r="A41" s="821" t="s">
        <v>224</v>
      </c>
      <c r="B41" s="828"/>
      <c r="C41" s="686">
        <f ca="1">huishoudens!B12</f>
        <v>7132.4591852739632</v>
      </c>
      <c r="D41" s="686">
        <f ca="1">huishoudens!C12</f>
        <v>0</v>
      </c>
      <c r="E41" s="686">
        <f>huishoudens!D12</f>
        <v>25558.321694719532</v>
      </c>
      <c r="F41" s="686">
        <f>huishoudens!E12</f>
        <v>540.71683385599488</v>
      </c>
      <c r="G41" s="686">
        <f>huishoudens!F12</f>
        <v>1898.4443756226156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35129.942089472104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345.46058567075403</v>
      </c>
      <c r="D43" s="686">
        <f ca="1">industrie!C22</f>
        <v>0</v>
      </c>
      <c r="E43" s="686">
        <f>industrie!D22</f>
        <v>433.21007685533607</v>
      </c>
      <c r="F43" s="686">
        <f>industrie!E22</f>
        <v>52.827095195428484</v>
      </c>
      <c r="G43" s="686">
        <f>industrie!F22</f>
        <v>195.00271402466728</v>
      </c>
      <c r="H43" s="686">
        <f>industrie!G22</f>
        <v>0</v>
      </c>
      <c r="I43" s="686">
        <f>industrie!H22</f>
        <v>0</v>
      </c>
      <c r="J43" s="686">
        <f>industrie!I22</f>
        <v>0</v>
      </c>
      <c r="K43" s="686">
        <f>industrie!J22</f>
        <v>3.9626671882026097</v>
      </c>
      <c r="L43" s="686">
        <f>industrie!K22</f>
        <v>0</v>
      </c>
      <c r="M43" s="686">
        <f>industrie!L22</f>
        <v>0</v>
      </c>
      <c r="N43" s="686">
        <f>industrie!M22</f>
        <v>0</v>
      </c>
      <c r="O43" s="686">
        <f>industrie!N22</f>
        <v>0</v>
      </c>
      <c r="P43" s="686">
        <f>industrie!O22</f>
        <v>0</v>
      </c>
      <c r="Q43" s="769">
        <f>industrie!P22</f>
        <v>0</v>
      </c>
      <c r="R43" s="848">
        <f t="shared" ca="1" si="4"/>
        <v>1030.4631389343886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11288.805747986085</v>
      </c>
      <c r="D46" s="722">
        <f t="shared" ref="D46:Q46" ca="1" si="5">SUM(D39:D45)</f>
        <v>0</v>
      </c>
      <c r="E46" s="722">
        <f t="shared" ca="1" si="5"/>
        <v>32792.583878462414</v>
      </c>
      <c r="F46" s="722">
        <f t="shared" si="5"/>
        <v>643.59509059950767</v>
      </c>
      <c r="G46" s="722">
        <f t="shared" ca="1" si="5"/>
        <v>2623.1056208126847</v>
      </c>
      <c r="H46" s="722">
        <f t="shared" si="5"/>
        <v>0</v>
      </c>
      <c r="I46" s="722">
        <f t="shared" si="5"/>
        <v>0</v>
      </c>
      <c r="J46" s="722">
        <f t="shared" si="5"/>
        <v>0</v>
      </c>
      <c r="K46" s="722">
        <f t="shared" si="5"/>
        <v>3.9808701848970536</v>
      </c>
      <c r="L46" s="722">
        <f t="shared" si="5"/>
        <v>0</v>
      </c>
      <c r="M46" s="722">
        <f t="shared" ca="1" si="5"/>
        <v>0</v>
      </c>
      <c r="N46" s="722">
        <f t="shared" si="5"/>
        <v>0</v>
      </c>
      <c r="O46" s="722">
        <f t="shared" ca="1" si="5"/>
        <v>0</v>
      </c>
      <c r="P46" s="722">
        <f t="shared" si="5"/>
        <v>0</v>
      </c>
      <c r="Q46" s="722">
        <f t="shared" si="5"/>
        <v>0</v>
      </c>
      <c r="R46" s="722">
        <f ca="1">SUM(R39:R45)</f>
        <v>47352.071208045585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446.84104568954496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446.84104568954496</v>
      </c>
    </row>
    <row r="50" spans="1:18">
      <c r="A50" s="824" t="s">
        <v>306</v>
      </c>
      <c r="B50" s="834"/>
      <c r="C50" s="692">
        <f ca="1">transport!B18</f>
        <v>10.904509027830802</v>
      </c>
      <c r="D50" s="692">
        <f>transport!C18</f>
        <v>0</v>
      </c>
      <c r="E50" s="692">
        <f>transport!D18</f>
        <v>46.576344333565274</v>
      </c>
      <c r="F50" s="692">
        <f>transport!E18</f>
        <v>43.170601486240685</v>
      </c>
      <c r="G50" s="692">
        <f>transport!F18</f>
        <v>0</v>
      </c>
      <c r="H50" s="692">
        <f>transport!G18</f>
        <v>16859.762955756596</v>
      </c>
      <c r="I50" s="692">
        <f>transport!H18</f>
        <v>5314.4078858140047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22274.822296418239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10.904509027830802</v>
      </c>
      <c r="D52" s="722">
        <f t="shared" ref="D52:Q52" ca="1" si="6">SUM(D48:D51)</f>
        <v>0</v>
      </c>
      <c r="E52" s="722">
        <f t="shared" si="6"/>
        <v>46.576344333565274</v>
      </c>
      <c r="F52" s="722">
        <f t="shared" si="6"/>
        <v>43.170601486240685</v>
      </c>
      <c r="G52" s="722">
        <f t="shared" si="6"/>
        <v>0</v>
      </c>
      <c r="H52" s="722">
        <f t="shared" si="6"/>
        <v>17306.60400144614</v>
      </c>
      <c r="I52" s="722">
        <f t="shared" si="6"/>
        <v>5314.4078858140047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22721.663342107782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20.634331511465525</v>
      </c>
      <c r="D54" s="692">
        <f ca="1">+landbouw!C12</f>
        <v>0</v>
      </c>
      <c r="E54" s="692">
        <f>+landbouw!D12</f>
        <v>9.6995987831160004</v>
      </c>
      <c r="F54" s="692">
        <f>+landbouw!E12</f>
        <v>0.67927973902717864</v>
      </c>
      <c r="G54" s="692">
        <f>+landbouw!F12</f>
        <v>90.474260826033685</v>
      </c>
      <c r="H54" s="692">
        <f>+landbouw!G12</f>
        <v>0</v>
      </c>
      <c r="I54" s="692">
        <f>+landbouw!H12</f>
        <v>0</v>
      </c>
      <c r="J54" s="692">
        <f>+landbouw!I12</f>
        <v>0</v>
      </c>
      <c r="K54" s="692">
        <f>+landbouw!J12</f>
        <v>9.3512446887846661</v>
      </c>
      <c r="L54" s="692">
        <f>+landbouw!K12</f>
        <v>0</v>
      </c>
      <c r="M54" s="692">
        <f>+landbouw!L12</f>
        <v>0</v>
      </c>
      <c r="N54" s="692">
        <f>+landbouw!M12</f>
        <v>0</v>
      </c>
      <c r="O54" s="692">
        <f>+landbouw!N12</f>
        <v>0</v>
      </c>
      <c r="P54" s="692">
        <f>+landbouw!O12</f>
        <v>0</v>
      </c>
      <c r="Q54" s="693">
        <f>+landbouw!P12</f>
        <v>0</v>
      </c>
      <c r="R54" s="721">
        <f ca="1">SUM(C54:Q54)</f>
        <v>130.83871554842707</v>
      </c>
    </row>
    <row r="55" spans="1:18" ht="15" thickBot="1">
      <c r="A55" s="824" t="s">
        <v>724</v>
      </c>
      <c r="B55" s="834"/>
      <c r="C55" s="692">
        <f ca="1">C25*'EF ele_warmte'!B12</f>
        <v>406.74318026804258</v>
      </c>
      <c r="D55" s="692"/>
      <c r="E55" s="692">
        <f>E25*EF_CO2_aardgas</f>
        <v>1654.6024779520003</v>
      </c>
      <c r="F55" s="692"/>
      <c r="G55" s="692"/>
      <c r="H55" s="692"/>
      <c r="I55" s="692"/>
      <c r="J55" s="692"/>
      <c r="K55" s="692"/>
      <c r="L55" s="692"/>
      <c r="M55" s="692"/>
      <c r="N55" s="692"/>
      <c r="O55" s="692"/>
      <c r="P55" s="692"/>
      <c r="Q55" s="693"/>
      <c r="R55" s="721">
        <f ca="1">SUM(C55:Q55)</f>
        <v>2061.3456582200429</v>
      </c>
    </row>
    <row r="56" spans="1:18" ht="15.75" thickBot="1">
      <c r="A56" s="822" t="s">
        <v>725</v>
      </c>
      <c r="B56" s="835"/>
      <c r="C56" s="722">
        <f ca="1">SUM(C54:C55)</f>
        <v>427.3775117795081</v>
      </c>
      <c r="D56" s="722">
        <f t="shared" ref="D56:Q56" ca="1" si="7">SUM(D54:D55)</f>
        <v>0</v>
      </c>
      <c r="E56" s="722">
        <f t="shared" si="7"/>
        <v>1664.3020767351163</v>
      </c>
      <c r="F56" s="722">
        <f t="shared" si="7"/>
        <v>0.67927973902717864</v>
      </c>
      <c r="G56" s="722">
        <f t="shared" si="7"/>
        <v>90.474260826033685</v>
      </c>
      <c r="H56" s="722">
        <f t="shared" si="7"/>
        <v>0</v>
      </c>
      <c r="I56" s="722">
        <f t="shared" si="7"/>
        <v>0</v>
      </c>
      <c r="J56" s="722">
        <f t="shared" si="7"/>
        <v>0</v>
      </c>
      <c r="K56" s="722">
        <f t="shared" si="7"/>
        <v>9.3512446887846661</v>
      </c>
      <c r="L56" s="722">
        <f t="shared" si="7"/>
        <v>0</v>
      </c>
      <c r="M56" s="722">
        <f t="shared" si="7"/>
        <v>0</v>
      </c>
      <c r="N56" s="722">
        <f t="shared" si="7"/>
        <v>0</v>
      </c>
      <c r="O56" s="722">
        <f t="shared" si="7"/>
        <v>0</v>
      </c>
      <c r="P56" s="722">
        <f t="shared" si="7"/>
        <v>0</v>
      </c>
      <c r="Q56" s="723">
        <f t="shared" si="7"/>
        <v>0</v>
      </c>
      <c r="R56" s="724">
        <f ca="1">SUM(R54:R55)</f>
        <v>2192.1843737684699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11727.087768793424</v>
      </c>
      <c r="D61" s="730">
        <f t="shared" ref="D61:Q61" ca="1" si="8">D46+D52+D56</f>
        <v>0</v>
      </c>
      <c r="E61" s="730">
        <f t="shared" ca="1" si="8"/>
        <v>34503.4622995311</v>
      </c>
      <c r="F61" s="730">
        <f t="shared" si="8"/>
        <v>687.44497182477551</v>
      </c>
      <c r="G61" s="730">
        <f t="shared" ca="1" si="8"/>
        <v>2713.5798816387182</v>
      </c>
      <c r="H61" s="730">
        <f t="shared" si="8"/>
        <v>17306.60400144614</v>
      </c>
      <c r="I61" s="730">
        <f t="shared" si="8"/>
        <v>5314.4078858140047</v>
      </c>
      <c r="J61" s="730">
        <f t="shared" si="8"/>
        <v>0</v>
      </c>
      <c r="K61" s="730">
        <f t="shared" si="8"/>
        <v>13.33211487368172</v>
      </c>
      <c r="L61" s="730">
        <f t="shared" si="8"/>
        <v>0</v>
      </c>
      <c r="M61" s="730">
        <f t="shared" ca="1" si="8"/>
        <v>0</v>
      </c>
      <c r="N61" s="730">
        <f t="shared" si="8"/>
        <v>0</v>
      </c>
      <c r="O61" s="730">
        <f t="shared" ca="1" si="8"/>
        <v>0</v>
      </c>
      <c r="P61" s="730">
        <f t="shared" si="8"/>
        <v>0</v>
      </c>
      <c r="Q61" s="730">
        <f t="shared" si="8"/>
        <v>0</v>
      </c>
      <c r="R61" s="730">
        <f ca="1">R46+R52+R56</f>
        <v>72265.918923921839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0.2152071914411442</v>
      </c>
      <c r="D63" s="776">
        <f t="shared" ca="1" si="9"/>
        <v>0</v>
      </c>
      <c r="E63" s="975">
        <f t="shared" ca="1" si="9"/>
        <v>0.20200000000000001</v>
      </c>
      <c r="F63" s="776">
        <f t="shared" si="9"/>
        <v>0.22699999999999998</v>
      </c>
      <c r="G63" s="776">
        <f t="shared" ca="1" si="9"/>
        <v>0.26700000000000002</v>
      </c>
      <c r="H63" s="776">
        <f t="shared" si="9"/>
        <v>0.26699999999999996</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1428.3357232969461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1428.3357232969461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33142.290169353284</v>
      </c>
      <c r="C4" s="452">
        <f>huishoudens!C8</f>
        <v>0</v>
      </c>
      <c r="D4" s="452">
        <f>huishoudens!D8</f>
        <v>126526.34502336402</v>
      </c>
      <c r="E4" s="452">
        <f>huishoudens!E8</f>
        <v>2382.0124839471141</v>
      </c>
      <c r="F4" s="452">
        <f>huishoudens!F8</f>
        <v>7110.2785603843276</v>
      </c>
      <c r="G4" s="452">
        <f>huishoudens!G8</f>
        <v>0</v>
      </c>
      <c r="H4" s="452">
        <f>huishoudens!H8</f>
        <v>0</v>
      </c>
      <c r="I4" s="452">
        <f>huishoudens!I8</f>
        <v>0</v>
      </c>
      <c r="J4" s="452">
        <f>huishoudens!J8</f>
        <v>0</v>
      </c>
      <c r="K4" s="452">
        <f>huishoudens!K8</f>
        <v>0</v>
      </c>
      <c r="L4" s="452">
        <f>huishoudens!L8</f>
        <v>0</v>
      </c>
      <c r="M4" s="452">
        <f>huishoudens!M8</f>
        <v>0</v>
      </c>
      <c r="N4" s="452">
        <f>huishoudens!N8</f>
        <v>6934.7931597541274</v>
      </c>
      <c r="O4" s="452">
        <f>huishoudens!O8</f>
        <v>128.95728426015705</v>
      </c>
      <c r="P4" s="453">
        <f>huishoudens!P8</f>
        <v>147.47543030759033</v>
      </c>
      <c r="Q4" s="454">
        <f>SUM(B4:P4)</f>
        <v>176372.15211137064</v>
      </c>
    </row>
    <row r="5" spans="1:17">
      <c r="A5" s="451" t="s">
        <v>155</v>
      </c>
      <c r="B5" s="452">
        <f ca="1">tertiair!B16</f>
        <v>16558.329204000001</v>
      </c>
      <c r="C5" s="452">
        <f ca="1">tertiair!C16</f>
        <v>0</v>
      </c>
      <c r="D5" s="452">
        <f ca="1">tertiair!D16</f>
        <v>33668.574786571997</v>
      </c>
      <c r="E5" s="452">
        <f>tertiair!E16</f>
        <v>220.48969844971066</v>
      </c>
      <c r="F5" s="452">
        <f ca="1">tertiair!F16</f>
        <v>1983.7398170988827</v>
      </c>
      <c r="G5" s="452">
        <f>tertiair!G16</f>
        <v>0</v>
      </c>
      <c r="H5" s="452">
        <f>tertiair!H16</f>
        <v>0</v>
      </c>
      <c r="I5" s="452">
        <f>tertiair!I16</f>
        <v>0</v>
      </c>
      <c r="J5" s="452">
        <f>tertiair!J16</f>
        <v>5.1420894617072624E-2</v>
      </c>
      <c r="K5" s="452">
        <f>tertiair!K16</f>
        <v>0</v>
      </c>
      <c r="L5" s="452">
        <f ca="1">tertiair!L16</f>
        <v>0</v>
      </c>
      <c r="M5" s="452">
        <f>tertiair!M16</f>
        <v>0</v>
      </c>
      <c r="N5" s="452">
        <f ca="1">tertiair!N16</f>
        <v>2015.9391135287442</v>
      </c>
      <c r="O5" s="452">
        <f>tertiair!O16</f>
        <v>4.8972607658411542</v>
      </c>
      <c r="P5" s="453">
        <f>tertiair!P16</f>
        <v>0</v>
      </c>
      <c r="Q5" s="451">
        <f t="shared" ref="Q5:Q14" ca="1" si="0">SUM(B5:P5)</f>
        <v>54452.021301309796</v>
      </c>
    </row>
    <row r="6" spans="1:17">
      <c r="A6" s="451" t="s">
        <v>193</v>
      </c>
      <c r="B6" s="452">
        <f>'openbare verlichting'!B8</f>
        <v>1149.6569999999999</v>
      </c>
      <c r="C6" s="452"/>
      <c r="D6" s="452"/>
      <c r="E6" s="452"/>
      <c r="F6" s="452"/>
      <c r="G6" s="452"/>
      <c r="H6" s="452"/>
      <c r="I6" s="452"/>
      <c r="J6" s="452"/>
      <c r="K6" s="452"/>
      <c r="L6" s="452"/>
      <c r="M6" s="452"/>
      <c r="N6" s="452"/>
      <c r="O6" s="452"/>
      <c r="P6" s="453"/>
      <c r="Q6" s="451">
        <f t="shared" si="0"/>
        <v>1149.6569999999999</v>
      </c>
    </row>
    <row r="7" spans="1:17">
      <c r="A7" s="451" t="s">
        <v>111</v>
      </c>
      <c r="B7" s="452">
        <f>landbouw!B8</f>
        <v>95.881236000000001</v>
      </c>
      <c r="C7" s="452">
        <f>landbouw!C8</f>
        <v>0</v>
      </c>
      <c r="D7" s="452">
        <f>landbouw!D8</f>
        <v>48.017815757999998</v>
      </c>
      <c r="E7" s="452">
        <f>landbouw!E8</f>
        <v>2.9924217578289807</v>
      </c>
      <c r="F7" s="452">
        <f>landbouw!F8</f>
        <v>338.85490946080029</v>
      </c>
      <c r="G7" s="452">
        <f>landbouw!G8</f>
        <v>0</v>
      </c>
      <c r="H7" s="452">
        <f>landbouw!H8</f>
        <v>0</v>
      </c>
      <c r="I7" s="452">
        <f>landbouw!I8</f>
        <v>0</v>
      </c>
      <c r="J7" s="452">
        <f>landbouw!J8</f>
        <v>26.415945448544257</v>
      </c>
      <c r="K7" s="452">
        <f>landbouw!K8</f>
        <v>0</v>
      </c>
      <c r="L7" s="452">
        <f>landbouw!L8</f>
        <v>0</v>
      </c>
      <c r="M7" s="452">
        <f>landbouw!M8</f>
        <v>0</v>
      </c>
      <c r="N7" s="452">
        <f>landbouw!N8</f>
        <v>0</v>
      </c>
      <c r="O7" s="452">
        <f>landbouw!O8</f>
        <v>0</v>
      </c>
      <c r="P7" s="453">
        <f>landbouw!P8</f>
        <v>0</v>
      </c>
      <c r="Q7" s="451">
        <f t="shared" si="0"/>
        <v>512.16232842517354</v>
      </c>
    </row>
    <row r="8" spans="1:17">
      <c r="A8" s="451" t="s">
        <v>625</v>
      </c>
      <c r="B8" s="452">
        <f>industrie!B18</f>
        <v>1605.2464759999998</v>
      </c>
      <c r="C8" s="452">
        <f>industrie!C18</f>
        <v>0</v>
      </c>
      <c r="D8" s="452">
        <f>industrie!D18</f>
        <v>2144.6043408680002</v>
      </c>
      <c r="E8" s="452">
        <f>industrie!E18</f>
        <v>232.71848103712989</v>
      </c>
      <c r="F8" s="452">
        <f>industrie!F18</f>
        <v>730.34724353807962</v>
      </c>
      <c r="G8" s="452">
        <f>industrie!G18</f>
        <v>0</v>
      </c>
      <c r="H8" s="452">
        <f>industrie!H18</f>
        <v>0</v>
      </c>
      <c r="I8" s="452">
        <f>industrie!I18</f>
        <v>0</v>
      </c>
      <c r="J8" s="452">
        <f>industrie!J18</f>
        <v>11.193975107916977</v>
      </c>
      <c r="K8" s="452">
        <f>industrie!K18</f>
        <v>0</v>
      </c>
      <c r="L8" s="452">
        <f>industrie!L18</f>
        <v>0</v>
      </c>
      <c r="M8" s="452">
        <f>industrie!M18</f>
        <v>0</v>
      </c>
      <c r="N8" s="452">
        <f>industrie!N18</f>
        <v>82.836392856053266</v>
      </c>
      <c r="O8" s="452">
        <f>industrie!O18</f>
        <v>0</v>
      </c>
      <c r="P8" s="453">
        <f>industrie!P18</f>
        <v>0</v>
      </c>
      <c r="Q8" s="451">
        <f t="shared" si="0"/>
        <v>4806.9469094071801</v>
      </c>
    </row>
    <row r="9" spans="1:17" s="457" customFormat="1">
      <c r="A9" s="455" t="s">
        <v>551</v>
      </c>
      <c r="B9" s="456">
        <f>transport!B14</f>
        <v>50.669817094904168</v>
      </c>
      <c r="C9" s="456">
        <f>transport!C14</f>
        <v>0</v>
      </c>
      <c r="D9" s="456">
        <f>transport!D14</f>
        <v>230.57596204735282</v>
      </c>
      <c r="E9" s="456">
        <f>transport!E14</f>
        <v>190.17886117286645</v>
      </c>
      <c r="F9" s="456">
        <f>transport!F14</f>
        <v>0</v>
      </c>
      <c r="G9" s="456">
        <f>transport!G14</f>
        <v>63145.179609575265</v>
      </c>
      <c r="H9" s="456">
        <f>transport!H14</f>
        <v>21343.003557485961</v>
      </c>
      <c r="I9" s="456">
        <f>transport!I14</f>
        <v>0</v>
      </c>
      <c r="J9" s="456">
        <f>transport!J14</f>
        <v>0</v>
      </c>
      <c r="K9" s="456">
        <f>transport!K14</f>
        <v>0</v>
      </c>
      <c r="L9" s="456">
        <f>transport!L14</f>
        <v>0</v>
      </c>
      <c r="M9" s="456">
        <f>transport!M14</f>
        <v>5052.9379243422327</v>
      </c>
      <c r="N9" s="456">
        <f>transport!N14</f>
        <v>0</v>
      </c>
      <c r="O9" s="456">
        <f>transport!O14</f>
        <v>0</v>
      </c>
      <c r="P9" s="456">
        <f>transport!P14</f>
        <v>0</v>
      </c>
      <c r="Q9" s="455">
        <f>SUM(B9:P9)</f>
        <v>90012.545731718579</v>
      </c>
    </row>
    <row r="10" spans="1:17">
      <c r="A10" s="451" t="s">
        <v>541</v>
      </c>
      <c r="B10" s="452">
        <f>transport!B54</f>
        <v>0</v>
      </c>
      <c r="C10" s="452">
        <f>transport!C54</f>
        <v>0</v>
      </c>
      <c r="D10" s="452">
        <f>transport!D54</f>
        <v>0</v>
      </c>
      <c r="E10" s="452">
        <f>transport!E54</f>
        <v>0</v>
      </c>
      <c r="F10" s="452">
        <f>transport!F54</f>
        <v>0</v>
      </c>
      <c r="G10" s="452">
        <f>transport!G54</f>
        <v>1673.5619688747001</v>
      </c>
      <c r="H10" s="452">
        <f>transport!H54</f>
        <v>0</v>
      </c>
      <c r="I10" s="452">
        <f>transport!I54</f>
        <v>0</v>
      </c>
      <c r="J10" s="452">
        <f>transport!J54</f>
        <v>0</v>
      </c>
      <c r="K10" s="452">
        <f>transport!K54</f>
        <v>0</v>
      </c>
      <c r="L10" s="452">
        <f>transport!L54</f>
        <v>0</v>
      </c>
      <c r="M10" s="452">
        <f>transport!M54</f>
        <v>93.002125106621335</v>
      </c>
      <c r="N10" s="452">
        <f>transport!N54</f>
        <v>0</v>
      </c>
      <c r="O10" s="452">
        <f>transport!O54</f>
        <v>0</v>
      </c>
      <c r="P10" s="453">
        <f>transport!P54</f>
        <v>0</v>
      </c>
      <c r="Q10" s="451">
        <f t="shared" si="0"/>
        <v>1766.5640939813215</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1890.0073810000001</v>
      </c>
      <c r="C14" s="459"/>
      <c r="D14" s="459">
        <f>'SEAP template'!E25</f>
        <v>8191.1013760000005</v>
      </c>
      <c r="E14" s="459"/>
      <c r="F14" s="459"/>
      <c r="G14" s="459"/>
      <c r="H14" s="459"/>
      <c r="I14" s="459"/>
      <c r="J14" s="459"/>
      <c r="K14" s="459"/>
      <c r="L14" s="459"/>
      <c r="M14" s="459"/>
      <c r="N14" s="459"/>
      <c r="O14" s="459"/>
      <c r="P14" s="460"/>
      <c r="Q14" s="451">
        <f t="shared" si="0"/>
        <v>10081.108757</v>
      </c>
    </row>
    <row r="15" spans="1:17" s="463" customFormat="1">
      <c r="A15" s="461" t="s">
        <v>545</v>
      </c>
      <c r="B15" s="462">
        <f ca="1">SUM(B4:B14)</f>
        <v>54492.081283448191</v>
      </c>
      <c r="C15" s="462">
        <f t="shared" ref="C15:Q15" ca="1" si="1">SUM(C4:C14)</f>
        <v>0</v>
      </c>
      <c r="D15" s="462">
        <f t="shared" ca="1" si="1"/>
        <v>170809.2193046094</v>
      </c>
      <c r="E15" s="462">
        <f t="shared" si="1"/>
        <v>3028.3919463646503</v>
      </c>
      <c r="F15" s="462">
        <f t="shared" ca="1" si="1"/>
        <v>10163.220530482091</v>
      </c>
      <c r="G15" s="462">
        <f t="shared" si="1"/>
        <v>64818.741578449968</v>
      </c>
      <c r="H15" s="462">
        <f t="shared" si="1"/>
        <v>21343.003557485961</v>
      </c>
      <c r="I15" s="462">
        <f t="shared" si="1"/>
        <v>0</v>
      </c>
      <c r="J15" s="462">
        <f t="shared" si="1"/>
        <v>37.661341451078307</v>
      </c>
      <c r="K15" s="462">
        <f t="shared" si="1"/>
        <v>0</v>
      </c>
      <c r="L15" s="462">
        <f t="shared" ca="1" si="1"/>
        <v>0</v>
      </c>
      <c r="M15" s="462">
        <f t="shared" si="1"/>
        <v>5145.9400494488536</v>
      </c>
      <c r="N15" s="462">
        <f t="shared" ca="1" si="1"/>
        <v>9033.5686661389263</v>
      </c>
      <c r="O15" s="462">
        <f t="shared" si="1"/>
        <v>133.85454502599822</v>
      </c>
      <c r="P15" s="462">
        <f t="shared" si="1"/>
        <v>147.47543030759033</v>
      </c>
      <c r="Q15" s="462">
        <f t="shared" ca="1" si="1"/>
        <v>339153.15823321277</v>
      </c>
    </row>
    <row r="17" spans="1:17">
      <c r="A17" s="464" t="s">
        <v>546</v>
      </c>
      <c r="B17" s="781">
        <f ca="1">huishoudens!B10</f>
        <v>0.2152071914411442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7132.4591852739632</v>
      </c>
      <c r="C22" s="452">
        <f t="shared" ref="C22:C32" ca="1" si="3">C4*$C$17</f>
        <v>0</v>
      </c>
      <c r="D22" s="452">
        <f t="shared" ref="D22:D32" si="4">D4*$D$17</f>
        <v>25558.321694719532</v>
      </c>
      <c r="E22" s="452">
        <f t="shared" ref="E22:E32" si="5">E4*$E$17</f>
        <v>540.71683385599488</v>
      </c>
      <c r="F22" s="452">
        <f t="shared" ref="F22:F32" si="6">F4*$F$17</f>
        <v>1898.4443756226156</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35129.942089472104</v>
      </c>
    </row>
    <row r="23" spans="1:17">
      <c r="A23" s="451" t="s">
        <v>155</v>
      </c>
      <c r="B23" s="452">
        <f t="shared" ca="1" si="2"/>
        <v>3563.4715229507169</v>
      </c>
      <c r="C23" s="452">
        <f t="shared" ca="1" si="3"/>
        <v>0</v>
      </c>
      <c r="D23" s="452">
        <f t="shared" ca="1" si="4"/>
        <v>6801.0521068875441</v>
      </c>
      <c r="E23" s="452">
        <f t="shared" si="5"/>
        <v>50.051161548084323</v>
      </c>
      <c r="F23" s="452">
        <f t="shared" ca="1" si="6"/>
        <v>529.65853116540166</v>
      </c>
      <c r="G23" s="452">
        <f t="shared" si="7"/>
        <v>0</v>
      </c>
      <c r="H23" s="452">
        <f t="shared" si="8"/>
        <v>0</v>
      </c>
      <c r="I23" s="452">
        <f t="shared" si="9"/>
        <v>0</v>
      </c>
      <c r="J23" s="452">
        <f t="shared" si="10"/>
        <v>1.8202996694443706E-2</v>
      </c>
      <c r="K23" s="452">
        <f t="shared" si="11"/>
        <v>0</v>
      </c>
      <c r="L23" s="452">
        <f t="shared" ca="1" si="12"/>
        <v>0</v>
      </c>
      <c r="M23" s="452">
        <f t="shared" si="13"/>
        <v>0</v>
      </c>
      <c r="N23" s="452">
        <f t="shared" ca="1" si="14"/>
        <v>0</v>
      </c>
      <c r="O23" s="452">
        <f t="shared" si="15"/>
        <v>0</v>
      </c>
      <c r="P23" s="453">
        <f t="shared" si="16"/>
        <v>0</v>
      </c>
      <c r="Q23" s="451">
        <f t="shared" ref="Q23:Q31" ca="1" si="17">SUM(B23:P23)</f>
        <v>10944.251525548441</v>
      </c>
    </row>
    <row r="24" spans="1:17">
      <c r="A24" s="451" t="s">
        <v>193</v>
      </c>
      <c r="B24" s="452">
        <f t="shared" ca="1" si="2"/>
        <v>247.4144540906515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247.4144540906515</v>
      </c>
    </row>
    <row r="25" spans="1:17">
      <c r="A25" s="451" t="s">
        <v>111</v>
      </c>
      <c r="B25" s="452">
        <f t="shared" ca="1" si="2"/>
        <v>20.634331511465525</v>
      </c>
      <c r="C25" s="452">
        <f t="shared" ca="1" si="3"/>
        <v>0</v>
      </c>
      <c r="D25" s="452">
        <f t="shared" si="4"/>
        <v>9.6995987831160004</v>
      </c>
      <c r="E25" s="452">
        <f t="shared" si="5"/>
        <v>0.67927973902717864</v>
      </c>
      <c r="F25" s="452">
        <f t="shared" si="6"/>
        <v>90.474260826033685</v>
      </c>
      <c r="G25" s="452">
        <f t="shared" si="7"/>
        <v>0</v>
      </c>
      <c r="H25" s="452">
        <f t="shared" si="8"/>
        <v>0</v>
      </c>
      <c r="I25" s="452">
        <f t="shared" si="9"/>
        <v>0</v>
      </c>
      <c r="J25" s="452">
        <f t="shared" si="10"/>
        <v>9.3512446887846661</v>
      </c>
      <c r="K25" s="452">
        <f t="shared" si="11"/>
        <v>0</v>
      </c>
      <c r="L25" s="452">
        <f t="shared" si="12"/>
        <v>0</v>
      </c>
      <c r="M25" s="452">
        <f t="shared" si="13"/>
        <v>0</v>
      </c>
      <c r="N25" s="452">
        <f t="shared" si="14"/>
        <v>0</v>
      </c>
      <c r="O25" s="452">
        <f t="shared" si="15"/>
        <v>0</v>
      </c>
      <c r="P25" s="453">
        <f t="shared" si="16"/>
        <v>0</v>
      </c>
      <c r="Q25" s="451">
        <f t="shared" ca="1" si="17"/>
        <v>130.83871554842707</v>
      </c>
    </row>
    <row r="26" spans="1:17">
      <c r="A26" s="451" t="s">
        <v>625</v>
      </c>
      <c r="B26" s="452">
        <f t="shared" ca="1" si="2"/>
        <v>345.46058567075403</v>
      </c>
      <c r="C26" s="452">
        <f t="shared" ca="1" si="3"/>
        <v>0</v>
      </c>
      <c r="D26" s="452">
        <f t="shared" si="4"/>
        <v>433.21007685533607</v>
      </c>
      <c r="E26" s="452">
        <f t="shared" si="5"/>
        <v>52.827095195428484</v>
      </c>
      <c r="F26" s="452">
        <f t="shared" si="6"/>
        <v>195.00271402466728</v>
      </c>
      <c r="G26" s="452">
        <f t="shared" si="7"/>
        <v>0</v>
      </c>
      <c r="H26" s="452">
        <f t="shared" si="8"/>
        <v>0</v>
      </c>
      <c r="I26" s="452">
        <f t="shared" si="9"/>
        <v>0</v>
      </c>
      <c r="J26" s="452">
        <f t="shared" si="10"/>
        <v>3.9626671882026097</v>
      </c>
      <c r="K26" s="452">
        <f t="shared" si="11"/>
        <v>0</v>
      </c>
      <c r="L26" s="452">
        <f t="shared" si="12"/>
        <v>0</v>
      </c>
      <c r="M26" s="452">
        <f t="shared" si="13"/>
        <v>0</v>
      </c>
      <c r="N26" s="452">
        <f t="shared" si="14"/>
        <v>0</v>
      </c>
      <c r="O26" s="452">
        <f t="shared" si="15"/>
        <v>0</v>
      </c>
      <c r="P26" s="453">
        <f t="shared" si="16"/>
        <v>0</v>
      </c>
      <c r="Q26" s="451">
        <f t="shared" ca="1" si="17"/>
        <v>1030.4631389343886</v>
      </c>
    </row>
    <row r="27" spans="1:17" s="457" customFormat="1">
      <c r="A27" s="455" t="s">
        <v>551</v>
      </c>
      <c r="B27" s="775">
        <f t="shared" ca="1" si="2"/>
        <v>10.904509027830802</v>
      </c>
      <c r="C27" s="456">
        <f t="shared" ca="1" si="3"/>
        <v>0</v>
      </c>
      <c r="D27" s="456">
        <f t="shared" si="4"/>
        <v>46.576344333565274</v>
      </c>
      <c r="E27" s="456">
        <f t="shared" si="5"/>
        <v>43.170601486240685</v>
      </c>
      <c r="F27" s="456">
        <f t="shared" si="6"/>
        <v>0</v>
      </c>
      <c r="G27" s="456">
        <f t="shared" si="7"/>
        <v>16859.762955756596</v>
      </c>
      <c r="H27" s="456">
        <f t="shared" si="8"/>
        <v>5314.4078858140047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22274.822296418239</v>
      </c>
    </row>
    <row r="28" spans="1:17" ht="16.5" customHeight="1">
      <c r="A28" s="451" t="s">
        <v>541</v>
      </c>
      <c r="B28" s="452">
        <f t="shared" ca="1" si="2"/>
        <v>0</v>
      </c>
      <c r="C28" s="452">
        <f t="shared" ca="1" si="3"/>
        <v>0</v>
      </c>
      <c r="D28" s="452">
        <f t="shared" si="4"/>
        <v>0</v>
      </c>
      <c r="E28" s="452">
        <f t="shared" si="5"/>
        <v>0</v>
      </c>
      <c r="F28" s="452">
        <f t="shared" si="6"/>
        <v>0</v>
      </c>
      <c r="G28" s="452">
        <f t="shared" si="7"/>
        <v>446.84104568954496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446.84104568954496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406.74318026804258</v>
      </c>
      <c r="C32" s="452">
        <f t="shared" ca="1" si="3"/>
        <v>0</v>
      </c>
      <c r="D32" s="452">
        <f t="shared" si="4"/>
        <v>1654.6024779520003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2061.3456582200429</v>
      </c>
    </row>
    <row r="33" spans="1:17" s="463" customFormat="1">
      <c r="A33" s="461" t="s">
        <v>545</v>
      </c>
      <c r="B33" s="462">
        <f ca="1">SUM(B22:B32)</f>
        <v>11727.087768793424</v>
      </c>
      <c r="C33" s="462">
        <f t="shared" ref="C33:Q33" ca="1" si="19">SUM(C22:C32)</f>
        <v>0</v>
      </c>
      <c r="D33" s="462">
        <f t="shared" ca="1" si="19"/>
        <v>34503.4622995311</v>
      </c>
      <c r="E33" s="462">
        <f t="shared" si="19"/>
        <v>687.44497182477551</v>
      </c>
      <c r="F33" s="462">
        <f t="shared" ca="1" si="19"/>
        <v>2713.5798816387178</v>
      </c>
      <c r="G33" s="462">
        <f t="shared" si="19"/>
        <v>17306.60400144614</v>
      </c>
      <c r="H33" s="462">
        <f t="shared" si="19"/>
        <v>5314.4078858140047</v>
      </c>
      <c r="I33" s="462">
        <f t="shared" si="19"/>
        <v>0</v>
      </c>
      <c r="J33" s="462">
        <f t="shared" si="19"/>
        <v>13.332114873681718</v>
      </c>
      <c r="K33" s="462">
        <f t="shared" si="19"/>
        <v>0</v>
      </c>
      <c r="L33" s="462">
        <f t="shared" ca="1" si="19"/>
        <v>0</v>
      </c>
      <c r="M33" s="462">
        <f t="shared" si="19"/>
        <v>0</v>
      </c>
      <c r="N33" s="462">
        <f t="shared" ca="1" si="19"/>
        <v>0</v>
      </c>
      <c r="O33" s="462">
        <f t="shared" si="19"/>
        <v>0</v>
      </c>
      <c r="P33" s="462">
        <f t="shared" si="19"/>
        <v>0</v>
      </c>
      <c r="Q33" s="462">
        <f t="shared" ca="1" si="19"/>
        <v>72265.918923921839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1428.3357232969461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1428.3357232969461</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0.2152071914411442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0.2152071914411442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0.2152071914411442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0.2152071914411442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6901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418.77</v>
      </c>
      <c r="C14" s="330"/>
      <c r="D14" s="330"/>
      <c r="E14" s="330"/>
      <c r="F14" s="330"/>
    </row>
    <row r="15" spans="1:6">
      <c r="A15" s="1298" t="s">
        <v>183</v>
      </c>
      <c r="B15" s="1299">
        <v>3</v>
      </c>
      <c r="C15" s="330"/>
      <c r="D15" s="330"/>
      <c r="E15" s="330"/>
      <c r="F15" s="330"/>
    </row>
    <row r="16" spans="1:6">
      <c r="A16" s="1298" t="s">
        <v>6</v>
      </c>
      <c r="B16" s="1299">
        <v>57</v>
      </c>
      <c r="C16" s="330"/>
      <c r="D16" s="330"/>
      <c r="E16" s="330"/>
      <c r="F16" s="330"/>
    </row>
    <row r="17" spans="1:6">
      <c r="A17" s="1298" t="s">
        <v>7</v>
      </c>
      <c r="B17" s="1299">
        <v>144</v>
      </c>
      <c r="C17" s="330"/>
      <c r="D17" s="330"/>
      <c r="E17" s="330"/>
      <c r="F17" s="330"/>
    </row>
    <row r="18" spans="1:6">
      <c r="A18" s="1298" t="s">
        <v>8</v>
      </c>
      <c r="B18" s="1299">
        <v>137</v>
      </c>
      <c r="C18" s="330"/>
      <c r="D18" s="330"/>
      <c r="E18" s="330"/>
      <c r="F18" s="330"/>
    </row>
    <row r="19" spans="1:6">
      <c r="A19" s="1298" t="s">
        <v>9</v>
      </c>
      <c r="B19" s="1299">
        <v>120</v>
      </c>
      <c r="C19" s="330"/>
      <c r="D19" s="330"/>
      <c r="E19" s="330"/>
      <c r="F19" s="330"/>
    </row>
    <row r="20" spans="1:6">
      <c r="A20" s="1298" t="s">
        <v>10</v>
      </c>
      <c r="B20" s="1299">
        <v>174</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20</v>
      </c>
      <c r="C28" s="336"/>
      <c r="D28" s="336"/>
      <c r="E28" s="336"/>
      <c r="F28" s="336"/>
    </row>
    <row r="29" spans="1:6">
      <c r="A29" s="1300" t="s">
        <v>705</v>
      </c>
      <c r="B29" s="1301">
        <v>162</v>
      </c>
      <c r="C29" s="336"/>
      <c r="D29" s="336"/>
      <c r="E29" s="336"/>
      <c r="F29" s="336"/>
    </row>
    <row r="30" spans="1:6">
      <c r="A30" s="1293" t="s">
        <v>706</v>
      </c>
      <c r="B30" s="1302">
        <v>16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5855.0370000000003</v>
      </c>
    </row>
    <row r="39" spans="1:6">
      <c r="A39" s="1298" t="s">
        <v>29</v>
      </c>
      <c r="B39" s="1298" t="s">
        <v>30</v>
      </c>
      <c r="C39" s="1299">
        <v>5462</v>
      </c>
      <c r="D39" s="1299">
        <v>140201636.40000001</v>
      </c>
      <c r="E39" s="1299">
        <v>6800</v>
      </c>
      <c r="F39" s="1299">
        <v>31952429.780000001</v>
      </c>
    </row>
    <row r="40" spans="1:6">
      <c r="A40" s="1298" t="s">
        <v>29</v>
      </c>
      <c r="B40" s="1298" t="s">
        <v>28</v>
      </c>
      <c r="C40" s="1299">
        <v>1</v>
      </c>
      <c r="D40" s="1299">
        <v>71473.381999999998</v>
      </c>
      <c r="E40" s="1299">
        <v>1</v>
      </c>
      <c r="F40" s="1299">
        <v>13812.323</v>
      </c>
    </row>
    <row r="41" spans="1:6">
      <c r="A41" s="1298" t="s">
        <v>31</v>
      </c>
      <c r="B41" s="1298" t="s">
        <v>32</v>
      </c>
      <c r="C41" s="1299">
        <v>73</v>
      </c>
      <c r="D41" s="1299">
        <v>1897711.675</v>
      </c>
      <c r="E41" s="1299">
        <v>104</v>
      </c>
      <c r="F41" s="1299">
        <v>704036.83100000001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8</v>
      </c>
      <c r="F44" s="1299">
        <v>75559.587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107320.845</v>
      </c>
      <c r="E47" s="1299">
        <v>6</v>
      </c>
      <c r="F47" s="1299">
        <v>42484.86</v>
      </c>
    </row>
    <row r="48" spans="1:6">
      <c r="A48" s="1298" t="s">
        <v>31</v>
      </c>
      <c r="B48" s="1298" t="s">
        <v>28</v>
      </c>
      <c r="C48" s="1299">
        <v>13</v>
      </c>
      <c r="D48" s="1299">
        <v>372577.614</v>
      </c>
      <c r="E48" s="1299">
        <v>20</v>
      </c>
      <c r="F48" s="1299">
        <v>783165.19799999997</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0</v>
      </c>
      <c r="D51" s="1299">
        <v>0</v>
      </c>
      <c r="E51" s="1299">
        <v>0</v>
      </c>
      <c r="F51" s="1299">
        <v>0</v>
      </c>
    </row>
    <row r="52" spans="1:6">
      <c r="A52" s="1298" t="s">
        <v>41</v>
      </c>
      <c r="B52" s="1298" t="s">
        <v>28</v>
      </c>
      <c r="C52" s="1299">
        <v>3</v>
      </c>
      <c r="D52" s="1299">
        <v>53234.828999999998</v>
      </c>
      <c r="E52" s="1299">
        <v>6</v>
      </c>
      <c r="F52" s="1299">
        <v>95881.236000000004</v>
      </c>
    </row>
    <row r="53" spans="1:6">
      <c r="A53" s="1298" t="s">
        <v>43</v>
      </c>
      <c r="B53" s="1298" t="s">
        <v>44</v>
      </c>
      <c r="C53" s="1299">
        <v>229</v>
      </c>
      <c r="D53" s="1299">
        <v>8191101.3760000002</v>
      </c>
      <c r="E53" s="1299">
        <v>340</v>
      </c>
      <c r="F53" s="1299">
        <v>1890007.3810000001</v>
      </c>
    </row>
    <row r="54" spans="1:6">
      <c r="A54" s="1298" t="s">
        <v>45</v>
      </c>
      <c r="B54" s="1298" t="s">
        <v>46</v>
      </c>
      <c r="C54" s="1299">
        <v>0</v>
      </c>
      <c r="D54" s="1299">
        <v>0</v>
      </c>
      <c r="E54" s="1299">
        <v>1</v>
      </c>
      <c r="F54" s="1299">
        <v>1149657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71</v>
      </c>
      <c r="D57" s="1299">
        <v>8107740.284</v>
      </c>
      <c r="E57" s="1299">
        <v>139</v>
      </c>
      <c r="F57" s="1299">
        <v>2859053.3709999998</v>
      </c>
    </row>
    <row r="58" spans="1:6">
      <c r="A58" s="1298" t="s">
        <v>48</v>
      </c>
      <c r="B58" s="1298" t="s">
        <v>50</v>
      </c>
      <c r="C58" s="1299">
        <v>40</v>
      </c>
      <c r="D58" s="1299">
        <v>1633590.226</v>
      </c>
      <c r="E58" s="1299">
        <v>48</v>
      </c>
      <c r="F58" s="1299">
        <v>326794.68599999999</v>
      </c>
    </row>
    <row r="59" spans="1:6">
      <c r="A59" s="1298" t="s">
        <v>48</v>
      </c>
      <c r="B59" s="1298" t="s">
        <v>51</v>
      </c>
      <c r="C59" s="1299">
        <v>93</v>
      </c>
      <c r="D59" s="1299">
        <v>3461035.247</v>
      </c>
      <c r="E59" s="1299">
        <v>176</v>
      </c>
      <c r="F59" s="1299">
        <v>3986725.7080000001</v>
      </c>
    </row>
    <row r="60" spans="1:6">
      <c r="A60" s="1298" t="s">
        <v>48</v>
      </c>
      <c r="B60" s="1298" t="s">
        <v>52</v>
      </c>
      <c r="C60" s="1299">
        <v>27</v>
      </c>
      <c r="D60" s="1299">
        <v>1447546.432</v>
      </c>
      <c r="E60" s="1299">
        <v>29</v>
      </c>
      <c r="F60" s="1299">
        <v>547376.19900000002</v>
      </c>
    </row>
    <row r="61" spans="1:6">
      <c r="A61" s="1298" t="s">
        <v>48</v>
      </c>
      <c r="B61" s="1298" t="s">
        <v>53</v>
      </c>
      <c r="C61" s="1299">
        <v>297</v>
      </c>
      <c r="D61" s="1299">
        <v>15389694.390000001</v>
      </c>
      <c r="E61" s="1299">
        <v>421</v>
      </c>
      <c r="F61" s="1299">
        <v>5948951.6529999999</v>
      </c>
    </row>
    <row r="62" spans="1:6">
      <c r="A62" s="1298" t="s">
        <v>48</v>
      </c>
      <c r="B62" s="1298" t="s">
        <v>54</v>
      </c>
      <c r="C62" s="1299">
        <v>10</v>
      </c>
      <c r="D62" s="1299">
        <v>2321327.8859999999</v>
      </c>
      <c r="E62" s="1299">
        <v>10</v>
      </c>
      <c r="F62" s="1299">
        <v>1383803.754</v>
      </c>
    </row>
    <row r="63" spans="1:6">
      <c r="A63" s="1298" t="s">
        <v>48</v>
      </c>
      <c r="B63" s="1298" t="s">
        <v>28</v>
      </c>
      <c r="C63" s="1299">
        <v>95</v>
      </c>
      <c r="D63" s="1299">
        <v>4965645.1210000003</v>
      </c>
      <c r="E63" s="1299">
        <v>93</v>
      </c>
      <c r="F63" s="1299">
        <v>1505623.8330000001</v>
      </c>
    </row>
    <row r="64" spans="1:6">
      <c r="A64" s="1298" t="s">
        <v>55</v>
      </c>
      <c r="B64" s="1298" t="s">
        <v>56</v>
      </c>
      <c r="C64" s="1299">
        <v>0</v>
      </c>
      <c r="D64" s="1299">
        <v>0</v>
      </c>
      <c r="E64" s="1299">
        <v>0</v>
      </c>
      <c r="F64" s="1299">
        <v>0</v>
      </c>
    </row>
    <row r="65" spans="1:6">
      <c r="A65" s="1298" t="s">
        <v>55</v>
      </c>
      <c r="B65" s="1298" t="s">
        <v>28</v>
      </c>
      <c r="C65" s="1299">
        <v>4</v>
      </c>
      <c r="D65" s="1299">
        <v>84691.625</v>
      </c>
      <c r="E65" s="1299">
        <v>1</v>
      </c>
      <c r="F65" s="1299">
        <v>4351.2820000000002</v>
      </c>
    </row>
    <row r="66" spans="1:6">
      <c r="A66" s="1298" t="s">
        <v>55</v>
      </c>
      <c r="B66" s="1298" t="s">
        <v>57</v>
      </c>
      <c r="C66" s="1299">
        <v>0</v>
      </c>
      <c r="D66" s="1299">
        <v>0</v>
      </c>
      <c r="E66" s="1299">
        <v>9</v>
      </c>
      <c r="F66" s="1299">
        <v>162439.77299999999</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17551.923999999999</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42983846</v>
      </c>
      <c r="E73" s="450"/>
      <c r="F73" s="330"/>
    </row>
    <row r="74" spans="1:6">
      <c r="A74" s="1298" t="s">
        <v>63</v>
      </c>
      <c r="B74" s="1298" t="s">
        <v>647</v>
      </c>
      <c r="C74" s="1312" t="s">
        <v>649</v>
      </c>
      <c r="D74" s="1313">
        <v>306912</v>
      </c>
      <c r="E74" s="450"/>
      <c r="F74" s="330"/>
    </row>
    <row r="75" spans="1:6">
      <c r="A75" s="1298" t="s">
        <v>64</v>
      </c>
      <c r="B75" s="1298" t="s">
        <v>646</v>
      </c>
      <c r="C75" s="1312" t="s">
        <v>650</v>
      </c>
      <c r="D75" s="1313">
        <v>62962054</v>
      </c>
      <c r="E75" s="450"/>
      <c r="F75" s="330"/>
    </row>
    <row r="76" spans="1:6">
      <c r="A76" s="1298" t="s">
        <v>64</v>
      </c>
      <c r="B76" s="1298" t="s">
        <v>647</v>
      </c>
      <c r="C76" s="1312" t="s">
        <v>651</v>
      </c>
      <c r="D76" s="1313">
        <v>1097912</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484936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1176.0480663532817</v>
      </c>
      <c r="C91" s="330"/>
      <c r="D91" s="330"/>
      <c r="E91" s="330"/>
      <c r="F91" s="330"/>
    </row>
    <row r="92" spans="1:6">
      <c r="A92" s="1293" t="s">
        <v>68</v>
      </c>
      <c r="B92" s="1294">
        <v>252.28765694366444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3717</v>
      </c>
      <c r="C97" s="330"/>
      <c r="D97" s="330"/>
      <c r="E97" s="330"/>
      <c r="F97" s="330"/>
    </row>
    <row r="98" spans="1:6">
      <c r="A98" s="1298" t="s">
        <v>71</v>
      </c>
      <c r="B98" s="1299">
        <v>2</v>
      </c>
      <c r="C98" s="330"/>
      <c r="D98" s="330"/>
      <c r="E98" s="330"/>
      <c r="F98" s="330"/>
    </row>
    <row r="99" spans="1:6">
      <c r="A99" s="1298" t="s">
        <v>72</v>
      </c>
      <c r="B99" s="1299">
        <v>15</v>
      </c>
      <c r="C99" s="330"/>
      <c r="D99" s="330"/>
      <c r="E99" s="330"/>
      <c r="F99" s="330"/>
    </row>
    <row r="100" spans="1:6">
      <c r="A100" s="1298" t="s">
        <v>73</v>
      </c>
      <c r="B100" s="1299">
        <v>320</v>
      </c>
      <c r="C100" s="330"/>
      <c r="D100" s="330"/>
      <c r="E100" s="330"/>
      <c r="F100" s="330"/>
    </row>
    <row r="101" spans="1:6">
      <c r="A101" s="1298" t="s">
        <v>74</v>
      </c>
      <c r="B101" s="1299">
        <v>35</v>
      </c>
      <c r="C101" s="330"/>
      <c r="D101" s="330"/>
      <c r="E101" s="330"/>
      <c r="F101" s="330"/>
    </row>
    <row r="102" spans="1:6">
      <c r="A102" s="1298" t="s">
        <v>75</v>
      </c>
      <c r="B102" s="1299">
        <v>97</v>
      </c>
      <c r="C102" s="330"/>
      <c r="D102" s="330"/>
      <c r="E102" s="330"/>
      <c r="F102" s="330"/>
    </row>
    <row r="103" spans="1:6">
      <c r="A103" s="1298" t="s">
        <v>76</v>
      </c>
      <c r="B103" s="1299">
        <v>46</v>
      </c>
      <c r="C103" s="330"/>
      <c r="D103" s="330"/>
      <c r="E103" s="330"/>
      <c r="F103" s="330"/>
    </row>
    <row r="104" spans="1:6">
      <c r="A104" s="1298" t="s">
        <v>77</v>
      </c>
      <c r="B104" s="1299">
        <v>1914</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6</v>
      </c>
      <c r="C123" s="1299">
        <v>9</v>
      </c>
      <c r="D123" s="330"/>
      <c r="E123" s="330"/>
      <c r="F123" s="330"/>
    </row>
    <row r="124" spans="1:6" s="43" customFormat="1">
      <c r="A124" s="1300" t="s">
        <v>88</v>
      </c>
      <c r="B124" s="1321">
        <v>0</v>
      </c>
      <c r="C124" s="1321">
        <v>2</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54</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54492.081283448184</v>
      </c>
      <c r="C3" s="43" t="s">
        <v>169</v>
      </c>
      <c r="D3" s="43"/>
      <c r="E3" s="154"/>
      <c r="F3" s="43"/>
      <c r="G3" s="43"/>
      <c r="H3" s="43"/>
      <c r="I3" s="43"/>
      <c r="J3" s="43"/>
      <c r="K3" s="96"/>
    </row>
    <row r="4" spans="1:11">
      <c r="A4" s="358" t="s">
        <v>170</v>
      </c>
      <c r="B4" s="49">
        <f>IF(ISERROR('SEAP template'!B78+'SEAP template'!C78),0,'SEAP template'!B78+'SEAP template'!C78)</f>
        <v>1428.3357232969461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0.2152071914411442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1149.6569999999999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1149.6569999999999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0.2152071914411442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247.4144540906515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31966.242103</v>
      </c>
      <c r="C5" s="17">
        <f>IF(ISERROR('Eigen informatie GS &amp; warmtenet'!B59),0,'Eigen informatie GS &amp; warmtenet'!B59)</f>
        <v>0</v>
      </c>
      <c r="D5" s="30">
        <f>(SUM(HH_hh_gas_kWh,HH_rest_gas_kWh)/1000)*0.902</f>
        <v>126526.34502336402</v>
      </c>
      <c r="E5" s="17">
        <f>B46*B57</f>
        <v>2382.0124839471141</v>
      </c>
      <c r="F5" s="17">
        <f>B51*B62</f>
        <v>7110.2785603843276</v>
      </c>
      <c r="G5" s="18"/>
      <c r="H5" s="17"/>
      <c r="I5" s="17"/>
      <c r="J5" s="17">
        <f>B50*B61+C50*C61</f>
        <v>0</v>
      </c>
      <c r="K5" s="17"/>
      <c r="L5" s="17"/>
      <c r="M5" s="17"/>
      <c r="N5" s="17">
        <f>B48*B59+C48*C59</f>
        <v>6934.7931597541274</v>
      </c>
      <c r="O5" s="17">
        <f>B69*B70*B71</f>
        <v>128.95728426015705</v>
      </c>
      <c r="P5" s="17">
        <f>B77*B78*B79/1000-B77*B78*B79/1000/B80</f>
        <v>147.47543030759033</v>
      </c>
    </row>
    <row r="6" spans="1:16">
      <c r="A6" s="16" t="s">
        <v>611</v>
      </c>
      <c r="B6" s="783">
        <f>kWh_PV_kleiner_dan_10kW</f>
        <v>1176.0480663532817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33142.290169353284</v>
      </c>
      <c r="C8" s="21">
        <f>C5</f>
        <v>0</v>
      </c>
      <c r="D8" s="21">
        <f>D5</f>
        <v>126526.34502336402</v>
      </c>
      <c r="E8" s="21">
        <f>E5</f>
        <v>2382.0124839471141</v>
      </c>
      <c r="F8" s="21">
        <f>F5</f>
        <v>7110.2785603843276</v>
      </c>
      <c r="G8" s="21"/>
      <c r="H8" s="21"/>
      <c r="I8" s="21"/>
      <c r="J8" s="21">
        <f>J5</f>
        <v>0</v>
      </c>
      <c r="K8" s="21"/>
      <c r="L8" s="21">
        <f>L5</f>
        <v>0</v>
      </c>
      <c r="M8" s="21">
        <f>M5</f>
        <v>0</v>
      </c>
      <c r="N8" s="21">
        <f>N5</f>
        <v>6934.7931597541274</v>
      </c>
      <c r="O8" s="21">
        <f>O5</f>
        <v>128.95728426015705</v>
      </c>
      <c r="P8" s="21">
        <f>P5</f>
        <v>147.47543030759033</v>
      </c>
    </row>
    <row r="9" spans="1:16">
      <c r="B9" s="19"/>
      <c r="C9" s="19"/>
      <c r="D9" s="258"/>
      <c r="E9" s="19"/>
      <c r="F9" s="19"/>
      <c r="G9" s="19"/>
      <c r="H9" s="19"/>
      <c r="I9" s="19"/>
      <c r="J9" s="19"/>
      <c r="K9" s="19"/>
      <c r="L9" s="19"/>
      <c r="M9" s="19"/>
      <c r="N9" s="19"/>
      <c r="O9" s="19"/>
      <c r="P9" s="19"/>
    </row>
    <row r="10" spans="1:16">
      <c r="A10" s="24" t="s">
        <v>213</v>
      </c>
      <c r="B10" s="25">
        <f ca="1">'EF ele_warmte'!B12</f>
        <v>0.2152071914411442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7132.4591852739632</v>
      </c>
      <c r="C12" s="23">
        <f ca="1">C10*C8</f>
        <v>0</v>
      </c>
      <c r="D12" s="23">
        <f>D8*D10</f>
        <v>25558.321694719532</v>
      </c>
      <c r="E12" s="23">
        <f>E10*E8</f>
        <v>540.71683385599488</v>
      </c>
      <c r="F12" s="23">
        <f>F10*F8</f>
        <v>1898.4443756226156</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3717</v>
      </c>
      <c r="C18" s="166" t="s">
        <v>110</v>
      </c>
      <c r="D18" s="228"/>
      <c r="E18" s="15"/>
    </row>
    <row r="19" spans="1:7">
      <c r="A19" s="171" t="s">
        <v>71</v>
      </c>
      <c r="B19" s="37">
        <f>aantalw2001_ander</f>
        <v>2</v>
      </c>
      <c r="C19" s="166" t="s">
        <v>110</v>
      </c>
      <c r="D19" s="229"/>
      <c r="E19" s="15"/>
    </row>
    <row r="20" spans="1:7">
      <c r="A20" s="171" t="s">
        <v>72</v>
      </c>
      <c r="B20" s="37">
        <f>aantalw2001_propaan</f>
        <v>15</v>
      </c>
      <c r="C20" s="167">
        <f>IF(ISERROR(B20/SUM($B$20,$B$21,$B$22)*100),0,B20/SUM($B$20,$B$21,$B$22)*100)</f>
        <v>4.0540540540540544</v>
      </c>
      <c r="D20" s="229"/>
      <c r="E20" s="15"/>
    </row>
    <row r="21" spans="1:7">
      <c r="A21" s="171" t="s">
        <v>73</v>
      </c>
      <c r="B21" s="37">
        <f>aantalw2001_elektriciteit</f>
        <v>320</v>
      </c>
      <c r="C21" s="167">
        <f>IF(ISERROR(B21/SUM($B$20,$B$21,$B$22)*100),0,B21/SUM($B$20,$B$21,$B$22)*100)</f>
        <v>86.486486486486484</v>
      </c>
      <c r="D21" s="229"/>
      <c r="E21" s="15"/>
    </row>
    <row r="22" spans="1:7">
      <c r="A22" s="171" t="s">
        <v>74</v>
      </c>
      <c r="B22" s="37">
        <f>aantalw2001_hout</f>
        <v>35</v>
      </c>
      <c r="C22" s="167">
        <f>IF(ISERROR(B22/SUM($B$20,$B$21,$B$22)*100),0,B22/SUM($B$20,$B$21,$B$22)*100)</f>
        <v>9.4594594594594597</v>
      </c>
      <c r="D22" s="229"/>
      <c r="E22" s="15"/>
    </row>
    <row r="23" spans="1:7">
      <c r="A23" s="171" t="s">
        <v>75</v>
      </c>
      <c r="B23" s="37">
        <f>aantalw2001_niet_gespec</f>
        <v>97</v>
      </c>
      <c r="C23" s="166" t="s">
        <v>110</v>
      </c>
      <c r="D23" s="228"/>
      <c r="E23" s="15"/>
    </row>
    <row r="24" spans="1:7">
      <c r="A24" s="171" t="s">
        <v>76</v>
      </c>
      <c r="B24" s="37">
        <f>aantalw2001_steenkool</f>
        <v>46</v>
      </c>
      <c r="C24" s="166" t="s">
        <v>110</v>
      </c>
      <c r="D24" s="229"/>
      <c r="E24" s="15"/>
    </row>
    <row r="25" spans="1:7">
      <c r="A25" s="171" t="s">
        <v>77</v>
      </c>
      <c r="B25" s="37">
        <f>aantalw2001_stookolie</f>
        <v>1914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6901</v>
      </c>
      <c r="C28" s="36"/>
      <c r="D28" s="228"/>
    </row>
    <row r="29" spans="1:7" s="15" customFormat="1">
      <c r="A29" s="230" t="s">
        <v>819</v>
      </c>
      <c r="B29" s="37">
        <f>SUM(HH_hh_gas_aantal,HH_rest_gas_aantal)</f>
        <v>5463</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5463</v>
      </c>
      <c r="C32" s="167">
        <f>IF(ISERROR(B32/SUM($B$32,$B$34,$B$35,$B$36,$B$38,$B$39)*100),0,B32/SUM($B$32,$B$34,$B$35,$B$36,$B$38,$B$39)*100)</f>
        <v>79.323362857557726</v>
      </c>
      <c r="D32" s="233"/>
      <c r="G32" s="15"/>
    </row>
    <row r="33" spans="1:7">
      <c r="A33" s="171" t="s">
        <v>71</v>
      </c>
      <c r="B33" s="34" t="s">
        <v>110</v>
      </c>
      <c r="C33" s="167"/>
      <c r="D33" s="233"/>
      <c r="G33" s="15"/>
    </row>
    <row r="34" spans="1:7">
      <c r="A34" s="171" t="s">
        <v>72</v>
      </c>
      <c r="B34" s="33">
        <f>IF((($B$28-$B$32-$B$39-$B$77-$B$38)*C20/100)&lt;0,0,($B$28-$B$32-$B$39-$B$77-$B$38)*C20/100)</f>
        <v>43.840540540540552</v>
      </c>
      <c r="C34" s="167">
        <f>IF(ISERROR(B34/SUM($B$32,$B$34,$B$35,$B$36,$B$38,$B$39)*100),0,B34/SUM($B$32,$B$34,$B$35,$B$36,$B$38,$B$39)*100)</f>
        <v>0.63656948657674683</v>
      </c>
      <c r="D34" s="233"/>
      <c r="G34" s="15"/>
    </row>
    <row r="35" spans="1:7">
      <c r="A35" s="171" t="s">
        <v>73</v>
      </c>
      <c r="B35" s="33">
        <f>IF((($B$28-$B$32-$B$39-$B$77-$B$38)*C21/100)&lt;0,0,($B$28-$B$32-$B$39-$B$77-$B$38)*C21/100)</f>
        <v>935.26486486486499</v>
      </c>
      <c r="C35" s="167">
        <f>IF(ISERROR(B35/SUM($B$32,$B$34,$B$35,$B$36,$B$38,$B$39)*100),0,B35/SUM($B$32,$B$34,$B$35,$B$36,$B$38,$B$39)*100)</f>
        <v>13.580149046970597</v>
      </c>
      <c r="D35" s="233"/>
      <c r="G35" s="15"/>
    </row>
    <row r="36" spans="1:7">
      <c r="A36" s="171" t="s">
        <v>74</v>
      </c>
      <c r="B36" s="33">
        <f>IF((($B$28-$B$32-$B$39-$B$77-$B$38)*C22/100)&lt;0,0,($B$28-$B$32-$B$39-$B$77-$B$38)*C22/100)</f>
        <v>102.2945945945946</v>
      </c>
      <c r="C36" s="167">
        <f>IF(ISERROR(B36/SUM($B$32,$B$34,$B$35,$B$36,$B$38,$B$39)*100),0,B36/SUM($B$32,$B$34,$B$35,$B$36,$B$38,$B$39)*100)</f>
        <v>1.4853288020124089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342.59999999999991</v>
      </c>
      <c r="C39" s="167">
        <f>IF(ISERROR(B39/SUM($B$32,$B$34,$B$35,$B$36,$B$38,$B$39)*100),0,B39/SUM($B$32,$B$34,$B$35,$B$36,$B$38,$B$39)*100)</f>
        <v>4.9745898068825314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5463</v>
      </c>
      <c r="C44" s="34" t="s">
        <v>110</v>
      </c>
      <c r="D44" s="174"/>
    </row>
    <row r="45" spans="1:7">
      <c r="A45" s="171" t="s">
        <v>71</v>
      </c>
      <c r="B45" s="33" t="str">
        <f t="shared" si="0"/>
        <v>-</v>
      </c>
      <c r="C45" s="34" t="s">
        <v>110</v>
      </c>
      <c r="D45" s="174"/>
    </row>
    <row r="46" spans="1:7">
      <c r="A46" s="171" t="s">
        <v>72</v>
      </c>
      <c r="B46" s="33">
        <f t="shared" si="0"/>
        <v>43.840540540540552</v>
      </c>
      <c r="C46" s="34" t="s">
        <v>110</v>
      </c>
      <c r="D46" s="174"/>
    </row>
    <row r="47" spans="1:7">
      <c r="A47" s="171" t="s">
        <v>73</v>
      </c>
      <c r="B47" s="33">
        <f t="shared" si="0"/>
        <v>935.26486486486499</v>
      </c>
      <c r="C47" s="34" t="s">
        <v>110</v>
      </c>
      <c r="D47" s="174"/>
    </row>
    <row r="48" spans="1:7">
      <c r="A48" s="171" t="s">
        <v>74</v>
      </c>
      <c r="B48" s="33">
        <f t="shared" si="0"/>
        <v>102.2945945945946</v>
      </c>
      <c r="C48" s="33">
        <f>B48*10</f>
        <v>1022.9459459459461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342.59999999999991</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16558.329204000001</v>
      </c>
      <c r="C5" s="17">
        <f>IF(ISERROR('Eigen informatie GS &amp; warmtenet'!B60),0,'Eigen informatie GS &amp; warmtenet'!B60)</f>
        <v>0</v>
      </c>
      <c r="D5" s="30">
        <f>SUM(D6:D12)</f>
        <v>33668.574786571997</v>
      </c>
      <c r="E5" s="17">
        <f>SUM(E6:E12)</f>
        <v>220.48969844971066</v>
      </c>
      <c r="F5" s="17">
        <f>SUM(F6:F12)</f>
        <v>1983.7398170988827</v>
      </c>
      <c r="G5" s="18"/>
      <c r="H5" s="17"/>
      <c r="I5" s="17"/>
      <c r="J5" s="17">
        <f>SUM(J6:J12)</f>
        <v>5.1420894617072624E-2</v>
      </c>
      <c r="K5" s="17"/>
      <c r="L5" s="17"/>
      <c r="M5" s="17"/>
      <c r="N5" s="17">
        <f>SUM(N6:N12)</f>
        <v>2015.9391135287442</v>
      </c>
      <c r="O5" s="17">
        <f>B38*B39*B40</f>
        <v>4.8972607658411542</v>
      </c>
      <c r="P5" s="17">
        <f>B46*B47*B48/1000-B46*B47*B48/1000/B49</f>
        <v>0</v>
      </c>
      <c r="R5" s="32"/>
    </row>
    <row r="6" spans="1:18">
      <c r="A6" s="32" t="s">
        <v>53</v>
      </c>
      <c r="B6" s="37">
        <f>B26</f>
        <v>5948.9516530000001</v>
      </c>
      <c r="C6" s="33"/>
      <c r="D6" s="37">
        <f>IF(ISERROR(TER_kantoor_gas_kWh/1000),0,TER_kantoor_gas_kWh/1000)*0.902</f>
        <v>13881.50433978</v>
      </c>
      <c r="E6" s="33">
        <f>$C$26*'E Balans VL '!I12/100/3.6*1000000</f>
        <v>47.869306567522763</v>
      </c>
      <c r="F6" s="33">
        <f>$C$26*('E Balans VL '!L12+'E Balans VL '!N12)/100/3.6*1000000</f>
        <v>727.321920547069</v>
      </c>
      <c r="G6" s="34"/>
      <c r="H6" s="33"/>
      <c r="I6" s="33"/>
      <c r="J6" s="33">
        <f>$C$26*('E Balans VL '!D12+'E Balans VL '!E12)/100/3.6*1000000</f>
        <v>0</v>
      </c>
      <c r="K6" s="33"/>
      <c r="L6" s="33"/>
      <c r="M6" s="33"/>
      <c r="N6" s="33">
        <f>$C$26*'E Balans VL '!Y12/100/3.6*1000000</f>
        <v>3.1972685593263366</v>
      </c>
      <c r="O6" s="33"/>
      <c r="P6" s="33"/>
      <c r="R6" s="32"/>
    </row>
    <row r="7" spans="1:18">
      <c r="A7" s="32" t="s">
        <v>52</v>
      </c>
      <c r="B7" s="37">
        <f t="shared" ref="B7:B12" si="0">B27</f>
        <v>547.37619900000004</v>
      </c>
      <c r="C7" s="33"/>
      <c r="D7" s="37">
        <f>IF(ISERROR(TER_horeca_gas_kWh/1000),0,TER_horeca_gas_kWh/1000)*0.902</f>
        <v>1305.6868816640001</v>
      </c>
      <c r="E7" s="33">
        <f>$C$27*'E Balans VL '!I9/100/3.6*1000000</f>
        <v>5.8774762563055933</v>
      </c>
      <c r="F7" s="33">
        <f>$C$27*('E Balans VL '!L9+'E Balans VL '!N9)/100/3.6*1000000</f>
        <v>65.836083582456197</v>
      </c>
      <c r="G7" s="34"/>
      <c r="H7" s="33"/>
      <c r="I7" s="33"/>
      <c r="J7" s="33">
        <f>$C$27*('E Balans VL '!D9+'E Balans VL '!E9)/100/3.6*1000000</f>
        <v>0</v>
      </c>
      <c r="K7" s="33"/>
      <c r="L7" s="33"/>
      <c r="M7" s="33"/>
      <c r="N7" s="33">
        <f>$C$27*'E Balans VL '!Y9/100/3.6*1000000</f>
        <v>8.2062786257653397E-2</v>
      </c>
      <c r="O7" s="33"/>
      <c r="P7" s="33"/>
      <c r="R7" s="32"/>
    </row>
    <row r="8" spans="1:18">
      <c r="A8" s="6" t="s">
        <v>51</v>
      </c>
      <c r="B8" s="37">
        <f t="shared" si="0"/>
        <v>3986.7257079999999</v>
      </c>
      <c r="C8" s="33"/>
      <c r="D8" s="37">
        <f>IF(ISERROR(TER_handel_gas_kWh/1000),0,TER_handel_gas_kWh/1000)*0.902</f>
        <v>3121.8537927940001</v>
      </c>
      <c r="E8" s="33">
        <f>$C$28*'E Balans VL '!I13/100/3.6*1000000</f>
        <v>106.99151276036551</v>
      </c>
      <c r="F8" s="33">
        <f>$C$28*('E Balans VL '!L13+'E Balans VL '!N13)/100/3.6*1000000</f>
        <v>380.45650659779778</v>
      </c>
      <c r="G8" s="34"/>
      <c r="H8" s="33"/>
      <c r="I8" s="33"/>
      <c r="J8" s="33">
        <f>$C$28*('E Balans VL '!D13+'E Balans VL '!E13)/100/3.6*1000000</f>
        <v>0</v>
      </c>
      <c r="K8" s="33"/>
      <c r="L8" s="33"/>
      <c r="M8" s="33"/>
      <c r="N8" s="33">
        <f>$C$28*'E Balans VL '!Y13/100/3.6*1000000</f>
        <v>1.5803834012593059</v>
      </c>
      <c r="O8" s="33"/>
      <c r="P8" s="33"/>
      <c r="R8" s="32"/>
    </row>
    <row r="9" spans="1:18">
      <c r="A9" s="32" t="s">
        <v>50</v>
      </c>
      <c r="B9" s="37">
        <f t="shared" si="0"/>
        <v>326.79468600000001</v>
      </c>
      <c r="C9" s="33"/>
      <c r="D9" s="37">
        <f>IF(ISERROR(TER_gezond_gas_kWh/1000),0,TER_gezond_gas_kWh/1000)*0.902</f>
        <v>1473.498383852</v>
      </c>
      <c r="E9" s="33">
        <f>$C$29*'E Balans VL '!I10/100/3.6*1000000</f>
        <v>0.61251965053444313</v>
      </c>
      <c r="F9" s="33">
        <f>$C$29*('E Balans VL '!L10+'E Balans VL '!N10)/100/3.6*1000000</f>
        <v>26.865504960954354</v>
      </c>
      <c r="G9" s="34"/>
      <c r="H9" s="33"/>
      <c r="I9" s="33"/>
      <c r="J9" s="33">
        <f>$C$29*('E Balans VL '!D10+'E Balans VL '!E10)/100/3.6*1000000</f>
        <v>0</v>
      </c>
      <c r="K9" s="33"/>
      <c r="L9" s="33"/>
      <c r="M9" s="33"/>
      <c r="N9" s="33">
        <f>$C$29*'E Balans VL '!Y10/100/3.6*1000000</f>
        <v>2.5427064809500646</v>
      </c>
      <c r="O9" s="33"/>
      <c r="P9" s="33"/>
      <c r="R9" s="32"/>
    </row>
    <row r="10" spans="1:18">
      <c r="A10" s="32" t="s">
        <v>49</v>
      </c>
      <c r="B10" s="37">
        <f t="shared" si="0"/>
        <v>2859.053371</v>
      </c>
      <c r="C10" s="33"/>
      <c r="D10" s="37">
        <f>IF(ISERROR(TER_ander_gas_kWh/1000),0,TER_ander_gas_kWh/1000)*0.902</f>
        <v>7313.1817361680005</v>
      </c>
      <c r="E10" s="33">
        <f>$C$30*'E Balans VL '!I14/100/3.6*1000000</f>
        <v>4.407259741736679</v>
      </c>
      <c r="F10" s="33">
        <f>$C$30*('E Balans VL '!L14+'E Balans VL '!N14)/100/3.6*1000000</f>
        <v>443.868825132827</v>
      </c>
      <c r="G10" s="34"/>
      <c r="H10" s="33"/>
      <c r="I10" s="33"/>
      <c r="J10" s="33">
        <f>$C$30*('E Balans VL '!D14+'E Balans VL '!E14)/100/3.6*1000000</f>
        <v>4.8535446201314093E-2</v>
      </c>
      <c r="K10" s="33"/>
      <c r="L10" s="33"/>
      <c r="M10" s="33"/>
      <c r="N10" s="33">
        <f>$C$30*'E Balans VL '!Y14/100/3.6*1000000</f>
        <v>1891.4580782808828</v>
      </c>
      <c r="O10" s="33"/>
      <c r="P10" s="33"/>
      <c r="R10" s="32"/>
    </row>
    <row r="11" spans="1:18">
      <c r="A11" s="32" t="s">
        <v>54</v>
      </c>
      <c r="B11" s="37">
        <f t="shared" si="0"/>
        <v>1383.803754</v>
      </c>
      <c r="C11" s="33"/>
      <c r="D11" s="37">
        <f>IF(ISERROR(TER_onderwijs_gas_kWh/1000),0,TER_onderwijs_gas_kWh/1000)*0.902</f>
        <v>2093.8377531720002</v>
      </c>
      <c r="E11" s="33">
        <f>$C$31*'E Balans VL '!I11/100/3.6*1000000</f>
        <v>35.2964471847325</v>
      </c>
      <c r="F11" s="33">
        <f>$C$31*('E Balans VL '!L11+'E Balans VL '!N11)/100/3.6*1000000</f>
        <v>166.41542627543657</v>
      </c>
      <c r="G11" s="34"/>
      <c r="H11" s="33"/>
      <c r="I11" s="33"/>
      <c r="J11" s="33">
        <f>$C$31*('E Balans VL '!D11+'E Balans VL '!E11)/100/3.6*1000000</f>
        <v>0</v>
      </c>
      <c r="K11" s="33"/>
      <c r="L11" s="33"/>
      <c r="M11" s="33"/>
      <c r="N11" s="33">
        <f>$C$31*'E Balans VL '!Y11/100/3.6*1000000</f>
        <v>3.0775457837934592</v>
      </c>
      <c r="O11" s="33"/>
      <c r="P11" s="33"/>
      <c r="R11" s="32"/>
    </row>
    <row r="12" spans="1:18">
      <c r="A12" s="32" t="s">
        <v>259</v>
      </c>
      <c r="B12" s="37">
        <f t="shared" si="0"/>
        <v>1505.6238330000001</v>
      </c>
      <c r="C12" s="33"/>
      <c r="D12" s="37">
        <f>IF(ISERROR(TER_rest_gas_kWh/1000),0,TER_rest_gas_kWh/1000)*0.902</f>
        <v>4479.0118991420004</v>
      </c>
      <c r="E12" s="33">
        <f>$C$32*'E Balans VL '!I8/100/3.6*1000000</f>
        <v>19.435176288513201</v>
      </c>
      <c r="F12" s="33">
        <f>$C$32*('E Balans VL '!L8+'E Balans VL '!N8)/100/3.6*1000000</f>
        <v>172.97555000234152</v>
      </c>
      <c r="G12" s="34"/>
      <c r="H12" s="33"/>
      <c r="I12" s="33"/>
      <c r="J12" s="33">
        <f>$C$32*('E Balans VL '!D8+'E Balans VL '!E8)/100/3.6*1000000</f>
        <v>2.8854484157585327E-3</v>
      </c>
      <c r="K12" s="33"/>
      <c r="L12" s="33"/>
      <c r="M12" s="33"/>
      <c r="N12" s="33">
        <f>$C$32*'E Balans VL '!Y8/100/3.6*1000000</f>
        <v>114.00106823627455</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16558.329204000001</v>
      </c>
      <c r="C16" s="21">
        <f t="shared" ca="1" si="1"/>
        <v>0</v>
      </c>
      <c r="D16" s="21">
        <f t="shared" ca="1" si="1"/>
        <v>33668.574786571997</v>
      </c>
      <c r="E16" s="21">
        <f t="shared" si="1"/>
        <v>220.48969844971066</v>
      </c>
      <c r="F16" s="21">
        <f t="shared" ca="1" si="1"/>
        <v>1983.7398170988827</v>
      </c>
      <c r="G16" s="21">
        <f t="shared" si="1"/>
        <v>0</v>
      </c>
      <c r="H16" s="21">
        <f t="shared" si="1"/>
        <v>0</v>
      </c>
      <c r="I16" s="21">
        <f t="shared" si="1"/>
        <v>0</v>
      </c>
      <c r="J16" s="21">
        <f t="shared" si="1"/>
        <v>5.1420894617072624E-2</v>
      </c>
      <c r="K16" s="21">
        <f t="shared" si="1"/>
        <v>0</v>
      </c>
      <c r="L16" s="21">
        <f t="shared" ca="1" si="1"/>
        <v>0</v>
      </c>
      <c r="M16" s="21">
        <f t="shared" si="1"/>
        <v>0</v>
      </c>
      <c r="N16" s="21">
        <f t="shared" ca="1" si="1"/>
        <v>2015.9391135287442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0.2152071914411442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3563.4715229507169</v>
      </c>
      <c r="C20" s="23">
        <f t="shared" ref="C20:P20" ca="1" si="2">C16*C18</f>
        <v>0</v>
      </c>
      <c r="D20" s="23">
        <f t="shared" ca="1" si="2"/>
        <v>6801.0521068875441</v>
      </c>
      <c r="E20" s="23">
        <f t="shared" si="2"/>
        <v>50.051161548084323</v>
      </c>
      <c r="F20" s="23">
        <f t="shared" ca="1" si="2"/>
        <v>529.65853116540166</v>
      </c>
      <c r="G20" s="23">
        <f t="shared" si="2"/>
        <v>0</v>
      </c>
      <c r="H20" s="23">
        <f t="shared" si="2"/>
        <v>0</v>
      </c>
      <c r="I20" s="23">
        <f t="shared" si="2"/>
        <v>0</v>
      </c>
      <c r="J20" s="23">
        <f t="shared" si="2"/>
        <v>1.8202996694443706E-2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5948.9516530000001</v>
      </c>
      <c r="C26" s="39">
        <f>IF(ISERROR(B26*3.6/1000000/'E Balans VL '!Z12*100),0,B26*3.6/1000000/'E Balans VL '!Z12*100)</f>
        <v>0.1262015666526338</v>
      </c>
      <c r="D26" s="237" t="s">
        <v>708</v>
      </c>
      <c r="F26" s="6"/>
    </row>
    <row r="27" spans="1:18">
      <c r="A27" s="231" t="s">
        <v>52</v>
      </c>
      <c r="B27" s="33">
        <f>IF(ISERROR(TER_horeca_ele_kWh/1000),0,TER_horeca_ele_kWh/1000)</f>
        <v>547.37619900000004</v>
      </c>
      <c r="C27" s="39">
        <f>IF(ISERROR(B27*3.6/1000000/'E Balans VL '!Z9*100),0,B27*3.6/1000000/'E Balans VL '!Z9*100)</f>
        <v>4.1222276720348311E-2</v>
      </c>
      <c r="D27" s="237" t="s">
        <v>708</v>
      </c>
      <c r="F27" s="6"/>
    </row>
    <row r="28" spans="1:18">
      <c r="A28" s="171" t="s">
        <v>51</v>
      </c>
      <c r="B28" s="33">
        <f>IF(ISERROR(TER_handel_ele_kWh/1000),0,TER_handel_ele_kWh/1000)</f>
        <v>3986.7257079999999</v>
      </c>
      <c r="C28" s="39">
        <f>IF(ISERROR(B28*3.6/1000000/'E Balans VL '!Z13*100),0,B28*3.6/1000000/'E Balans VL '!Z13*100)</f>
        <v>0.11572052123191501</v>
      </c>
      <c r="D28" s="237" t="s">
        <v>708</v>
      </c>
      <c r="F28" s="6"/>
    </row>
    <row r="29" spans="1:18">
      <c r="A29" s="231" t="s">
        <v>50</v>
      </c>
      <c r="B29" s="33">
        <f>IF(ISERROR(TER_gezond_ele_kWh/1000),0,TER_gezond_ele_kWh/1000)</f>
        <v>326.79468600000001</v>
      </c>
      <c r="C29" s="39">
        <f>IF(ISERROR(B29*3.6/1000000/'E Balans VL '!Z10*100),0,B29*3.6/1000000/'E Balans VL '!Z10*100)</f>
        <v>3.2957633801635945E-2</v>
      </c>
      <c r="D29" s="237" t="s">
        <v>708</v>
      </c>
      <c r="F29" s="6"/>
    </row>
    <row r="30" spans="1:18">
      <c r="A30" s="231" t="s">
        <v>49</v>
      </c>
      <c r="B30" s="33">
        <f>IF(ISERROR(TER_ander_ele_kWh/1000),0,TER_ander_ele_kWh/1000)</f>
        <v>2859.053371</v>
      </c>
      <c r="C30" s="39">
        <f>IF(ISERROR(B30*3.6/1000000/'E Balans VL '!Z14*100),0,B30*3.6/1000000/'E Balans VL '!Z14*100)</f>
        <v>0.2074633267057294</v>
      </c>
      <c r="D30" s="237" t="s">
        <v>708</v>
      </c>
      <c r="F30" s="6"/>
    </row>
    <row r="31" spans="1:18">
      <c r="A31" s="231" t="s">
        <v>54</v>
      </c>
      <c r="B31" s="33">
        <f>IF(ISERROR(TER_onderwijs_ele_kWh/1000),0,TER_onderwijs_ele_kWh/1000)</f>
        <v>1383.803754</v>
      </c>
      <c r="C31" s="39">
        <f>IF(ISERROR(B31*3.6/1000000/'E Balans VL '!Z11*100),0,B31*3.6/1000000/'E Balans VL '!Z11*100)</f>
        <v>0.39444042100277499</v>
      </c>
      <c r="D31" s="237" t="s">
        <v>708</v>
      </c>
    </row>
    <row r="32" spans="1:18">
      <c r="A32" s="231" t="s">
        <v>259</v>
      </c>
      <c r="B32" s="33">
        <f>IF(ISERROR(TER_rest_ele_kWh/1000),0,TER_rest_ele_kWh/1000)</f>
        <v>1505.6238330000001</v>
      </c>
      <c r="C32" s="39">
        <f>IF(ISERROR(B32*3.6/1000000/'E Balans VL '!Z8*100),0,B32*3.6/1000000/'E Balans VL '!Z8*100)</f>
        <v>1.2333763758719377E-2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1605.2464759999998</v>
      </c>
      <c r="C5" s="17">
        <f>IF(ISERROR('Eigen informatie GS &amp; warmtenet'!B61),0,'Eigen informatie GS &amp; warmtenet'!B61)</f>
        <v>0</v>
      </c>
      <c r="D5" s="30">
        <f>SUM(D6:D15)</f>
        <v>2144.6043408680002</v>
      </c>
      <c r="E5" s="17">
        <f>SUM(E6:E15)</f>
        <v>232.71848103712989</v>
      </c>
      <c r="F5" s="17">
        <f>SUM(F6:F15)</f>
        <v>730.34724353807962</v>
      </c>
      <c r="G5" s="18"/>
      <c r="H5" s="17"/>
      <c r="I5" s="17"/>
      <c r="J5" s="17">
        <f>SUM(J6:J15)</f>
        <v>11.193975107916977</v>
      </c>
      <c r="K5" s="17"/>
      <c r="L5" s="17"/>
      <c r="M5" s="17"/>
      <c r="N5" s="17">
        <f>SUM(N6:N15)</f>
        <v>82.836392856053266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75.559586999999993</v>
      </c>
      <c r="C8" s="33"/>
      <c r="D8" s="37">
        <f>IF( ISERROR(IND_metaal_Gas_kWH/1000),0,IND_metaal_Gas_kWH/1000)*0.902</f>
        <v>0</v>
      </c>
      <c r="E8" s="33">
        <f>C30*'E Balans VL '!I18/100/3.6*1000000</f>
        <v>0.54510938753043281</v>
      </c>
      <c r="F8" s="33">
        <f>C30*'E Balans VL '!L18/100/3.6*1000000+C30*'E Balans VL '!N18/100/3.6*1000000</f>
        <v>7.1465437090111603</v>
      </c>
      <c r="G8" s="34"/>
      <c r="H8" s="33"/>
      <c r="I8" s="33"/>
      <c r="J8" s="40">
        <f>C30*'E Balans VL '!D18/100/3.6*1000000+C30*'E Balans VL '!E18/100/3.6*1000000</f>
        <v>7.5998271696329694E-2</v>
      </c>
      <c r="K8" s="33"/>
      <c r="L8" s="33"/>
      <c r="M8" s="33"/>
      <c r="N8" s="33">
        <f>C30*'E Balans VL '!Y18/100/3.6*1000000</f>
        <v>0.9552730906107052</v>
      </c>
      <c r="O8" s="33"/>
      <c r="P8" s="33"/>
      <c r="R8" s="32"/>
    </row>
    <row r="9" spans="1:18">
      <c r="A9" s="6" t="s">
        <v>32</v>
      </c>
      <c r="B9" s="37">
        <f t="shared" si="0"/>
        <v>704.03683100000001</v>
      </c>
      <c r="C9" s="33"/>
      <c r="D9" s="37">
        <f>IF( ISERROR(IND_andere_gas_kWh/1000),0,IND_andere_gas_kWh/1000)*0.902</f>
        <v>1711.7359308500002</v>
      </c>
      <c r="E9" s="33">
        <f>C31*'E Balans VL '!I19/100/3.6*1000000</f>
        <v>195.09802002195642</v>
      </c>
      <c r="F9" s="33">
        <f>C31*'E Balans VL '!L19/100/3.6*1000000+C31*'E Balans VL '!N19/100/3.6*1000000</f>
        <v>583.50724696811744</v>
      </c>
      <c r="G9" s="34"/>
      <c r="H9" s="33"/>
      <c r="I9" s="33"/>
      <c r="J9" s="40">
        <f>C31*'E Balans VL '!D19/100/3.6*1000000+C31*'E Balans VL '!E19/100/3.6*1000000</f>
        <v>0</v>
      </c>
      <c r="K9" s="33"/>
      <c r="L9" s="33"/>
      <c r="M9" s="33"/>
      <c r="N9" s="33">
        <f>C31*'E Balans VL '!Y19/100/3.6*1000000</f>
        <v>51.104462627912191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42.484859999999998</v>
      </c>
      <c r="C13" s="33"/>
      <c r="D13" s="37">
        <f>IF( ISERROR(IND_papier_gas_kWh/1000),0,IND_papier_gas_kWh/1000)*0.902</f>
        <v>96.803402190000014</v>
      </c>
      <c r="E13" s="33">
        <f>C35*'E Balans VL '!I23/100/3.6*1000000</f>
        <v>6.2509817518707711E-2</v>
      </c>
      <c r="F13" s="33">
        <f>C35*'E Balans VL '!L23/100/3.6*1000000+C35*'E Balans VL '!N23/100/3.6*1000000</f>
        <v>0.45489841880016607</v>
      </c>
      <c r="G13" s="34"/>
      <c r="H13" s="33"/>
      <c r="I13" s="33"/>
      <c r="J13" s="40">
        <f>C35*'E Balans VL '!D23/100/3.6*1000000+C35*'E Balans VL '!E23/100/3.6*1000000</f>
        <v>4.6480819266278433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783.16519799999992</v>
      </c>
      <c r="C15" s="33"/>
      <c r="D15" s="37">
        <f>IF( ISERROR(IND_rest_gas_kWh/1000),0,IND_rest_gas_kWh/1000)*0.902</f>
        <v>336.06500782799998</v>
      </c>
      <c r="E15" s="33">
        <f>C37*'E Balans VL '!I15/100/3.6*1000000</f>
        <v>37.01284181012435</v>
      </c>
      <c r="F15" s="33">
        <f>C37*'E Balans VL '!L15/100/3.6*1000000+C37*'E Balans VL '!N15/100/3.6*1000000</f>
        <v>139.23855444215073</v>
      </c>
      <c r="G15" s="34"/>
      <c r="H15" s="33"/>
      <c r="I15" s="33"/>
      <c r="J15" s="40">
        <f>C37*'E Balans VL '!D15/100/3.6*1000000+C37*'E Balans VL '!E15/100/3.6*1000000</f>
        <v>6.4698949095928029</v>
      </c>
      <c r="K15" s="33"/>
      <c r="L15" s="33"/>
      <c r="M15" s="33"/>
      <c r="N15" s="33">
        <f>C37*'E Balans VL '!Y15/100/3.6*1000000</f>
        <v>30.776657137530371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1605.2464759999998</v>
      </c>
      <c r="C18" s="21">
        <f>C5+C16</f>
        <v>0</v>
      </c>
      <c r="D18" s="21">
        <f>MAX((D5+D16),0)</f>
        <v>2144.6043408680002</v>
      </c>
      <c r="E18" s="21">
        <f>MAX((E5+E16),0)</f>
        <v>232.71848103712989</v>
      </c>
      <c r="F18" s="21">
        <f>MAX((F5+F16),0)</f>
        <v>730.34724353807962</v>
      </c>
      <c r="G18" s="21"/>
      <c r="H18" s="21"/>
      <c r="I18" s="21"/>
      <c r="J18" s="21">
        <f>MAX((J5+J16),0)</f>
        <v>11.193975107916977</v>
      </c>
      <c r="K18" s="21"/>
      <c r="L18" s="21">
        <f>MAX((L5+L16),0)</f>
        <v>0</v>
      </c>
      <c r="M18" s="21"/>
      <c r="N18" s="21">
        <f>MAX((N5+N16),0)</f>
        <v>82.836392856053266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0.2152071914411442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345.46058567075403</v>
      </c>
      <c r="C22" s="23">
        <f ca="1">C18*C20</f>
        <v>0</v>
      </c>
      <c r="D22" s="23">
        <f>D18*D20</f>
        <v>433.21007685533607</v>
      </c>
      <c r="E22" s="23">
        <f>E18*E20</f>
        <v>52.827095195428484</v>
      </c>
      <c r="F22" s="23">
        <f>F18*F20</f>
        <v>195.00271402466728</v>
      </c>
      <c r="G22" s="23"/>
      <c r="H22" s="23"/>
      <c r="I22" s="23"/>
      <c r="J22" s="23">
        <f>J18*J20</f>
        <v>3.9626671882026097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75.559586999999993</v>
      </c>
      <c r="C30" s="39">
        <f>IF(ISERROR(B30*3.6/1000000/'E Balans VL '!Z18*100),0,B30*3.6/1000000/'E Balans VL '!Z18*100)</f>
        <v>4.3619370582846451E-3</v>
      </c>
      <c r="D30" s="237" t="s">
        <v>708</v>
      </c>
    </row>
    <row r="31" spans="1:18">
      <c r="A31" s="6" t="s">
        <v>32</v>
      </c>
      <c r="B31" s="37">
        <f>IF( ISERROR(IND_ander_ele_kWh/1000),0,IND_ander_ele_kWh/1000)</f>
        <v>704.03683100000001</v>
      </c>
      <c r="C31" s="39">
        <f>IF(ISERROR(B31*3.6/1000000/'E Balans VL '!Z19*100),0,B31*3.6/1000000/'E Balans VL '!Z19*100)</f>
        <v>3.54107705522754E-2</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42.484859999999998</v>
      </c>
      <c r="C35" s="39">
        <f>IF(ISERROR(B35*3.6/1000000/'E Balans VL '!Z22*100),0,B35*3.6/1000000/'E Balans VL '!Z22*100)</f>
        <v>7.9248613738525375E-3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783.16519799999992</v>
      </c>
      <c r="C37" s="39">
        <f>IF(ISERROR(B37*3.6/1000000/'E Balans VL '!Z15*100),0,B37*3.6/1000000/'E Balans VL '!Z15*100)</f>
        <v>6.1108302123798093E-3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95.881236000000001</v>
      </c>
      <c r="C5" s="17">
        <f>'Eigen informatie GS &amp; warmtenet'!B62</f>
        <v>0</v>
      </c>
      <c r="D5" s="30">
        <f>IF(ISERROR(SUM(LB_lb_gas_kWh,LB_rest_gas_kWh)/1000),0,SUM(LB_lb_gas_kWh,LB_rest_gas_kWh)/1000)*0.902</f>
        <v>48.017815757999998</v>
      </c>
      <c r="E5" s="17">
        <f>B17*'E Balans VL '!I25/3.6*1000000/100</f>
        <v>2.9924217578289807</v>
      </c>
      <c r="F5" s="17">
        <f>B17*('E Balans VL '!L25/3.6*1000000+'E Balans VL '!N25/3.6*1000000)/100</f>
        <v>338.85490946080029</v>
      </c>
      <c r="G5" s="18"/>
      <c r="H5" s="17"/>
      <c r="I5" s="17"/>
      <c r="J5" s="17">
        <f>('E Balans VL '!D25+'E Balans VL '!E25)/3.6*1000000*landbouw!B17/100</f>
        <v>26.415945448544257</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95.881236000000001</v>
      </c>
      <c r="C8" s="21">
        <f>C5+C6</f>
        <v>0</v>
      </c>
      <c r="D8" s="21">
        <f>MAX((D5+D6),0)</f>
        <v>48.017815757999998</v>
      </c>
      <c r="E8" s="21">
        <f>MAX((E5+E6),0)</f>
        <v>2.9924217578289807</v>
      </c>
      <c r="F8" s="21">
        <f>MAX((F5+F6),0)</f>
        <v>338.85490946080029</v>
      </c>
      <c r="G8" s="21"/>
      <c r="H8" s="21"/>
      <c r="I8" s="21"/>
      <c r="J8" s="21">
        <f>MAX((J5+J6),0)</f>
        <v>26.415945448544257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0.2152071914411442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20.634331511465525</v>
      </c>
      <c r="C12" s="23">
        <f ca="1">C8*C10</f>
        <v>0</v>
      </c>
      <c r="D12" s="23">
        <f>D8*D10</f>
        <v>9.6995987831160004</v>
      </c>
      <c r="E12" s="23">
        <f>E8*E10</f>
        <v>0.67927973902717864</v>
      </c>
      <c r="F12" s="23">
        <f>F8*F10</f>
        <v>90.474260826033685</v>
      </c>
      <c r="G12" s="23"/>
      <c r="H12" s="23"/>
      <c r="I12" s="23"/>
      <c r="J12" s="23">
        <f>J8*J10</f>
        <v>9.3512446887846661</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1.4253433073206163E-2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43.961835192671458</v>
      </c>
      <c r="C26" s="247">
        <f>B26*'GWP N2O_CH4'!B5</f>
        <v>923.19853904610068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4.3024289507186149</v>
      </c>
      <c r="C27" s="247">
        <f>B27*'GWP N2O_CH4'!B5</f>
        <v>90.351007965090915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0.58500224736229178</v>
      </c>
      <c r="C28" s="247">
        <f>B28*'GWP N2O_CH4'!B4</f>
        <v>181.35069668231046</v>
      </c>
      <c r="D28" s="50"/>
    </row>
    <row r="29" spans="1:4">
      <c r="A29" s="41" t="s">
        <v>276</v>
      </c>
      <c r="B29" s="247">
        <f>B34*'ha_N2O bodem landbouw'!B4</f>
        <v>2.827475838599943</v>
      </c>
      <c r="C29" s="247">
        <f>B29*'GWP N2O_CH4'!B4</f>
        <v>876.5175099659823</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6.2001454384714061E-4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1.8241134154165501E-4</v>
      </c>
      <c r="C5" s="437" t="s">
        <v>210</v>
      </c>
      <c r="D5" s="422">
        <f>SUM(D6:D11)</f>
        <v>8.3007346337047011E-4</v>
      </c>
      <c r="E5" s="422">
        <f>SUM(E6:E11)</f>
        <v>6.8464390022231919E-4</v>
      </c>
      <c r="F5" s="435" t="s">
        <v>210</v>
      </c>
      <c r="G5" s="422">
        <f>SUM(G6:G11)</f>
        <v>0.22732264659447093</v>
      </c>
      <c r="H5" s="422">
        <f>SUM(H6:H11)</f>
        <v>7.6834812806949468E-2</v>
      </c>
      <c r="I5" s="437" t="s">
        <v>210</v>
      </c>
      <c r="J5" s="437" t="s">
        <v>210</v>
      </c>
      <c r="K5" s="437" t="s">
        <v>210</v>
      </c>
      <c r="L5" s="437" t="s">
        <v>210</v>
      </c>
      <c r="M5" s="422">
        <f>SUM(M6:M11)</f>
        <v>1.8190576527632039E-2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7.4007026354770699E-5</v>
      </c>
      <c r="C6" s="423"/>
      <c r="D6" s="890">
        <f>vkm_GW_PW*SUMIFS(TableVerdeelsleutelVkm[CNG],TableVerdeelsleutelVkm[Voertuigtype],"Lichte voertuigen")*SUMIFS(TableECFTransport[EnergieConsumptieFactor (PJ per km)],TableECFTransport[Index],CONCATENATE($A6,"_CNG_CNG"))</f>
        <v>2.3840641265109126E-4</v>
      </c>
      <c r="E6" s="890">
        <f>vkm_GW_PW*SUMIFS(TableVerdeelsleutelVkm[LPG],TableVerdeelsleutelVkm[Voertuigtype],"Lichte voertuigen")*SUMIFS(TableECFTransport[EnergieConsumptieFactor (PJ per km)],TableECFTransport[Index],CONCATENATE($A6,"_LPG_LPG"))</f>
        <v>2.0387958715138303E-4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6.5863186322942621E-2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2.233380254239151E-2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5.2752103326999082E-3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2.9136279730464024E-3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4.16622639057903E-8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1.6794852746954627E-4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1.0840431518688431E-4</v>
      </c>
      <c r="C8" s="423"/>
      <c r="D8" s="425">
        <f>vkm_NGW_PW*SUMIFS(TableVerdeelsleutelVkm[CNG],TableVerdeelsleutelVkm[Voertuigtype],"Lichte voertuigen")*SUMIFS(TableECFTransport[EnergieConsumptieFactor (PJ per km)],TableECFTransport[Index],CONCATENATE($A8,"_CNG_CNG"))</f>
        <v>5.9166705071937882E-4</v>
      </c>
      <c r="E8" s="425">
        <f>vkm_NGW_PW*SUMIFS(TableVerdeelsleutelVkm[LPG],TableVerdeelsleutelVkm[Voertuigtype],"Lichte voertuigen")*SUMIFS(TableECFTransport[EnergieConsumptieFactor (PJ per km)],TableECFTransport[Index],CONCATENATE($A8,"_LPG_LPG"))</f>
        <v>4.807643130709361E-4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0.14512837703317563</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5.4500725345749193E-2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1.1973999856146264E-2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1.3417455265306273E-2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2.4325654486816163E-7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7.7341781131632281E-4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50.669817094904168</v>
      </c>
      <c r="C14" s="21"/>
      <c r="D14" s="21">
        <f t="shared" ref="D14:M14" si="0">((D5)*10^9/3600)+D12</f>
        <v>230.57596204735282</v>
      </c>
      <c r="E14" s="21">
        <f t="shared" si="0"/>
        <v>190.17886117286645</v>
      </c>
      <c r="F14" s="21"/>
      <c r="G14" s="21">
        <f t="shared" si="0"/>
        <v>63145.179609575265</v>
      </c>
      <c r="H14" s="21">
        <f t="shared" si="0"/>
        <v>21343.003557485961</v>
      </c>
      <c r="I14" s="21"/>
      <c r="J14" s="21"/>
      <c r="K14" s="21"/>
      <c r="L14" s="21"/>
      <c r="M14" s="21">
        <f t="shared" si="0"/>
        <v>5052.9379243422327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0.2152071914411442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10.904509027830802</v>
      </c>
      <c r="C18" s="23"/>
      <c r="D18" s="23">
        <f t="shared" ref="D18:M18" si="1">D14*D16</f>
        <v>46.576344333565274</v>
      </c>
      <c r="E18" s="23">
        <f t="shared" si="1"/>
        <v>43.170601486240685</v>
      </c>
      <c r="F18" s="23"/>
      <c r="G18" s="23">
        <f t="shared" si="1"/>
        <v>16859.762955756596</v>
      </c>
      <c r="H18" s="23">
        <f t="shared" si="1"/>
        <v>5314.4078858140047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6.0248230879489202E-3</v>
      </c>
      <c r="H50" s="319">
        <f t="shared" si="2"/>
        <v>0</v>
      </c>
      <c r="I50" s="319">
        <f t="shared" si="2"/>
        <v>0</v>
      </c>
      <c r="J50" s="319">
        <f t="shared" si="2"/>
        <v>0</v>
      </c>
      <c r="K50" s="319">
        <f t="shared" si="2"/>
        <v>0</v>
      </c>
      <c r="L50" s="319">
        <f t="shared" si="2"/>
        <v>0</v>
      </c>
      <c r="M50" s="319">
        <f t="shared" si="2"/>
        <v>3.348076503838368E-4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6.0248230879489202E-3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3.348076503838368E-4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1673.5619688747001</v>
      </c>
      <c r="H54" s="21">
        <f t="shared" si="3"/>
        <v>0</v>
      </c>
      <c r="I54" s="21">
        <f t="shared" si="3"/>
        <v>0</v>
      </c>
      <c r="J54" s="21">
        <f t="shared" si="3"/>
        <v>0</v>
      </c>
      <c r="K54" s="21">
        <f t="shared" si="3"/>
        <v>0</v>
      </c>
      <c r="L54" s="21">
        <f t="shared" si="3"/>
        <v>0</v>
      </c>
      <c r="M54" s="21">
        <f t="shared" si="3"/>
        <v>93.002125106621335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0.2152071914411442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446.84104568954496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1428.3357232969461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1428.3357232969461</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2020-06-20T15:31:07Z</dcterms:modified>
</cp:coreProperties>
</file>