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E27" i="14"/>
  <c r="B15" i="48"/>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8" i="15"/>
  <c r="C20" i="15" s="1"/>
  <c r="D40" i="14" s="1"/>
  <c r="C10" i="13"/>
  <c r="C12" i="13" s="1"/>
  <c r="C29" i="20"/>
  <c r="C56" i="22"/>
  <c r="C58" i="22" s="1"/>
  <c r="D49" i="14" s="1"/>
  <c r="D52" i="14" s="1"/>
  <c r="C20" i="16"/>
  <c r="C22" i="16" s="1"/>
  <c r="D43" i="14" s="1"/>
  <c r="C10" i="17"/>
  <c r="C12" i="17" s="1"/>
  <c r="D54" i="14" s="1"/>
  <c r="D56" i="14" s="1"/>
  <c r="C17" i="19"/>
  <c r="C19" i="19" s="1"/>
  <c r="D39" i="14" s="1"/>
  <c r="C22" i="59"/>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26" i="48"/>
  <c r="C22" i="48"/>
  <c r="C23" i="48"/>
  <c r="F27" i="14"/>
  <c r="F63" i="14" s="1"/>
  <c r="C78" i="14"/>
  <c r="B78" i="14"/>
  <c r="C31" i="48" l="1"/>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<sst xmlns="http://schemas.openxmlformats.org/spreadsheetml/2006/main" count="2411" uniqueCount="894">
  <si>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</si>
  <si>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</si>
  <si>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</si>
  <si>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</si>
  <si>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</si>
  <si>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</si>
  <si>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</si>
  <si>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</si>
  <si>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</si>
  <si>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</si>
  <si>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</si>
  <si>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</si>
  <si>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</si>
  <si>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</si>
  <si>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</si>
  <si>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</si>
  <si>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</si>
  <si>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</si>
  <si>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</si>
  <si>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</si>
  <si>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</si>
  <si>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</si>
  <si>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</si>
  <si>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</si>
  <si>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</si>
  <si>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</si>
  <si>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</si>
  <si>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</si>
  <si>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</si>
  <si>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</si>
  <si>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</si>
  <si>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</si>
  <si>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</si>
  <si>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</si>
  <si>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</si>
  <si>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</si>
  <si>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</si>
  <si>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</si>
  <si>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</si>
  <si>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</si>
  <si>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</si>
  <si>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</si>
  <si>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</si>
  <si>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</si>
  <si>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</si>
  <si>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</si>
  <si>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</si>
  <si>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</si>
  <si>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</si>
  <si>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</si>
  <si>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</si>
  <si>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</si>
  <si>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</si>
  <si>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</si>
  <si>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</si>
  <si>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</si>
  <si>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</si>
  <si>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</si>
  <si>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</si>
  <si>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</si>
  <si>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</si>
  <si>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</si>
  <si>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</si>
  <si>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</si>
  <si>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</si>
  <si>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</si>
  <si>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</si>
  <si>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</si>
  <si>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</si>
  <si>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</si>
  <si>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</si>
  <si>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</si>
  <si>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</si>
  <si>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</si>
  <si>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</si>
  <si>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</si>
  <si>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</si>
  <si>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</si>
  <si>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</si>
  <si>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</si>
  <si>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</si>
  <si>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</si>
  <si>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</si>
  <si>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</si>
  <si>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</si>
  <si>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</si>
  <si>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</si>
  <si>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</si>
  <si>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</si>
  <si>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</si>
  <si>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</si>
  <si>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</si>
  <si>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</si>
  <si>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</si>
  <si>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</si>
  <si>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</si>
  <si>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</si>
  <si>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</si>
  <si>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</si>
  <si>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</si>
  <si>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</si>
  <si>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</si>
  <si>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</si>
  <si>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</si>
  <si>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</si>
  <si>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</si>
  <si>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</si>
  <si>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</si>
  <si>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</si>
  <si>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</si>
  <si>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</si>
  <si>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</si>
  <si>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</si>
  <si>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</si>
  <si>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</si>
  <si>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</si>
  <si>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</si>
  <si>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</si>
  <si>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</si>
  <si>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</si>
  <si>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</si>
  <si>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</si>
  <si>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</si>
  <si>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</si>
  <si>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</si>
  <si>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</si>
  <si>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</si>
  <si>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</si>
  <si>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</si>
  <si>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</si>
  <si>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</si>
  <si>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</si>
  <si>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</si>
  <si>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</si>
  <si>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</si>
  <si>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</si>
  <si>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</si>
  <si>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</si>
  <si>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</si>
  <si>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</si>
  <si>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</si>
  <si>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</si>
  <si>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</si>
  <si>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</si>
  <si>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</si>
  <si>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</si>
  <si>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</si>
  <si>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</si>
  <si>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</si>
  <si>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</si>
  <si>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</si>
  <si>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</si>
  <si>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</si>
  <si>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</si>
  <si>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</si>
  <si>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</si>
  <si>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</si>
  <si>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</si>
  <si>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</si>
  <si>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</si>
  <si>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</si>
  <si>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</si>
  <si>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</si>
  <si>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</si>
  <si>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</si>
  <si>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</si>
  <si>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</si>
  <si>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</si>
  <si>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</si>
  <si>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</si>
  <si>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</si>
  <si>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</si>
  <si>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</si>
  <si>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</si>
  <si>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</si>
  <si>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</si>
  <si>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</si>
  <si>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</si>
  <si>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</si>
  <si>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</si>
  <si>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</si>
  <si>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</si>
  <si>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</si>
  <si>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</si>
  <si>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</si>
  <si>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</si>
  <si>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</si>
  <si>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</si>
  <si>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</si>
  <si>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</si>
  <si>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</si>
  <si>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</si>
  <si>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</si>
  <si>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</si>
  <si>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</si>
  <si>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</si>
  <si>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</si>
  <si>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</si>
  <si>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</si>
  <si>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</si>
  <si>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</si>
  <si>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</si>
  <si>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</si>
  <si>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</si>
  <si>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</si>
  <si>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</si>
  <si>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</si>
  <si>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</si>
  <si>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</si>
  <si>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</si>
  <si>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</si>
  <si>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</si>
  <si>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</si>
  <si>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</si>
  <si>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</si>
  <si>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</si>
  <si>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</si>
  <si>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</si>
  <si>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</si>
  <si>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</si>
  <si>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</si>
  <si>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</si>
  <si>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</si>
  <si>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</si>
  <si>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</si>
  <si>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</si>
  <si>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</si>
  <si>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</si>
  <si>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</si>
  <si>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</si>
  <si>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</si>
  <si>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</si>
  <si>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</si>
  <si>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</si>
  <si>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</si>
  <si>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</si>
  <si>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</si>
  <si>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</si>
  <si>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</si>
  <si>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</si>
  <si>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</si>
  <si>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</si>
  <si>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</si>
  <si>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</si>
  <si>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</si>
  <si>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</si>
  <si>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</si>
  <si>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</si>
  <si>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</si>
  <si>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</si>
  <si>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</si>
  <si>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</si>
  <si>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</si>
  <si>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</si>
  <si>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</si>
  <si>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</si>
  <si>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</si>
  <si>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</si>
  <si>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</si>
  <si>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</si>
  <si>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</si>
  <si>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</si>
  <si>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</si>
  <si>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</si>
  <si>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</si>
  <si>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</si>
  <si>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</si>
  <si>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</si>
  <si>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</si>
  <si>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</si>
  <si>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</si>
  <si>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</si>
  <si>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</si>
  <si>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</si>
  <si>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</si>
  <si>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</si>
  <si>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</si>
  <si>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</si>
  <si>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</si>
  <si>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</si>
  <si>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</si>
  <si>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</si>
  <si>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</si>
  <si>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</si>
  <si>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</si>
  <si>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</si>
  <si>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</si>
  <si>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</si>
  <si>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</si>
  <si>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</si>
  <si>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</si>
  <si>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</si>
  <si>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</si>
  <si>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</si>
  <si>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</si>
  <si>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</si>
  <si>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</si>
  <si>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</si>
  <si>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</si>
  <si>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</si>
  <si>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</si>
  <si>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</si>
  <si>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</si>
  <si>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</si>
  <si>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</si>
  <si>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</si>
  <si>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</si>
  <si>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</si>
  <si>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</si>
  <si>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</si>
  <si>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</si>
  <si>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</si>
  <si>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</si>
  <si>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</si>
  <si>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</si>
  <si>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</si>
  <si>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</si>
  <si>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</si>
  <si>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</si>
  <si>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</si>
  <si>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</si>
  <si>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</si>
  <si>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</si>
  <si>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</si>
  <si>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</si>
  <si>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</si>
  <si>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</si>
  <si>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</si>
  <si>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</si>
  <si>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</si>
  <si>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</si>
  <si>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</si>
  <si>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</si>
  <si>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</si>
  <si>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</si>
  <si>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</si>
  <si>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</si>
  <si>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</si>
  <si>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</si>
  <si>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</si>
  <si>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</si>
  <si>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</si>
  <si>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</si>
  <si>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</si>
  <si>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</si>
  <si>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</si>
  <si>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</si>
  <si>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</si>
  <si>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</si>
  <si>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</si>
  <si>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</si>
  <si>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</si>
  <si>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</si>
  <si>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</si>
  <si>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</si>
  <si>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</si>
  <si>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</si>
  <si>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</si>
  <si>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</si>
  <si>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</si>
  <si>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</si>
  <si>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</si>
  <si>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</si>
  <si>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</si>
  <si>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</si>
  <si>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</si>
  <si>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</si>
  <si>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</si>
  <si>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</si>
  <si>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</si>
  <si>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</si>
  <si>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</si>
  <si>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</si>
  <si>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</si>
  <si>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</si>
  <si>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</si>
  <si>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</si>
  <si>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</si>
  <si>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</si>
  <si>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</si>
  <si>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</si>
  <si>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</si>
  <si>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</si>
  <si>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</si>
  <si>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</si>
  <si>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</si>
  <si>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</si>
  <si>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</si>
  <si>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</si>
  <si>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</si>
  <si>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</si>
  <si>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</si>
  <si>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</si>
  <si>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</si>
  <si>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</si>
  <si>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</si>
  <si>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</si>
  <si>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</si>
  <si>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</si>
  <si>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</si>
  <si>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</si>
  <si>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</si>
  <si>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</si>
  <si>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</si>
  <si>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</si>
  <si>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</si>
  <si>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</si>
  <si>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</si>
  <si>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</si>
  <si>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</si>
  <si>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</si>
  <si>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</si>
  <si>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</si>
  <si>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</si>
  <si>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</si>
  <si>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</si>
  <si>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</si>
  <si>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</si>
  <si>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</si>
  <si>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</si>
  <si>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</si>
  <si>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</si>
  <si>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</si>
  <si>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</si>
  <si>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</si>
  <si>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</si>
  <si>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</si>
  <si>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</si>
  <si>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</si>
  <si>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</si>
  <si>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</si>
  <si>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</si>
  <si>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</si>
  <si>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</si>
  <si>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</si>
  <si>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</si>
  <si>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</si>
  <si>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</si>
  <si>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</si>
  <si>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</si>
  <si>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</si>
  <si>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</si>
  <si>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</si>
  <si>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</si>
  <si>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</si>
  <si>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</si>
  <si>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</si>
  <si>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</si>
  <si>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</si>
  <si>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</si>
  <si>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</si>
  <si>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</si>
  <si>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</si>
  <si>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</si>
  <si>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</si>
  <si>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</si>
  <si>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</si>
  <si>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</si>
  <si>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</si>
  <si>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</si>
  <si>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</si>
  <si>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</si>
  <si>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</si>
  <si>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</si>
  <si>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</si>
  <si>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</si>
  <si>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</si>
  <si>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</si>
  <si>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</si>
  <si>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</si>
  <si>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</si>
  <si>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</si>
  <si>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</si>
  <si>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</si>
  <si>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</si>
  <si>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</si>
  <si>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</si>
  <si>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</si>
  <si>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</si>
  <si>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</si>
  <si>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</si>
  <si>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</si>
  <si>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</si>
  <si>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</si>
  <si>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</si>
  <si>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</si>
  <si>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</si>
  <si>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</si>
  <si>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</si>
  <si>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</si>
  <si>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</si>
  <si>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</si>
  <si>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</si>
  <si>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</si>
  <si>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</si>
  <si>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</si>
  <si>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</si>
  <si>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</si>
  <si>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</si>
  <si>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</si>
  <si>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</si>
  <si>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</si>
  <si>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</si>
  <si>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</si>
  <si>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</si>
  <si>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</si>
  <si>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</si>
  <si>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</si>
  <si>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</si>
  <si>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</si>
  <si>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</si>
  <si>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</si>
  <si>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</si>
  <si>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</si>
  <si>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</si>
  <si>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</si>
  <si>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</si>
  <si>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</si>
  <si>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</si>
  <si>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</si>
  <si>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</si>
  <si>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</si>
  <si>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</si>
  <si>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</si>
  <si>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</si>
  <si>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</si>
  <si>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</si>
  <si>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</si>
  <si>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</si>
  <si>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</si>
  <si>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</si>
  <si>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</si>
  <si>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</si>
  <si>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</si>
  <si>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</si>
  <si>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</si>
  <si>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</si>
  <si>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</si>
  <si>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</si>
  <si>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</si>
  <si>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</si>
  <si>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</si>
  <si>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</si>
  <si>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</si>
  <si>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</si>
  <si>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</si>
  <si>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</si>
  <si>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</si>
  <si>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</si>
  <si>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</si>
  <si>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</si>
  <si>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</si>
  <si>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</si>
  <si>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</si>
  <si>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</si>
  <si>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</si>
  <si>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</si>
  <si>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</si>
  <si>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</si>
  <si>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</si>
  <si>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</si>
  <si>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</si>
  <si>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</si>
  <si>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</si>
  <si>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</si>
  <si>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</si>
  <si>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</si>
  <si>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</si>
  <si>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</si>
  <si>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</si>
  <si>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</si>
  <si>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</si>
  <si>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</si>
  <si>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</si>
  <si>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</si>
  <si>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</si>
  <si>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</si>
  <si>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</si>
  <si>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</si>
  <si>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</si>
  <si>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</si>
  <si>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</si>
  <si>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</si>
  <si>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</si>
  <si>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</si>
  <si>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</si>
  <si>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</si>
  <si>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</si>
  <si>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</si>
  <si>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</si>
  <si>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</si>
  <si>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</si>
  <si>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</si>
  <si>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</si>
  <si>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</si>
  <si>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</si>
  <si>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</si>
  <si>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</si>
  <si>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</si>
  <si>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</si>
  <si>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</si>
  <si>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</si>
  <si>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</si>
  <si>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</si>
  <si>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</si>
  <si>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</si>
  <si>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</si>
  <si>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</si>
  <si>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</si>
  <si>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</si>
  <si>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</si>
  <si>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</si>
  <si>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</si>
  <si>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</si>
  <si>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</si>
  <si>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</si>
  <si>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</si>
  <si>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</si>
  <si>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</si>
  <si>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</si>
  <si>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</si>
  <si>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</si>
  <si>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</si>
  <si>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</si>
  <si>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</si>
  <si>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</si>
  <si>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</si>
  <si>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</si>
  <si>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</si>
  <si>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</si>
  <si>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</si>
  <si>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</si>
  <si>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</si>
  <si>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</si>
  <si>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</si>
  <si>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</si>
  <si>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</si>
  <si>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</si>
  <si>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</si>
  <si>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</si>
  <si>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</si>
  <si>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</si>
  <si>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</si>
  <si>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</si>
  <si>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</si>
  <si>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</si>
  <si>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</si>
  <si>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</si>
  <si>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</si>
  <si>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</si>
  <si>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</si>
  <si>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</si>
  <si>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</si>
  <si>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</si>
  <si>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</si>
  <si>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</si>
  <si>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</si>
  <si>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</si>
  <si>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</si>
  <si>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</si>
  <si>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</si>
  <si>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</si>
  <si>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</si>
  <si>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</si>
  <si>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</si>
  <si>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</si>
  <si>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</si>
  <si>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</si>
  <si>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</si>
  <si>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</si>
  <si>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</si>
  <si>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</si>
  <si>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</si>
  <si>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</si>
  <si>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</si>
  <si>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</si>
  <si>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</si>
  <si>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</si>
  <si>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</si>
  <si>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</si>
  <si>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</si>
  <si>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</si>
  <si>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</si>
  <si>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</si>
  <si>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</si>
  <si>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</si>
  <si>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</si>
  <si>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</si>
  <si>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</si>
  <si>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</si>
  <si>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</si>
  <si>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</si>
  <si>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</si>
  <si>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</si>
  <si>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</si>
  <si>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</si>
  <si>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</si>
  <si>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</si>
  <si>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</si>
  <si>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</si>
  <si>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</si>
  <si>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</si>
  <si>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</si>
  <si>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</si>
  <si>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</si>
  <si>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</si>
  <si>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</si>
  <si>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</si>
  <si>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</si>
  <si>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</si>
  <si>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</si>
  <si>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</si>
  <si>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</si>
  <si>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</si>
  <si>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</si>
  <si>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</si>
  <si>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</si>
  <si>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</si>
  <si>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</si>
  <si>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</si>
  <si>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</si>
  <si>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</si>
  <si>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</si>
  <si>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</si>
  <si>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</si>
  <si>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</si>
  <si>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</si>
  <si>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</si>
  <si>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</si>
  <si>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</si>
  <si>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</si>
  <si>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</si>
  <si>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</si>
  <si>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</si>
  <si>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</si>
  <si>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</si>
  <si>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</si>
  <si>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</si>
  <si>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</si>
  <si>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</si>
  <si>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</si>
  <si>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</si>
  <si>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</si>
  <si>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</si>
  <si>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</si>
  <si>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</si>
  <si>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</si>
  <si>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</si>
  <si>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</si>
  <si>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</si>
  <si>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</si>
  <si>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</si>
  <si>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</si>
  <si>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</si>
  <si>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</si>
  <si>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</si>
  <si>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</si>
  <si>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</si>
  <si>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</si>
  <si>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</si>
  <si>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</si>
  <si>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</si>
  <si>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</si>
  <si>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</si>
  <si>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</si>
  <si>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</si>
  <si>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</si>
  <si>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</si>
  <si>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</si>
  <si>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</si>
  <si>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</si>
  <si>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</si>
  <si>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</si>
  <si>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</si>
  <si>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</si>
  <si>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</si>
  <si>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</si>
  <si>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</si>
  <si>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</si>
  <si>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</si>
  <si>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</si>
  <si>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</si>
  <si>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</si>
  <si>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</si>
  <si>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</si>
  <si>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</si>
  <si>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</si>
  <si>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</si>
  <si>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</si>
  <si>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</si>
  <si>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</si>
  <si>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</si>
  <si>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</si>
  <si>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</si>
  <si>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</si>
  <si>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</si>
  <si>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</si>
  <si>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</si>
  <si>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</si>
  <si>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</si>
  <si>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</si>
  <si>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</si>
  <si>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</si>
  <si>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</si>
  <si>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</si>
  <si>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</si>
  <si>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</si>
  <si>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</si>
  <si>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</si>
  <si>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</si>
  <si>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</si>
  <si>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</si>
  <si>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</si>
  <si>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</si>
  <si>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</si>
  <si>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</si>
  <si>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</si>
  <si>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</si>
  <si>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</si>
  <si>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</si>
  <si>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</si>
  <si>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</si>
  <si>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</si>
  <si>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</si>
  <si>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</si>
  <si>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</si>
  <si>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</si>
  <si>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</si>
  <si>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</si>
  <si>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</si>
  <si>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</si>
  <si>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</si>
  <si>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</si>
  <si>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</si>
  <si>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</si>
  <si>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</si>
  <si>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</si>
  <si>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</si>
  <si>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</si>
  <si>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</si>
  <si>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</si>
  <si>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</si>
  <si>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</si>
  <si>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</si>
  <si>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</si>
  <si>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</si>
  <si>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</si>
  <si>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</si>
  <si>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</si>
  <si>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</si>
  <si>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</si>
  <si>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</si>
  <si>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</si>
  <si>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</si>
  <si>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</si>
  <si>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</si>
  <si>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</si>
  <si>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</si>
  <si>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</si>
  <si>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</si>
  <si>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</si>
  <si>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</si>
  <si>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</si>
  <si>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</si>
  <si>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</si>
  <si>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</si>
  <si>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</si>
  <si>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</si>
  <si>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</si>
  <si>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</si>
  <si>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</si>
  <si>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</si>
  <si>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</si>
  <si>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</si>
  <si>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</si>
  <si>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</si>
  <si>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</si>
  <si>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</si>
  <si>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</si>
  <si>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</si>
  <si>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</si>
  <si>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</si>
  <si>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</si>
  <si>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</si>
  <si>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</si>
  <si>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23050</t>
  </si>
  <si>
    <t>MEISE</t>
  </si>
  <si>
    <t>referentietaak LNE (2017); Jaarverslag De Lijn</t>
  </si>
  <si>
    <t>Eric Vanden Breede</t>
  </si>
  <si>
    <t>Strooistraat 22 , 1860 Meise</t>
  </si>
  <si>
    <t>WKK-0656 Eric Vanden Breede</t>
  </si>
  <si>
    <t>brandstofcel</t>
  </si>
  <si>
    <t>SIBELGAS</t>
  </si>
  <si>
    <t>andere industrie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</si>
</sst>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150522.45308527874</c:v>
                </c:pt>
                <c:pt idx="1">
                  <c:v>48385.229601509163</c:v>
                </c:pt>
                <c:pt idx="2">
                  <c:v>2017.6389999999999</c:v>
                </c:pt>
                <c:pt idx="3">
                  <c:v>4704.3379089999162</c:v>
                </c:pt>
                <c:pt idx="4">
                  <c:v>11372.217688911032</c:v>
                </c:pt>
                <c:pt idx="5">
                  <c:v>269451.70786241657</c:v>
                </c:pt>
                <c:pt idx="6">
                  <c:v>4697.4147821131992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150522.45308527874</c:v>
                </c:pt>
                <c:pt idx="1">
                  <c:v>48385.229601509163</c:v>
                </c:pt>
                <c:pt idx="2">
                  <c:v>2017.6389999999999</c:v>
                </c:pt>
                <c:pt idx="3">
                  <c:v>4704.3379089999162</c:v>
                </c:pt>
                <c:pt idx="4">
                  <c:v>11372.217688911032</c:v>
                </c:pt>
                <c:pt idx="5">
                  <c:v>269451.70786241657</c:v>
                </c:pt>
                <c:pt idx="6">
                  <c:v>4697.4147821131992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30489.868716263776</c:v>
                </c:pt>
                <c:pt idx="1">
                  <c:v>9487.6137509908003</c:v>
                </c:pt>
                <c:pt idx="2">
                  <c:v>415.70633884247786</c:v>
                </c:pt>
                <c:pt idx="3">
                  <c:v>1187.0412228281623</c:v>
                </c:pt>
                <c:pt idx="4">
                  <c:v>2426.210061626165</c:v>
                </c:pt>
                <c:pt idx="5">
                  <c:v>67032.302658481291</c:v>
                </c:pt>
                <c:pt idx="6">
                  <c:v>1188.1809102926222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30489.868716263776</c:v>
                </c:pt>
                <c:pt idx="1">
                  <c:v>9487.6137509908003</c:v>
                </c:pt>
                <c:pt idx="2">
                  <c:v>415.70633884247786</c:v>
                </c:pt>
                <c:pt idx="3">
                  <c:v>1187.0412228281623</c:v>
                </c:pt>
                <c:pt idx="4">
                  <c:v>2426.210061626165</c:v>
                </c:pt>
                <c:pt idx="5">
                  <c:v>67032.302658481291</c:v>
                </c:pt>
                <c:pt idx="6">
                  <c:v>1188.1809102926222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23050</v>
      </c>
      <c r="B6" s="390"/>
      <c r="C6" s="391"/>
    </row>
    <row r="7" spans="1:7" s="388" customFormat="1" ht="15.75" customHeight="1">
      <c r="A7" s="392" t="str">
        <f>txtMunicipality</f>
        <v>MEISE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0.20603603461396111</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0.20603603461396111</v>
      </c>
      <c r="C29" s="502">
        <f ca="1">'EF ele_warmte'!B22</f>
        <v>0.22444444444444442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7660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1792.25</v>
      </c>
      <c r="C14" s="330"/>
      <c r="D14" s="330"/>
      <c r="E14" s="330"/>
      <c r="F14" s="330"/>
    </row>
    <row r="15" spans="1:6">
      <c r="A15" s="1298" t="s">
        <v>183</v>
      </c>
      <c r="B15" s="1299">
        <v>4</v>
      </c>
      <c r="C15" s="330"/>
      <c r="D15" s="330"/>
      <c r="E15" s="330"/>
      <c r="F15" s="330"/>
    </row>
    <row r="16" spans="1:6">
      <c r="A16" s="1298" t="s">
        <v>6</v>
      </c>
      <c r="B16" s="1299">
        <v>232</v>
      </c>
      <c r="C16" s="330"/>
      <c r="D16" s="330"/>
      <c r="E16" s="330"/>
      <c r="F16" s="330"/>
    </row>
    <row r="17" spans="1:6">
      <c r="A17" s="1298" t="s">
        <v>7</v>
      </c>
      <c r="B17" s="1299">
        <v>422</v>
      </c>
      <c r="C17" s="330"/>
      <c r="D17" s="330"/>
      <c r="E17" s="330"/>
      <c r="F17" s="330"/>
    </row>
    <row r="18" spans="1:6">
      <c r="A18" s="1298" t="s">
        <v>8</v>
      </c>
      <c r="B18" s="1299">
        <v>551</v>
      </c>
      <c r="C18" s="330"/>
      <c r="D18" s="330"/>
      <c r="E18" s="330"/>
      <c r="F18" s="330"/>
    </row>
    <row r="19" spans="1:6">
      <c r="A19" s="1298" t="s">
        <v>9</v>
      </c>
      <c r="B19" s="1299">
        <v>424</v>
      </c>
      <c r="C19" s="330"/>
      <c r="D19" s="330"/>
      <c r="E19" s="330"/>
      <c r="F19" s="330"/>
    </row>
    <row r="20" spans="1:6">
      <c r="A20" s="1298" t="s">
        <v>10</v>
      </c>
      <c r="B20" s="1299">
        <v>525</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2</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296</v>
      </c>
      <c r="C26" s="330"/>
      <c r="D26" s="330"/>
      <c r="E26" s="330"/>
      <c r="F26" s="330"/>
    </row>
    <row r="27" spans="1:6">
      <c r="A27" s="1298" t="s">
        <v>17</v>
      </c>
      <c r="B27" s="1299">
        <v>5</v>
      </c>
      <c r="C27" s="330"/>
      <c r="D27" s="330"/>
      <c r="E27" s="330"/>
      <c r="F27" s="330"/>
    </row>
    <row r="28" spans="1:6" s="43" customFormat="1">
      <c r="A28" s="1300" t="s">
        <v>18</v>
      </c>
      <c r="B28" s="1301">
        <v>0</v>
      </c>
      <c r="C28" s="336"/>
      <c r="D28" s="336"/>
      <c r="E28" s="336"/>
      <c r="F28" s="336"/>
    </row>
    <row r="29" spans="1:6">
      <c r="A29" s="1300" t="s">
        <v>705</v>
      </c>
      <c r="B29" s="1301">
        <v>209</v>
      </c>
      <c r="C29" s="336"/>
      <c r="D29" s="336"/>
      <c r="E29" s="336"/>
      <c r="F29" s="336"/>
    </row>
    <row r="30" spans="1:6">
      <c r="A30" s="1293" t="s">
        <v>706</v>
      </c>
      <c r="B30" s="1302">
        <v>41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4</v>
      </c>
      <c r="F38" s="1299">
        <v>8022</v>
      </c>
    </row>
    <row r="39" spans="1:6">
      <c r="A39" s="1298" t="s">
        <v>29</v>
      </c>
      <c r="B39" s="1298" t="s">
        <v>30</v>
      </c>
      <c r="C39" s="1299">
        <v>5025</v>
      </c>
      <c r="D39" s="1299">
        <v>90595473.810000002</v>
      </c>
      <c r="E39" s="1299">
        <v>7503</v>
      </c>
      <c r="F39" s="1299">
        <v>31062298.809999999</v>
      </c>
    </row>
    <row r="40" spans="1:6">
      <c r="A40" s="1298" t="s">
        <v>29</v>
      </c>
      <c r="B40" s="1298" t="s">
        <v>28</v>
      </c>
      <c r="C40" s="1299">
        <v>0</v>
      </c>
      <c r="D40" s="1299">
        <v>0</v>
      </c>
      <c r="E40" s="1299">
        <v>1</v>
      </c>
      <c r="F40" s="1299">
        <v>4381.107</v>
      </c>
    </row>
    <row r="41" spans="1:6">
      <c r="A41" s="1298" t="s">
        <v>31</v>
      </c>
      <c r="B41" s="1298" t="s">
        <v>32</v>
      </c>
      <c r="C41" s="1299">
        <v>44</v>
      </c>
      <c r="D41" s="1299">
        <v>668608.11800000002</v>
      </c>
      <c r="E41" s="1299">
        <v>75</v>
      </c>
      <c r="F41" s="1299">
        <v>1549014.264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6</v>
      </c>
      <c r="F44" s="1299">
        <v>38237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26</v>
      </c>
      <c r="D48" s="1299">
        <v>611315.49199999997</v>
      </c>
      <c r="E48" s="1299">
        <v>47</v>
      </c>
      <c r="F48" s="1299">
        <v>5082248.0829999996</v>
      </c>
    </row>
    <row r="49" spans="1:6">
      <c r="A49" s="1298" t="s">
        <v>31</v>
      </c>
      <c r="B49" s="1298" t="s">
        <v>39</v>
      </c>
      <c r="C49" s="1299">
        <v>0</v>
      </c>
      <c r="D49" s="1299">
        <v>0</v>
      </c>
      <c r="E49" s="1299">
        <v>0</v>
      </c>
      <c r="F49" s="1299">
        <v>0</v>
      </c>
    </row>
    <row r="50" spans="1:6">
      <c r="A50" s="1298" t="s">
        <v>31</v>
      </c>
      <c r="B50" s="1298" t="s">
        <v>40</v>
      </c>
      <c r="C50" s="1299">
        <v>3</v>
      </c>
      <c r="D50" s="1299">
        <v>193989.33199999999</v>
      </c>
      <c r="E50" s="1299">
        <v>5</v>
      </c>
      <c r="F50" s="1299">
        <v>143772.68</v>
      </c>
    </row>
    <row r="51" spans="1:6">
      <c r="A51" s="1298" t="s">
        <v>41</v>
      </c>
      <c r="B51" s="1298" t="s">
        <v>42</v>
      </c>
      <c r="C51" s="1299">
        <v>0</v>
      </c>
      <c r="D51" s="1299">
        <v>0</v>
      </c>
      <c r="E51" s="1299">
        <v>38</v>
      </c>
      <c r="F51" s="1299">
        <v>771314.63699999999</v>
      </c>
    </row>
    <row r="52" spans="1:6">
      <c r="A52" s="1298" t="s">
        <v>41</v>
      </c>
      <c r="B52" s="1298" t="s">
        <v>28</v>
      </c>
      <c r="C52" s="1299">
        <v>9</v>
      </c>
      <c r="D52" s="1299">
        <v>618437.31299999997</v>
      </c>
      <c r="E52" s="1299">
        <v>10</v>
      </c>
      <c r="F52" s="1299">
        <v>85255.350999999995</v>
      </c>
    </row>
    <row r="53" spans="1:6">
      <c r="A53" s="1298" t="s">
        <v>43</v>
      </c>
      <c r="B53" s="1298" t="s">
        <v>44</v>
      </c>
      <c r="C53" s="1299">
        <v>149</v>
      </c>
      <c r="D53" s="1299">
        <v>2932744.9440000001</v>
      </c>
      <c r="E53" s="1299">
        <v>312</v>
      </c>
      <c r="F53" s="1299">
        <v>1163360.068</v>
      </c>
    </row>
    <row r="54" spans="1:6">
      <c r="A54" s="1298" t="s">
        <v>45</v>
      </c>
      <c r="B54" s="1298" t="s">
        <v>46</v>
      </c>
      <c r="C54" s="1299">
        <v>0</v>
      </c>
      <c r="D54" s="1299">
        <v>0</v>
      </c>
      <c r="E54" s="1299">
        <v>1</v>
      </c>
      <c r="F54" s="1299">
        <v>2017639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55</v>
      </c>
      <c r="D57" s="1299">
        <v>4699780.57</v>
      </c>
      <c r="E57" s="1299">
        <v>154</v>
      </c>
      <c r="F57" s="1299">
        <v>2971722.6680000001</v>
      </c>
    </row>
    <row r="58" spans="1:6">
      <c r="A58" s="1298" t="s">
        <v>48</v>
      </c>
      <c r="B58" s="1298" t="s">
        <v>50</v>
      </c>
      <c r="C58" s="1299">
        <v>23</v>
      </c>
      <c r="D58" s="1299">
        <v>587513.72699999996</v>
      </c>
      <c r="E58" s="1299">
        <v>34</v>
      </c>
      <c r="F58" s="1299">
        <v>192840.58600000001</v>
      </c>
    </row>
    <row r="59" spans="1:6">
      <c r="A59" s="1298" t="s">
        <v>48</v>
      </c>
      <c r="B59" s="1298" t="s">
        <v>51</v>
      </c>
      <c r="C59" s="1299">
        <v>43</v>
      </c>
      <c r="D59" s="1299">
        <v>1228496.0549999999</v>
      </c>
      <c r="E59" s="1299">
        <v>144</v>
      </c>
      <c r="F59" s="1299">
        <v>3671797.426</v>
      </c>
    </row>
    <row r="60" spans="1:6">
      <c r="A60" s="1298" t="s">
        <v>48</v>
      </c>
      <c r="B60" s="1298" t="s">
        <v>52</v>
      </c>
      <c r="C60" s="1299">
        <v>39</v>
      </c>
      <c r="D60" s="1299">
        <v>1689706.341</v>
      </c>
      <c r="E60" s="1299">
        <v>57</v>
      </c>
      <c r="F60" s="1299">
        <v>1080484.5989999999</v>
      </c>
    </row>
    <row r="61" spans="1:6">
      <c r="A61" s="1298" t="s">
        <v>48</v>
      </c>
      <c r="B61" s="1298" t="s">
        <v>53</v>
      </c>
      <c r="C61" s="1299">
        <v>153</v>
      </c>
      <c r="D61" s="1299">
        <v>4618919.2180000003</v>
      </c>
      <c r="E61" s="1299">
        <v>321</v>
      </c>
      <c r="F61" s="1299">
        <v>3214913.767</v>
      </c>
    </row>
    <row r="62" spans="1:6">
      <c r="A62" s="1298" t="s">
        <v>48</v>
      </c>
      <c r="B62" s="1298" t="s">
        <v>54</v>
      </c>
      <c r="C62" s="1299">
        <v>6</v>
      </c>
      <c r="D62" s="1299">
        <v>356178.20400000003</v>
      </c>
      <c r="E62" s="1299">
        <v>5</v>
      </c>
      <c r="F62" s="1299">
        <v>63115.550999999999</v>
      </c>
    </row>
    <row r="63" spans="1:6">
      <c r="A63" s="1298" t="s">
        <v>48</v>
      </c>
      <c r="B63" s="1298" t="s">
        <v>28</v>
      </c>
      <c r="C63" s="1299">
        <v>140</v>
      </c>
      <c r="D63" s="1299">
        <v>18568456.329999998</v>
      </c>
      <c r="E63" s="1299">
        <v>172</v>
      </c>
      <c r="F63" s="1299">
        <v>4178063.8829999999</v>
      </c>
    </row>
    <row r="64" spans="1:6">
      <c r="A64" s="1298" t="s">
        <v>55</v>
      </c>
      <c r="B64" s="1298" t="s">
        <v>56</v>
      </c>
      <c r="C64" s="1299">
        <v>0</v>
      </c>
      <c r="D64" s="1299">
        <v>0</v>
      </c>
      <c r="E64" s="1299">
        <v>0</v>
      </c>
      <c r="F64" s="1299">
        <v>0</v>
      </c>
    </row>
    <row r="65" spans="1:6">
      <c r="A65" s="1298" t="s">
        <v>55</v>
      </c>
      <c r="B65" s="1298" t="s">
        <v>28</v>
      </c>
      <c r="C65" s="1299">
        <v>5</v>
      </c>
      <c r="D65" s="1299">
        <v>106854.872</v>
      </c>
      <c r="E65" s="1299">
        <v>8</v>
      </c>
      <c r="F65" s="1299">
        <v>181950.07399999999</v>
      </c>
    </row>
    <row r="66" spans="1:6">
      <c r="A66" s="1298" t="s">
        <v>55</v>
      </c>
      <c r="B66" s="1298" t="s">
        <v>57</v>
      </c>
      <c r="C66" s="1299">
        <v>0</v>
      </c>
      <c r="D66" s="1299">
        <v>0</v>
      </c>
      <c r="E66" s="1299">
        <v>9</v>
      </c>
      <c r="F66" s="1299">
        <v>397651.77299999999</v>
      </c>
    </row>
    <row r="67" spans="1:6">
      <c r="A67" s="1300" t="s">
        <v>55</v>
      </c>
      <c r="B67" s="1300" t="s">
        <v>58</v>
      </c>
      <c r="C67" s="1299">
        <v>0</v>
      </c>
      <c r="D67" s="1299">
        <v>0</v>
      </c>
      <c r="E67" s="1299">
        <v>0</v>
      </c>
      <c r="F67" s="1299">
        <v>0</v>
      </c>
    </row>
    <row r="68" spans="1:6">
      <c r="A68" s="1293" t="s">
        <v>55</v>
      </c>
      <c r="B68" s="1293" t="s">
        <v>59</v>
      </c>
      <c r="C68" s="1302">
        <v>7</v>
      </c>
      <c r="D68" s="1302">
        <v>225206.29800000001</v>
      </c>
      <c r="E68" s="1302">
        <v>14</v>
      </c>
      <c r="F68" s="1302">
        <v>118298.511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89202841</v>
      </c>
      <c r="E73" s="450"/>
      <c r="F73" s="330"/>
    </row>
    <row r="74" spans="1:6">
      <c r="A74" s="1298" t="s">
        <v>63</v>
      </c>
      <c r="B74" s="1298" t="s">
        <v>647</v>
      </c>
      <c r="C74" s="1312" t="s">
        <v>649</v>
      </c>
      <c r="D74" s="1313">
        <v>3842385</v>
      </c>
      <c r="E74" s="450"/>
      <c r="F74" s="330"/>
    </row>
    <row r="75" spans="1:6">
      <c r="A75" s="1298" t="s">
        <v>64</v>
      </c>
      <c r="B75" s="1298" t="s">
        <v>646</v>
      </c>
      <c r="C75" s="1312" t="s">
        <v>650</v>
      </c>
      <c r="D75" s="1313">
        <v>40445638</v>
      </c>
      <c r="E75" s="450"/>
      <c r="F75" s="330"/>
    </row>
    <row r="76" spans="1:6">
      <c r="A76" s="1298" t="s">
        <v>64</v>
      </c>
      <c r="B76" s="1298" t="s">
        <v>647</v>
      </c>
      <c r="C76" s="1312" t="s">
        <v>651</v>
      </c>
      <c r="D76" s="1313">
        <v>1423453</v>
      </c>
      <c r="E76" s="450"/>
      <c r="F76" s="330"/>
    </row>
    <row r="77" spans="1:6">
      <c r="A77" s="1298" t="s">
        <v>65</v>
      </c>
      <c r="B77" s="1298" t="s">
        <v>646</v>
      </c>
      <c r="C77" s="1312" t="s">
        <v>652</v>
      </c>
      <c r="D77" s="1313">
        <v>161457504</v>
      </c>
      <c r="E77" s="450"/>
      <c r="F77" s="330"/>
    </row>
    <row r="78" spans="1:6">
      <c r="A78" s="1293" t="s">
        <v>65</v>
      </c>
      <c r="B78" s="1293" t="s">
        <v>647</v>
      </c>
      <c r="C78" s="1293" t="s">
        <v>653</v>
      </c>
      <c r="D78" s="1314">
        <v>20423262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1289478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3465.6835497784423</v>
      </c>
      <c r="C91" s="330"/>
      <c r="D91" s="330"/>
      <c r="E91" s="330"/>
      <c r="F91" s="330"/>
    </row>
    <row r="92" spans="1:6">
      <c r="A92" s="1293" t="s">
        <v>68</v>
      </c>
      <c r="B92" s="1294">
        <v>658.2650767864684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3173</v>
      </c>
      <c r="C97" s="330"/>
      <c r="D97" s="330"/>
      <c r="E97" s="330"/>
      <c r="F97" s="330"/>
    </row>
    <row r="98" spans="1:6">
      <c r="A98" s="1298" t="s">
        <v>71</v>
      </c>
      <c r="B98" s="1299">
        <v>1</v>
      </c>
      <c r="C98" s="330"/>
      <c r="D98" s="330"/>
      <c r="E98" s="330"/>
      <c r="F98" s="330"/>
    </row>
    <row r="99" spans="1:6">
      <c r="A99" s="1298" t="s">
        <v>72</v>
      </c>
      <c r="B99" s="1299">
        <v>41</v>
      </c>
      <c r="C99" s="330"/>
      <c r="D99" s="330"/>
      <c r="E99" s="330"/>
      <c r="F99" s="330"/>
    </row>
    <row r="100" spans="1:6">
      <c r="A100" s="1298" t="s">
        <v>73</v>
      </c>
      <c r="B100" s="1299">
        <v>622</v>
      </c>
      <c r="C100" s="330"/>
      <c r="D100" s="330"/>
      <c r="E100" s="330"/>
      <c r="F100" s="330"/>
    </row>
    <row r="101" spans="1:6">
      <c r="A101" s="1298" t="s">
        <v>74</v>
      </c>
      <c r="B101" s="1299">
        <v>47</v>
      </c>
      <c r="C101" s="330"/>
      <c r="D101" s="330"/>
      <c r="E101" s="330"/>
      <c r="F101" s="330"/>
    </row>
    <row r="102" spans="1:6">
      <c r="A102" s="1298" t="s">
        <v>75</v>
      </c>
      <c r="B102" s="1299">
        <v>97</v>
      </c>
      <c r="C102" s="330"/>
      <c r="D102" s="330"/>
      <c r="E102" s="330"/>
      <c r="F102" s="330"/>
    </row>
    <row r="103" spans="1:6">
      <c r="A103" s="1298" t="s">
        <v>76</v>
      </c>
      <c r="B103" s="1299">
        <v>88</v>
      </c>
      <c r="C103" s="330"/>
      <c r="D103" s="330"/>
      <c r="E103" s="330"/>
      <c r="F103" s="330"/>
    </row>
    <row r="104" spans="1:6">
      <c r="A104" s="1298" t="s">
        <v>77</v>
      </c>
      <c r="B104" s="1299">
        <v>2710</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39</v>
      </c>
      <c r="C123" s="1299">
        <v>22</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127</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24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60903.86773704736</v>
      </c>
      <c r="C3" s="43" t="s">
        <v>169</v>
      </c>
      <c r="D3" s="43"/>
      <c r="E3" s="154"/>
      <c r="F3" s="43"/>
      <c r="G3" s="43"/>
      <c r="H3" s="43"/>
      <c r="I3" s="43"/>
      <c r="J3" s="43"/>
      <c r="K3" s="96"/>
    </row>
    <row r="4" spans="1:11">
      <c r="A4" s="358" t="s">
        <v>170</v>
      </c>
      <c r="B4" s="49">
        <f>IF(ISERROR('SEAP template'!B78+'SEAP template'!C78),0,'SEAP template'!B78+'SEAP template'!C78)</f>
        <v>4132.4486265649102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1.9077777777777776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0.20603603461396111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2.7327627627627624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12.175675675675675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2017.6389999999999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2017.6389999999999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0.20603603461396111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415.70633884247786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31066.679916999998</v>
      </c>
      <c r="C5" s="17">
        <f>IF(ISERROR('Eigen informatie GS &amp; warmtenet'!B59),0,'Eigen informatie GS &amp; warmtenet'!B59)</f>
        <v>0</v>
      </c>
      <c r="D5" s="30">
        <f>(SUM(HH_hh_gas_kWh,HH_rest_gas_kWh)/1000)*0.902</f>
        <v>81717.117376619994</v>
      </c>
      <c r="E5" s="17">
        <f>B46*B57</f>
        <v>4790.4442719132285</v>
      </c>
      <c r="F5" s="17">
        <f>B51*B62</f>
        <v>21650.445400446391</v>
      </c>
      <c r="G5" s="18"/>
      <c r="H5" s="17"/>
      <c r="I5" s="17"/>
      <c r="J5" s="17">
        <f>B50*B61+C50*C61</f>
        <v>0</v>
      </c>
      <c r="K5" s="17"/>
      <c r="L5" s="17"/>
      <c r="M5" s="17"/>
      <c r="N5" s="17">
        <f>B48*B59+C48*C59</f>
        <v>6851.7654398324876</v>
      </c>
      <c r="O5" s="17">
        <f>B69*B70*B71</f>
        <v>295.6097746886677</v>
      </c>
      <c r="P5" s="17">
        <f>B77*B78*B79/1000-B77*B78*B79/1000/B80</f>
        <v>684.70735499952639</v>
      </c>
    </row>
    <row r="6" spans="1:16">
      <c r="A6" s="16" t="s">
        <v>611</v>
      </c>
      <c r="B6" s="783">
        <f>kWh_PV_kleiner_dan_10kW</f>
        <v>3465.6835497784423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34532.363466778443</v>
      </c>
      <c r="C8" s="21">
        <f>C5</f>
        <v>0</v>
      </c>
      <c r="D8" s="21">
        <f>D5</f>
        <v>81717.117376619994</v>
      </c>
      <c r="E8" s="21">
        <f>E5</f>
        <v>4790.4442719132285</v>
      </c>
      <c r="F8" s="21">
        <f>F5</f>
        <v>21650.445400446391</v>
      </c>
      <c r="G8" s="21"/>
      <c r="H8" s="21"/>
      <c r="I8" s="21"/>
      <c r="J8" s="21">
        <f>J5</f>
        <v>0</v>
      </c>
      <c r="K8" s="21"/>
      <c r="L8" s="21">
        <f>L5</f>
        <v>0</v>
      </c>
      <c r="M8" s="21">
        <f>M5</f>
        <v>0</v>
      </c>
      <c r="N8" s="21">
        <f>N5</f>
        <v>6851.7654398324876</v>
      </c>
      <c r="O8" s="21">
        <f>O5</f>
        <v>295.6097746886677</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0.20603603461396111</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7114.9112345430494</v>
      </c>
      <c r="C12" s="23">
        <f ca="1">C10*C8</f>
        <v>0</v>
      </c>
      <c r="D12" s="23">
        <f>D8*D10</f>
        <v>16506.857710077238</v>
      </c>
      <c r="E12" s="23">
        <f>E10*E8</f>
        <v>1087.4308497243028</v>
      </c>
      <c r="F12" s="23">
        <f>F10*F8</f>
        <v>5780.6689219191867</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3173</v>
      </c>
      <c r="C18" s="166" t="s">
        <v>110</v>
      </c>
      <c r="D18" s="228"/>
      <c r="E18" s="15"/>
    </row>
    <row r="19" spans="1:7">
      <c r="A19" s="171" t="s">
        <v>71</v>
      </c>
      <c r="B19" s="37">
        <f>aantalw2001_ander</f>
        <v>1</v>
      </c>
      <c r="C19" s="166" t="s">
        <v>110</v>
      </c>
      <c r="D19" s="229"/>
      <c r="E19" s="15"/>
    </row>
    <row r="20" spans="1:7">
      <c r="A20" s="171" t="s">
        <v>72</v>
      </c>
      <c r="B20" s="37">
        <f>aantalw2001_propaan</f>
        <v>41</v>
      </c>
      <c r="C20" s="167">
        <f>IF(ISERROR(B20/SUM($B$20,$B$21,$B$22)*100),0,B20/SUM($B$20,$B$21,$B$22)*100)</f>
        <v>5.774647887323944</v>
      </c>
      <c r="D20" s="229"/>
      <c r="E20" s="15"/>
    </row>
    <row r="21" spans="1:7">
      <c r="A21" s="171" t="s">
        <v>73</v>
      </c>
      <c r="B21" s="37">
        <f>aantalw2001_elektriciteit</f>
        <v>622</v>
      </c>
      <c r="C21" s="167">
        <f>IF(ISERROR(B21/SUM($B$20,$B$21,$B$22)*100),0,B21/SUM($B$20,$B$21,$B$22)*100)</f>
        <v>87.605633802816911</v>
      </c>
      <c r="D21" s="229"/>
      <c r="E21" s="15"/>
    </row>
    <row r="22" spans="1:7">
      <c r="A22" s="171" t="s">
        <v>74</v>
      </c>
      <c r="B22" s="37">
        <f>aantalw2001_hout</f>
        <v>47</v>
      </c>
      <c r="C22" s="167">
        <f>IF(ISERROR(B22/SUM($B$20,$B$21,$B$22)*100),0,B22/SUM($B$20,$B$21,$B$22)*100)</f>
        <v>6.6197183098591541</v>
      </c>
      <c r="D22" s="229"/>
      <c r="E22" s="15"/>
    </row>
    <row r="23" spans="1:7">
      <c r="A23" s="171" t="s">
        <v>75</v>
      </c>
      <c r="B23" s="37">
        <f>aantalw2001_niet_gespec</f>
        <v>97</v>
      </c>
      <c r="C23" s="166" t="s">
        <v>110</v>
      </c>
      <c r="D23" s="228"/>
      <c r="E23" s="15"/>
    </row>
    <row r="24" spans="1:7">
      <c r="A24" s="171" t="s">
        <v>76</v>
      </c>
      <c r="B24" s="37">
        <f>aantalw2001_steenkool</f>
        <v>88</v>
      </c>
      <c r="C24" s="166" t="s">
        <v>110</v>
      </c>
      <c r="D24" s="229"/>
      <c r="E24" s="15"/>
    </row>
    <row r="25" spans="1:7">
      <c r="A25" s="171" t="s">
        <v>77</v>
      </c>
      <c r="B25" s="37">
        <f>aantalw2001_stookolie</f>
        <v>2710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7660</v>
      </c>
      <c r="C28" s="36"/>
      <c r="D28" s="228"/>
    </row>
    <row r="29" spans="1:7" s="15" customFormat="1">
      <c r="A29" s="230" t="s">
        <v>819</v>
      </c>
      <c r="B29" s="37">
        <f>SUM(HH_hh_gas_aantal,HH_rest_gas_aantal)</f>
        <v>5025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5025</v>
      </c>
      <c r="C32" s="167">
        <f>IF(ISERROR(B32/SUM($B$32,$B$34,$B$35,$B$36,$B$38,$B$39)*100),0,B32/SUM($B$32,$B$34,$B$35,$B$36,$B$38,$B$39)*100)</f>
        <v>66.161948650427902</v>
      </c>
      <c r="D32" s="233"/>
      <c r="G32" s="15"/>
    </row>
    <row r="33" spans="1:7">
      <c r="A33" s="171" t="s">
        <v>71</v>
      </c>
      <c r="B33" s="34" t="s">
        <v>110</v>
      </c>
      <c r="C33" s="167"/>
      <c r="D33" s="233"/>
      <c r="G33" s="15"/>
    </row>
    <row r="34" spans="1:7">
      <c r="A34" s="171" t="s">
        <v>72</v>
      </c>
      <c r="B34" s="33">
        <f>IF((($B$28-$B$32-$B$39-$B$77-$B$38)*C20/100)&lt;0,0,($B$28-$B$32-$B$39-$B$77-$B$38)*C20/100)</f>
        <v>88.167323943661984</v>
      </c>
      <c r="C34" s="167">
        <f>IF(ISERROR(B34/SUM($B$32,$B$34,$B$35,$B$36,$B$38,$B$39)*100),0,B34/SUM($B$32,$B$34,$B$35,$B$36,$B$38,$B$39)*100)</f>
        <v>1.1608600914241207</v>
      </c>
      <c r="D34" s="233"/>
      <c r="G34" s="15"/>
    </row>
    <row r="35" spans="1:7">
      <c r="A35" s="171" t="s">
        <v>73</v>
      </c>
      <c r="B35" s="33">
        <f>IF((($B$28-$B$32-$B$39-$B$77-$B$38)*C21/100)&lt;0,0,($B$28-$B$32-$B$39-$B$77-$B$38)*C21/100)</f>
        <v>1337.5628169014087</v>
      </c>
      <c r="C35" s="167">
        <f>IF(ISERROR(B35/SUM($B$32,$B$34,$B$35,$B$36,$B$38,$B$39)*100),0,B35/SUM($B$32,$B$34,$B$35,$B$36,$B$38,$B$39)*100)</f>
        <v>17.611096996726907</v>
      </c>
      <c r="D35" s="233"/>
      <c r="G35" s="15"/>
    </row>
    <row r="36" spans="1:7">
      <c r="A36" s="171" t="s">
        <v>74</v>
      </c>
      <c r="B36" s="33">
        <f>IF((($B$28-$B$32-$B$39-$B$77-$B$38)*C22/100)&lt;0,0,($B$28-$B$32-$B$39-$B$77-$B$38)*C22/100)</f>
        <v>101.06985915492956</v>
      </c>
      <c r="C36" s="167">
        <f>IF(ISERROR(B36/SUM($B$32,$B$34,$B$35,$B$36,$B$38,$B$39)*100),0,B36/SUM($B$32,$B$34,$B$35,$B$36,$B$38,$B$39)*100)</f>
        <v>1.3307420560227723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1043.2</v>
      </c>
      <c r="C39" s="167">
        <f>IF(ISERROR(B39/SUM($B$32,$B$34,$B$35,$B$36,$B$38,$B$39)*100),0,B39/SUM($B$32,$B$34,$B$35,$B$36,$B$38,$B$39)*100)</f>
        <v>13.735352205398287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5025</v>
      </c>
      <c r="C44" s="34" t="s">
        <v>110</v>
      </c>
      <c r="D44" s="174"/>
    </row>
    <row r="45" spans="1:7">
      <c r="A45" s="171" t="s">
        <v>71</v>
      </c>
      <c r="B45" s="33" t="str">
        <f t="shared" si="0"/>
        <v>-</v>
      </c>
      <c r="C45" s="34" t="s">
        <v>110</v>
      </c>
      <c r="D45" s="174"/>
    </row>
    <row r="46" spans="1:7">
      <c r="A46" s="171" t="s">
        <v>72</v>
      </c>
      <c r="B46" s="33">
        <f t="shared" si="0"/>
        <v>88.167323943661984</v>
      </c>
      <c r="C46" s="34" t="s">
        <v>110</v>
      </c>
      <c r="D46" s="174"/>
    </row>
    <row r="47" spans="1:7">
      <c r="A47" s="171" t="s">
        <v>73</v>
      </c>
      <c r="B47" s="33">
        <f t="shared" si="0"/>
        <v>1337.5628169014087</v>
      </c>
      <c r="C47" s="34" t="s">
        <v>110</v>
      </c>
      <c r="D47" s="174"/>
    </row>
    <row r="48" spans="1:7">
      <c r="A48" s="171" t="s">
        <v>74</v>
      </c>
      <c r="B48" s="33">
        <f t="shared" si="0"/>
        <v>101.06985915492956</v>
      </c>
      <c r="C48" s="33">
        <f>B48*10</f>
        <v>1010.6985915492955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1043.2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15372.938480000001</v>
      </c>
      <c r="C5" s="17">
        <f>IF(ISERROR('Eigen informatie GS &amp; warmtenet'!B60),0,'Eigen informatie GS &amp; warmtenet'!B60)</f>
        <v>0</v>
      </c>
      <c r="D5" s="30">
        <f>SUM(D6:D12)</f>
        <v>28637.643501389997</v>
      </c>
      <c r="E5" s="17">
        <f>SUM(E6:E12)</f>
        <v>196.49526656537202</v>
      </c>
      <c r="F5" s="17">
        <f>SUM(F6:F12)</f>
        <v>1838.2223231752691</v>
      </c>
      <c r="G5" s="18"/>
      <c r="H5" s="17"/>
      <c r="I5" s="17"/>
      <c r="J5" s="17">
        <f>SUM(J6:J12)</f>
        <v>5.8455164718712906E-2</v>
      </c>
      <c r="K5" s="17"/>
      <c r="L5" s="17"/>
      <c r="M5" s="17"/>
      <c r="N5" s="17">
        <f>SUM(N6:N12)</f>
        <v>2287.3324369073084</v>
      </c>
      <c r="O5" s="17">
        <f>B38*B39*B40</f>
        <v>0</v>
      </c>
      <c r="P5" s="17">
        <f>B46*B47*B48/1000-B46*B47*B48/1000/B49</f>
        <v>52.539138306495019</v>
      </c>
      <c r="R5" s="32"/>
    </row>
    <row r="6" spans="1:18">
      <c r="A6" s="32" t="s">
        <v>53</v>
      </c>
      <c r="B6" s="37">
        <f>B26</f>
        <v>3214.913767</v>
      </c>
      <c r="C6" s="33"/>
      <c r="D6" s="37">
        <f>IF(ISERROR(TER_kantoor_gas_kWh/1000),0,TER_kantoor_gas_kWh/1000)*0.902</f>
        <v>4166.2651346359999</v>
      </c>
      <c r="E6" s="33">
        <f>$C$26*'E Balans VL '!I12/100/3.6*1000000</f>
        <v>25.869380300487784</v>
      </c>
      <c r="F6" s="33">
        <f>$C$26*('E Balans VL '!L12+'E Balans VL '!N12)/100/3.6*1000000</f>
        <v>393.05702782581545</v>
      </c>
      <c r="G6" s="34"/>
      <c r="H6" s="33"/>
      <c r="I6" s="33"/>
      <c r="J6" s="33">
        <f>$C$26*('E Balans VL '!D12+'E Balans VL '!E12)/100/3.6*1000000</f>
        <v>0</v>
      </c>
      <c r="K6" s="33"/>
      <c r="L6" s="33"/>
      <c r="M6" s="33"/>
      <c r="N6" s="33">
        <f>$C$26*'E Balans VL '!Y12/100/3.6*1000000</f>
        <v>1.7278578323948761</v>
      </c>
      <c r="O6" s="33"/>
      <c r="P6" s="33"/>
      <c r="R6" s="32"/>
    </row>
    <row r="7" spans="1:18">
      <c r="A7" s="32" t="s">
        <v>52</v>
      </c>
      <c r="B7" s="37">
        <f t="shared" ref="B7:B12" si="0">B27</f>
        <v>1080.4845989999999</v>
      </c>
      <c r="C7" s="33"/>
      <c r="D7" s="37">
        <f>IF(ISERROR(TER_horeca_gas_kWh/1000),0,TER_horeca_gas_kWh/1000)*0.902</f>
        <v>1524.115119582</v>
      </c>
      <c r="E7" s="33">
        <f>$C$27*'E Balans VL '!I9/100/3.6*1000000</f>
        <v>11.601751386940318</v>
      </c>
      <c r="F7" s="33">
        <f>$C$27*('E Balans VL '!L9+'E Balans VL '!N9)/100/3.6*1000000</f>
        <v>129.95609692068587</v>
      </c>
      <c r="G7" s="34"/>
      <c r="H7" s="33"/>
      <c r="I7" s="33"/>
      <c r="J7" s="33">
        <f>$C$27*('E Balans VL '!D9+'E Balans VL '!E9)/100/3.6*1000000</f>
        <v>0</v>
      </c>
      <c r="K7" s="33"/>
      <c r="L7" s="33"/>
      <c r="M7" s="33"/>
      <c r="N7" s="33">
        <f>$C$27*'E Balans VL '!Y9/100/3.6*1000000</f>
        <v>0.16198654027049378</v>
      </c>
      <c r="O7" s="33"/>
      <c r="P7" s="33"/>
      <c r="R7" s="32"/>
    </row>
    <row r="8" spans="1:18">
      <c r="A8" s="6" t="s">
        <v>51</v>
      </c>
      <c r="B8" s="37">
        <f t="shared" si="0"/>
        <v>3671.7974260000001</v>
      </c>
      <c r="C8" s="33"/>
      <c r="D8" s="37">
        <f>IF(ISERROR(TER_handel_gas_kWh/1000),0,TER_handel_gas_kWh/1000)*0.902</f>
        <v>1108.1034416099999</v>
      </c>
      <c r="E8" s="33">
        <f>$C$28*'E Balans VL '!I13/100/3.6*1000000</f>
        <v>98.539801815067904</v>
      </c>
      <c r="F8" s="33">
        <f>$C$28*('E Balans VL '!L13+'E Balans VL '!N13)/100/3.6*1000000</f>
        <v>350.40264215507096</v>
      </c>
      <c r="G8" s="34"/>
      <c r="H8" s="33"/>
      <c r="I8" s="33"/>
      <c r="J8" s="33">
        <f>$C$28*('E Balans VL '!D13+'E Balans VL '!E13)/100/3.6*1000000</f>
        <v>0</v>
      </c>
      <c r="K8" s="33"/>
      <c r="L8" s="33"/>
      <c r="M8" s="33"/>
      <c r="N8" s="33">
        <f>$C$28*'E Balans VL '!Y13/100/3.6*1000000</f>
        <v>1.4555422494185408</v>
      </c>
      <c r="O8" s="33"/>
      <c r="P8" s="33"/>
      <c r="R8" s="32"/>
    </row>
    <row r="9" spans="1:18">
      <c r="A9" s="32" t="s">
        <v>50</v>
      </c>
      <c r="B9" s="37">
        <f t="shared" si="0"/>
        <v>192.840586</v>
      </c>
      <c r="C9" s="33"/>
      <c r="D9" s="37">
        <f>IF(ISERROR(TER_gezond_gas_kWh/1000),0,TER_gezond_gas_kWh/1000)*0.902</f>
        <v>529.93738175399994</v>
      </c>
      <c r="E9" s="33">
        <f>$C$29*'E Balans VL '!I10/100/3.6*1000000</f>
        <v>0.36144604978545231</v>
      </c>
      <c r="F9" s="33">
        <f>$C$29*('E Balans VL '!L10+'E Balans VL '!N10)/100/3.6*1000000</f>
        <v>15.853255703969262</v>
      </c>
      <c r="G9" s="34"/>
      <c r="H9" s="33"/>
      <c r="I9" s="33"/>
      <c r="J9" s="33">
        <f>$C$29*('E Balans VL '!D10+'E Balans VL '!E10)/100/3.6*1000000</f>
        <v>0</v>
      </c>
      <c r="K9" s="33"/>
      <c r="L9" s="33"/>
      <c r="M9" s="33"/>
      <c r="N9" s="33">
        <f>$C$29*'E Balans VL '!Y10/100/3.6*1000000</f>
        <v>1.5004436388307991</v>
      </c>
      <c r="O9" s="33"/>
      <c r="P9" s="33"/>
      <c r="R9" s="32"/>
    </row>
    <row r="10" spans="1:18">
      <c r="A10" s="32" t="s">
        <v>49</v>
      </c>
      <c r="B10" s="37">
        <f t="shared" si="0"/>
        <v>2971.7226679999999</v>
      </c>
      <c r="C10" s="33"/>
      <c r="D10" s="37">
        <f>IF(ISERROR(TER_ander_gas_kWh/1000),0,TER_ander_gas_kWh/1000)*0.902</f>
        <v>4239.2020741400001</v>
      </c>
      <c r="E10" s="33">
        <f>$C$30*'E Balans VL '!I14/100/3.6*1000000</f>
        <v>4.5809406047225254</v>
      </c>
      <c r="F10" s="33">
        <f>$C$30*('E Balans VL '!L14+'E Balans VL '!N14)/100/3.6*1000000</f>
        <v>461.36076459614651</v>
      </c>
      <c r="G10" s="34"/>
      <c r="H10" s="33"/>
      <c r="I10" s="33"/>
      <c r="J10" s="33">
        <f>$C$30*('E Balans VL '!D14+'E Balans VL '!E14)/100/3.6*1000000</f>
        <v>5.0448126341723895E-2</v>
      </c>
      <c r="K10" s="33"/>
      <c r="L10" s="33"/>
      <c r="M10" s="33"/>
      <c r="N10" s="33">
        <f>$C$30*'E Balans VL '!Y14/100/3.6*1000000</f>
        <v>1965.9964741522199</v>
      </c>
      <c r="O10" s="33"/>
      <c r="P10" s="33"/>
      <c r="R10" s="32"/>
    </row>
    <row r="11" spans="1:18">
      <c r="A11" s="32" t="s">
        <v>54</v>
      </c>
      <c r="B11" s="37">
        <f t="shared" si="0"/>
        <v>63.115550999999996</v>
      </c>
      <c r="C11" s="33"/>
      <c r="D11" s="37">
        <f>IF(ISERROR(TER_onderwijs_gas_kWh/1000),0,TER_onderwijs_gas_kWh/1000)*0.902</f>
        <v>321.27274000800003</v>
      </c>
      <c r="E11" s="33">
        <f>$C$31*'E Balans VL '!I11/100/3.6*1000000</f>
        <v>1.6098776332751514</v>
      </c>
      <c r="F11" s="33">
        <f>$C$31*('E Balans VL '!L11+'E Balans VL '!N11)/100/3.6*1000000</f>
        <v>7.5902390739388421</v>
      </c>
      <c r="G11" s="34"/>
      <c r="H11" s="33"/>
      <c r="I11" s="33"/>
      <c r="J11" s="33">
        <f>$C$31*('E Balans VL '!D11+'E Balans VL '!E11)/100/3.6*1000000</f>
        <v>0</v>
      </c>
      <c r="K11" s="33"/>
      <c r="L11" s="33"/>
      <c r="M11" s="33"/>
      <c r="N11" s="33">
        <f>$C$31*'E Balans VL '!Y11/100/3.6*1000000</f>
        <v>0.14036744539128559</v>
      </c>
      <c r="O11" s="33"/>
      <c r="P11" s="33"/>
      <c r="R11" s="32"/>
    </row>
    <row r="12" spans="1:18">
      <c r="A12" s="32" t="s">
        <v>259</v>
      </c>
      <c r="B12" s="37">
        <f t="shared" si="0"/>
        <v>4178.0638829999998</v>
      </c>
      <c r="C12" s="33"/>
      <c r="D12" s="37">
        <f>IF(ISERROR(TER_rest_gas_kWh/1000),0,TER_rest_gas_kWh/1000)*0.902</f>
        <v>16748.747609659997</v>
      </c>
      <c r="E12" s="33">
        <f>$C$32*'E Balans VL '!I8/100/3.6*1000000</f>
        <v>53.932068775092887</v>
      </c>
      <c r="F12" s="33">
        <f>$C$32*('E Balans VL '!L8+'E Balans VL '!N8)/100/3.6*1000000</f>
        <v>480.0022968996422</v>
      </c>
      <c r="G12" s="34"/>
      <c r="H12" s="33"/>
      <c r="I12" s="33"/>
      <c r="J12" s="33">
        <f>$C$32*('E Balans VL '!D8+'E Balans VL '!E8)/100/3.6*1000000</f>
        <v>8.0070383769890088E-3</v>
      </c>
      <c r="K12" s="33"/>
      <c r="L12" s="33"/>
      <c r="M12" s="33"/>
      <c r="N12" s="33">
        <f>$C$32*'E Balans VL '!Y8/100/3.6*1000000</f>
        <v>316.34976504878233</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15372.938480000001</v>
      </c>
      <c r="C16" s="21">
        <f t="shared" ca="1" si="1"/>
        <v>0</v>
      </c>
      <c r="D16" s="21">
        <f t="shared" ca="1" si="1"/>
        <v>28637.643501389997</v>
      </c>
      <c r="E16" s="21">
        <f t="shared" si="1"/>
        <v>196.49526656537202</v>
      </c>
      <c r="F16" s="21">
        <f t="shared" ca="1" si="1"/>
        <v>1838.2223231752691</v>
      </c>
      <c r="G16" s="21">
        <f t="shared" si="1"/>
        <v>0</v>
      </c>
      <c r="H16" s="21">
        <f t="shared" si="1"/>
        <v>0</v>
      </c>
      <c r="I16" s="21">
        <f t="shared" si="1"/>
        <v>0</v>
      </c>
      <c r="J16" s="21">
        <f t="shared" si="1"/>
        <v>5.8455164718712906E-2</v>
      </c>
      <c r="K16" s="21">
        <f t="shared" si="1"/>
        <v>0</v>
      </c>
      <c r="L16" s="21">
        <f t="shared" ca="1" si="1"/>
        <v>0</v>
      </c>
      <c r="M16" s="21">
        <f t="shared" si="1"/>
        <v>0</v>
      </c>
      <c r="N16" s="21">
        <f t="shared" ca="1" si="1"/>
        <v>2287.3324369073084</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0.20603603461396111</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3167.3792847835748</v>
      </c>
      <c r="C20" s="23">
        <f t="shared" ref="C20:P20" ca="1" si="2">C16*C18</f>
        <v>0</v>
      </c>
      <c r="D20" s="23">
        <f t="shared" ca="1" si="2"/>
        <v>5784.8039872807794</v>
      </c>
      <c r="E20" s="23">
        <f t="shared" si="2"/>
        <v>44.604425510339453</v>
      </c>
      <c r="F20" s="23">
        <f t="shared" ca="1" si="2"/>
        <v>490.80536028779687</v>
      </c>
      <c r="G20" s="23">
        <f t="shared" si="2"/>
        <v>0</v>
      </c>
      <c r="H20" s="23">
        <f t="shared" si="2"/>
        <v>0</v>
      </c>
      <c r="I20" s="23">
        <f t="shared" si="2"/>
        <v>0</v>
      </c>
      <c r="J20" s="23">
        <f t="shared" si="2"/>
        <v>2.0693128310424368E-2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3214.913767</v>
      </c>
      <c r="C26" s="39">
        <f>IF(ISERROR(B26*3.6/1000000/'E Balans VL '!Z12*100),0,B26*3.6/1000000/'E Balans VL '!Z12*100)</f>
        <v>6.8201454258569424E-2</v>
      </c>
      <c r="D26" s="237" t="s">
        <v>708</v>
      </c>
      <c r="F26" s="6"/>
    </row>
    <row r="27" spans="1:18">
      <c r="A27" s="231" t="s">
        <v>52</v>
      </c>
      <c r="B27" s="33">
        <f>IF(ISERROR(TER_horeca_ele_kWh/1000),0,TER_horeca_ele_kWh/1000)</f>
        <v>1080.4845989999999</v>
      </c>
      <c r="C27" s="39">
        <f>IF(ISERROR(B27*3.6/1000000/'E Balans VL '!Z9*100),0,B27*3.6/1000000/'E Balans VL '!Z9*100)</f>
        <v>8.1370061784605596E-2</v>
      </c>
      <c r="D27" s="237" t="s">
        <v>708</v>
      </c>
      <c r="F27" s="6"/>
    </row>
    <row r="28" spans="1:18">
      <c r="A28" s="171" t="s">
        <v>51</v>
      </c>
      <c r="B28" s="33">
        <f>IF(ISERROR(TER_handel_ele_kWh/1000),0,TER_handel_ele_kWh/1000)</f>
        <v>3671.7974260000001</v>
      </c>
      <c r="C28" s="39">
        <f>IF(ISERROR(B28*3.6/1000000/'E Balans VL '!Z13*100),0,B28*3.6/1000000/'E Balans VL '!Z13*100)</f>
        <v>0.10657926908342095</v>
      </c>
      <c r="D28" s="237" t="s">
        <v>708</v>
      </c>
      <c r="F28" s="6"/>
    </row>
    <row r="29" spans="1:18">
      <c r="A29" s="231" t="s">
        <v>50</v>
      </c>
      <c r="B29" s="33">
        <f>IF(ISERROR(TER_gezond_ele_kWh/1000),0,TER_gezond_ele_kWh/1000)</f>
        <v>192.840586</v>
      </c>
      <c r="C29" s="39">
        <f>IF(ISERROR(B29*3.6/1000000/'E Balans VL '!Z10*100),0,B29*3.6/1000000/'E Balans VL '!Z10*100)</f>
        <v>1.944820306986535E-2</v>
      </c>
      <c r="D29" s="237" t="s">
        <v>708</v>
      </c>
      <c r="F29" s="6"/>
    </row>
    <row r="30" spans="1:18">
      <c r="A30" s="231" t="s">
        <v>49</v>
      </c>
      <c r="B30" s="33">
        <f>IF(ISERROR(TER_ander_ele_kWh/1000),0,TER_ander_ele_kWh/1000)</f>
        <v>2971.7226679999999</v>
      </c>
      <c r="C30" s="39">
        <f>IF(ISERROR(B30*3.6/1000000/'E Balans VL '!Z14*100),0,B30*3.6/1000000/'E Balans VL '!Z14*100)</f>
        <v>0.21563902129412396</v>
      </c>
      <c r="D30" s="237" t="s">
        <v>708</v>
      </c>
      <c r="F30" s="6"/>
    </row>
    <row r="31" spans="1:18">
      <c r="A31" s="231" t="s">
        <v>54</v>
      </c>
      <c r="B31" s="33">
        <f>IF(ISERROR(TER_onderwijs_ele_kWh/1000),0,TER_onderwijs_ele_kWh/1000)</f>
        <v>63.115550999999996</v>
      </c>
      <c r="C31" s="39">
        <f>IF(ISERROR(B31*3.6/1000000/'E Balans VL '!Z11*100),0,B31*3.6/1000000/'E Balans VL '!Z11*100)</f>
        <v>1.7990502219913846E-2</v>
      </c>
      <c r="D31" s="237" t="s">
        <v>708</v>
      </c>
    </row>
    <row r="32" spans="1:18">
      <c r="A32" s="231" t="s">
        <v>259</v>
      </c>
      <c r="B32" s="33">
        <f>IF(ISERROR(TER_rest_ele_kWh/1000),0,TER_rest_ele_kWh/1000)</f>
        <v>4178.0638829999998</v>
      </c>
      <c r="C32" s="39">
        <f>IF(ISERROR(B32*3.6/1000000/'E Balans VL '!Z8*100),0,B32*3.6/1000000/'E Balans VL '!Z8*100)</f>
        <v>3.4225848297766509E-2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6813.2720269999991</v>
      </c>
      <c r="C5" s="17">
        <f>IF(ISERROR('Eigen informatie GS &amp; warmtenet'!B61),0,'Eigen informatie GS &amp; warmtenet'!B61)</f>
        <v>0</v>
      </c>
      <c r="D5" s="30">
        <f>SUM(D6:D15)</f>
        <v>1329.4694736840001</v>
      </c>
      <c r="E5" s="17">
        <f>SUM(E6:E15)</f>
        <v>669.97293909285577</v>
      </c>
      <c r="F5" s="17">
        <f>SUM(F6:F15)</f>
        <v>2198.7782646382602</v>
      </c>
      <c r="G5" s="18"/>
      <c r="H5" s="17"/>
      <c r="I5" s="17"/>
      <c r="J5" s="17">
        <f>SUM(J6:J15)</f>
        <v>42.023995490840754</v>
      </c>
      <c r="K5" s="17"/>
      <c r="L5" s="17"/>
      <c r="M5" s="17"/>
      <c r="N5" s="17">
        <f>SUM(N6:N15)</f>
        <v>320.99828630237454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38.237000000000002</v>
      </c>
      <c r="C8" s="33"/>
      <c r="D8" s="37">
        <f>IF( ISERROR(IND_metaal_Gas_kWH/1000),0,IND_metaal_Gas_kWH/1000)*0.902</f>
        <v>0</v>
      </c>
      <c r="E8" s="33">
        <f>C30*'E Balans VL '!I18/100/3.6*1000000</f>
        <v>0.27585311776520377</v>
      </c>
      <c r="F8" s="33">
        <f>C30*'E Balans VL '!L18/100/3.6*1000000+C30*'E Balans VL '!N18/100/3.6*1000000</f>
        <v>3.6165151591082645</v>
      </c>
      <c r="G8" s="34"/>
      <c r="H8" s="33"/>
      <c r="I8" s="33"/>
      <c r="J8" s="40">
        <f>C30*'E Balans VL '!D18/100/3.6*1000000+C30*'E Balans VL '!E18/100/3.6*1000000</f>
        <v>3.8458996802782398E-2</v>
      </c>
      <c r="K8" s="33"/>
      <c r="L8" s="33"/>
      <c r="M8" s="33"/>
      <c r="N8" s="33">
        <f>C30*'E Balans VL '!Y18/100/3.6*1000000</f>
        <v>0.48341684511432725</v>
      </c>
      <c r="O8" s="33"/>
      <c r="P8" s="33"/>
      <c r="R8" s="32"/>
    </row>
    <row r="9" spans="1:18">
      <c r="A9" s="6" t="s">
        <v>32</v>
      </c>
      <c r="B9" s="37">
        <f t="shared" si="0"/>
        <v>1549.0142639999999</v>
      </c>
      <c r="C9" s="33"/>
      <c r="D9" s="37">
        <f>IF( ISERROR(IND_andere_gas_kWh/1000),0,IND_andere_gas_kWh/1000)*0.902</f>
        <v>603.08452243600004</v>
      </c>
      <c r="E9" s="33">
        <f>C31*'E Balans VL '!I19/100/3.6*1000000</f>
        <v>429.25256547006984</v>
      </c>
      <c r="F9" s="33">
        <f>C31*'E Balans VL '!L19/100/3.6*1000000+C31*'E Balans VL '!N19/100/3.6*1000000</f>
        <v>1283.8263694488228</v>
      </c>
      <c r="G9" s="34"/>
      <c r="H9" s="33"/>
      <c r="I9" s="33"/>
      <c r="J9" s="40">
        <f>C31*'E Balans VL '!D19/100/3.6*1000000+C31*'E Balans VL '!E19/100/3.6*1000000</f>
        <v>0</v>
      </c>
      <c r="K9" s="33"/>
      <c r="L9" s="33"/>
      <c r="M9" s="33"/>
      <c r="N9" s="33">
        <f>C31*'E Balans VL '!Y19/100/3.6*1000000</f>
        <v>112.43948907083653</v>
      </c>
      <c r="O9" s="33"/>
      <c r="P9" s="33"/>
      <c r="R9" s="32"/>
    </row>
    <row r="10" spans="1:18">
      <c r="A10" s="6" t="s">
        <v>40</v>
      </c>
      <c r="B10" s="37">
        <f t="shared" si="0"/>
        <v>143.77267999999998</v>
      </c>
      <c r="C10" s="33"/>
      <c r="D10" s="37">
        <f>IF( ISERROR(IND_voed_gas_kWh/1000),0,IND_voed_gas_kWh/1000)*0.902</f>
        <v>174.978377464</v>
      </c>
      <c r="E10" s="33">
        <f>C32*'E Balans VL '!I20/100/3.6*1000000</f>
        <v>0.25452634252894374</v>
      </c>
      <c r="F10" s="33">
        <f>C32*'E Balans VL '!L20/100/3.6*1000000+C32*'E Balans VL '!N20/100/3.6*1000000</f>
        <v>7.7649989658326657</v>
      </c>
      <c r="G10" s="34"/>
      <c r="H10" s="33"/>
      <c r="I10" s="33"/>
      <c r="J10" s="40">
        <f>C32*'E Balans VL '!D20/100/3.6*1000000+C32*'E Balans VL '!E20/100/3.6*1000000</f>
        <v>0</v>
      </c>
      <c r="K10" s="33"/>
      <c r="L10" s="33"/>
      <c r="M10" s="33"/>
      <c r="N10" s="33">
        <f>C32*'E Balans VL '!Y20/100/3.6*1000000</f>
        <v>8.3542907136392852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5082.2480829999995</v>
      </c>
      <c r="C15" s="33"/>
      <c r="D15" s="37">
        <f>IF( ISERROR(IND_rest_gas_kWh/1000),0,IND_rest_gas_kWh/1000)*0.902</f>
        <v>551.40657378399999</v>
      </c>
      <c r="E15" s="33">
        <f>C37*'E Balans VL '!I15/100/3.6*1000000</f>
        <v>240.18999416249179</v>
      </c>
      <c r="F15" s="33">
        <f>C37*'E Balans VL '!L15/100/3.6*1000000+C37*'E Balans VL '!N15/100/3.6*1000000</f>
        <v>903.57038106449613</v>
      </c>
      <c r="G15" s="34"/>
      <c r="H15" s="33"/>
      <c r="I15" s="33"/>
      <c r="J15" s="40">
        <f>C37*'E Balans VL '!D15/100/3.6*1000000+C37*'E Balans VL '!E15/100/3.6*1000000</f>
        <v>41.985536494037973</v>
      </c>
      <c r="K15" s="33"/>
      <c r="L15" s="33"/>
      <c r="M15" s="33"/>
      <c r="N15" s="33">
        <f>C37*'E Balans VL '!Y15/100/3.6*1000000</f>
        <v>199.72108967278439</v>
      </c>
      <c r="O15" s="33"/>
      <c r="P15" s="33"/>
      <c r="R15" s="32"/>
    </row>
    <row r="16" spans="1:18">
      <c r="A16" s="16" t="s">
        <v>478</v>
      </c>
      <c r="B16" s="247">
        <f>'lokale energieproductie'!N37+'lokale energieproductie'!N30</f>
        <v>8.5</v>
      </c>
      <c r="C16" s="247">
        <f>'lokale energieproductie'!O37+'lokale energieproductie'!O30</f>
        <v>12.175675675675675</v>
      </c>
      <c r="D16" s="308">
        <f>('lokale energieproductie'!P30+'lokale energieproductie'!P37)*(-1)</f>
        <v>-22.972972972972972</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6821.7720269999991</v>
      </c>
      <c r="C18" s="21">
        <f>C5+C16</f>
        <v>12.175675675675675</v>
      </c>
      <c r="D18" s="21">
        <f>MAX((D5+D16),0)</f>
        <v>1306.4965007110272</v>
      </c>
      <c r="E18" s="21">
        <f>MAX((E5+E16),0)</f>
        <v>669.97293909285577</v>
      </c>
      <c r="F18" s="21">
        <f>MAX((F5+F16),0)</f>
        <v>2198.7782646382602</v>
      </c>
      <c r="G18" s="21"/>
      <c r="H18" s="21"/>
      <c r="I18" s="21"/>
      <c r="J18" s="21">
        <f>MAX((J5+J16),0)</f>
        <v>42.023995490840754</v>
      </c>
      <c r="K18" s="21"/>
      <c r="L18" s="21">
        <f>MAX((L5+L16),0)</f>
        <v>0</v>
      </c>
      <c r="M18" s="21"/>
      <c r="N18" s="21">
        <f>MAX((N5+N16),0)</f>
        <v>320.99828630237454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0.20603603461396111</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1405.5308574835235</v>
      </c>
      <c r="C22" s="23">
        <f ca="1">C18*C20</f>
        <v>2.7327627627627624</v>
      </c>
      <c r="D22" s="23">
        <f>D18*D20</f>
        <v>263.91229314362749</v>
      </c>
      <c r="E22" s="23">
        <f>E18*E20</f>
        <v>152.08385717407828</v>
      </c>
      <c r="F22" s="23">
        <f>F18*F20</f>
        <v>587.07379665841552</v>
      </c>
      <c r="G22" s="23"/>
      <c r="H22" s="23"/>
      <c r="I22" s="23"/>
      <c r="J22" s="23">
        <f>J18*J20</f>
        <v>14.876494403757626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38.237000000000002</v>
      </c>
      <c r="C30" s="39">
        <f>IF(ISERROR(B30*3.6/1000000/'E Balans VL '!Z18*100),0,B30*3.6/1000000/'E Balans VL '!Z18*100)</f>
        <v>2.2073623469862262E-3</v>
      </c>
      <c r="D30" s="237" t="s">
        <v>708</v>
      </c>
    </row>
    <row r="31" spans="1:18">
      <c r="A31" s="6" t="s">
        <v>32</v>
      </c>
      <c r="B31" s="37">
        <f>IF( ISERROR(IND_ander_ele_kWh/1000),0,IND_ander_ele_kWh/1000)</f>
        <v>1549.0142639999999</v>
      </c>
      <c r="C31" s="39">
        <f>IF(ISERROR(B31*3.6/1000000/'E Balans VL '!Z19*100),0,B31*3.6/1000000/'E Balans VL '!Z19*100)</f>
        <v>7.791039654387874E-2</v>
      </c>
      <c r="D31" s="237" t="s">
        <v>708</v>
      </c>
    </row>
    <row r="32" spans="1:18">
      <c r="A32" s="171" t="s">
        <v>40</v>
      </c>
      <c r="B32" s="37">
        <f>IF( ISERROR(IND_voed_ele_kWh/1000),0,IND_voed_ele_kWh/1000)</f>
        <v>143.77267999999998</v>
      </c>
      <c r="C32" s="39">
        <f>IF(ISERROR(B32*3.6/1000000/'E Balans VL '!Z20*100),0,B32*3.6/1000000/'E Balans VL '!Z20*100)</f>
        <v>4.7884840018417377E-3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5082.2480829999995</v>
      </c>
      <c r="C37" s="39">
        <f>IF(ISERROR(B37*3.6/1000000/'E Balans VL '!Z15*100),0,B37*3.6/1000000/'E Balans VL '!Z15*100)</f>
        <v>3.9655433121538894E-2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856.56998799999997</v>
      </c>
      <c r="C5" s="17">
        <f>'Eigen informatie GS &amp; warmtenet'!B62</f>
        <v>0</v>
      </c>
      <c r="D5" s="30">
        <f>IF(ISERROR(SUM(LB_lb_gas_kWh,LB_rest_gas_kWh)/1000),0,SUM(LB_lb_gas_kWh,LB_rest_gas_kWh)/1000)*0.902</f>
        <v>557.83045632599999</v>
      </c>
      <c r="E5" s="17">
        <f>B17*'E Balans VL '!I25/3.6*1000000/100</f>
        <v>26.733266863544685</v>
      </c>
      <c r="F5" s="17">
        <f>B17*('E Balans VL '!L25/3.6*1000000+'E Balans VL '!N25/3.6*1000000)/100</f>
        <v>3027.2132258555648</v>
      </c>
      <c r="G5" s="18"/>
      <c r="H5" s="17"/>
      <c r="I5" s="17"/>
      <c r="J5" s="17">
        <f>('E Balans VL '!D25+'E Balans VL '!E25)/3.6*1000000*landbouw!B17/100</f>
        <v>235.9909719548067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856.56998799999997</v>
      </c>
      <c r="C8" s="21">
        <f>C5+C6</f>
        <v>0</v>
      </c>
      <c r="D8" s="21">
        <f>MAX((D5+D6),0)</f>
        <v>557.83045632599999</v>
      </c>
      <c r="E8" s="21">
        <f>MAX((E5+E6),0)</f>
        <v>26.733266863544685</v>
      </c>
      <c r="F8" s="21">
        <f>MAX((F5+F6),0)</f>
        <v>3027.2132258555648</v>
      </c>
      <c r="G8" s="21"/>
      <c r="H8" s="21"/>
      <c r="I8" s="21"/>
      <c r="J8" s="21">
        <f>MAX((J5+J6),0)</f>
        <v>235.9909719548067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0.20603603461396111</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176.48428369684825</v>
      </c>
      <c r="C12" s="23">
        <f ca="1">C8*C10</f>
        <v>0</v>
      </c>
      <c r="D12" s="23">
        <f>D8*D10</f>
        <v>112.681752177852</v>
      </c>
      <c r="E12" s="23">
        <f>E8*E10</f>
        <v>6.0684515780246437</v>
      </c>
      <c r="F12" s="23">
        <f>F8*F10</f>
        <v>808.26593130343588</v>
      </c>
      <c r="G12" s="23"/>
      <c r="H12" s="23"/>
      <c r="I12" s="23"/>
      <c r="J12" s="23">
        <f>J8*J10</f>
        <v>83.540804072001563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0.12733526919151317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145.39125235392493</v>
      </c>
      <c r="C26" s="247">
        <f>B26*'GWP N2O_CH4'!B5</f>
        <v>3053.2162994324235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15.342855693927355</v>
      </c>
      <c r="C27" s="247">
        <f>B27*'GWP N2O_CH4'!B5</f>
        <v>322.19996957247446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1.9579370989707037</v>
      </c>
      <c r="C28" s="247">
        <f>B28*'GWP N2O_CH4'!B4</f>
        <v>606.96050068091813</v>
      </c>
      <c r="D28" s="50"/>
    </row>
    <row r="29" spans="1:4">
      <c r="A29" s="41" t="s">
        <v>276</v>
      </c>
      <c r="B29" s="247">
        <f>B34*'ha_N2O bodem landbouw'!B4</f>
        <v>12.101018630109005</v>
      </c>
      <c r="C29" s="247">
        <f>B29*'GWP N2O_CH4'!B4</f>
        <v>3751.3157753337914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2.6535355116413251E-3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5.0120894616811234E-4</v>
      </c>
      <c r="C5" s="437" t="s">
        <v>210</v>
      </c>
      <c r="D5" s="422">
        <f>SUM(D6:D11)</f>
        <v>1.7724591312685094E-3</v>
      </c>
      <c r="E5" s="422">
        <f>SUM(E6:E11)</f>
        <v>1.6884421699285101E-3</v>
      </c>
      <c r="F5" s="435" t="s">
        <v>210</v>
      </c>
      <c r="G5" s="422">
        <f>SUM(G6:G11)</f>
        <v>0.74294077082579391</v>
      </c>
      <c r="H5" s="422">
        <f>SUM(H6:H11)</f>
        <v>0.16910250417339015</v>
      </c>
      <c r="I5" s="437" t="s">
        <v>210</v>
      </c>
      <c r="J5" s="437" t="s">
        <v>210</v>
      </c>
      <c r="K5" s="437" t="s">
        <v>210</v>
      </c>
      <c r="L5" s="437" t="s">
        <v>210</v>
      </c>
      <c r="M5" s="422">
        <f>SUM(M6:M11)</f>
        <v>5.4020763058150498E-2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1.5358413960461846E-4</v>
      </c>
      <c r="C6" s="423"/>
      <c r="D6" s="890">
        <f>vkm_GW_PW*SUMIFS(TableVerdeelsleutelVkm[CNG],TableVerdeelsleutelVkm[Voertuigtype],"Lichte voertuigen")*SUMIFS(TableECFTransport[EnergieConsumptieFactor (PJ per km)],TableECFTransport[Index],CONCATENATE($A6,"_CNG_CNG"))</f>
        <v>4.947563166194035E-4</v>
      </c>
      <c r="E6" s="890">
        <f>vkm_GW_PW*SUMIFS(TableVerdeelsleutelVkm[LPG],TableVerdeelsleutelVkm[Voertuigtype],"Lichte voertuigen")*SUMIFS(TableECFTransport[EnergieConsumptieFactor (PJ per km)],TableECFTransport[Index],CONCATENATE($A6,"_LPG_LPG"))</f>
        <v>4.231040283321894E-4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0.13668351913690613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4.6348543057648801E-2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1.0947455668564117E-2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3.6477167459121516E-2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5.2159074228980977E-7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2.1026317078546054E-3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6.9636890970657111E-5</v>
      </c>
      <c r="C8" s="423"/>
      <c r="D8" s="425">
        <f>vkm_NGW_PW*SUMIFS(TableVerdeelsleutelVkm[CNG],TableVerdeelsleutelVkm[Voertuigtype],"Lichte voertuigen")*SUMIFS(TableECFTransport[EnergieConsumptieFactor (PJ per km)],TableECFTransport[Index],CONCATENATE($A8,"_CNG_CNG"))</f>
        <v>3.8007577309856564E-4</v>
      </c>
      <c r="E8" s="425">
        <f>vkm_NGW_PW*SUMIFS(TableVerdeelsleutelVkm[LPG],TableVerdeelsleutelVkm[Voertuigtype],"Lichte voertuigen")*SUMIFS(TableECFTransport[EnergieConsumptieFactor (PJ per km)],TableECFTransport[Index],CONCATENATE($A8,"_LPG_LPG"))</f>
        <v>3.0883394258049055E-4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9.3227736836719713E-2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3.5010239787787042E-2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7.6918720535029544E-3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1.7395854084631564E-2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3.1538434643415806E-7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1.0027433016231296E-3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2.7798791559283684E-4</v>
      </c>
      <c r="C10" s="423"/>
      <c r="D10" s="425">
        <f>vkm_SW_PW*SUMIFS(TableVerdeelsleutelVkm[CNG],TableVerdeelsleutelVkm[Voertuigtype],"Lichte voertuigen")*SUMIFS(TableECFTransport[EnergieConsumptieFactor (PJ per km)],TableECFTransport[Index],CONCATENATE($A10,"_CNG_CNG"))</f>
        <v>8.9762704155054026E-4</v>
      </c>
      <c r="E10" s="425">
        <f>vkm_SW_PW*SUMIFS(TableVerdeelsleutelVkm[LPG],TableVerdeelsleutelVkm[Voertuigtype],"Lichte voertuigen")*SUMIFS(TableECFTransport[EnergieConsumptieFactor (PJ per km)],TableECFTransport[Index],CONCATENATE($A10,"_LPG_LPG"))</f>
        <v>9.5650419901583035E-4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0.27531535162517046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8.7740075513437002E-2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2.1679002617351902E-2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0.18384114168324447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2.8088394285672673E-6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1.0597057709253786E-2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139.2247072689201</v>
      </c>
      <c r="C14" s="21"/>
      <c r="D14" s="21">
        <f t="shared" ref="D14:M14" si="0">((D5)*10^9/3600)+D12</f>
        <v>492.34975868569705</v>
      </c>
      <c r="E14" s="21">
        <f t="shared" si="0"/>
        <v>469.01171386903059</v>
      </c>
      <c r="F14" s="21"/>
      <c r="G14" s="21">
        <f t="shared" si="0"/>
        <v>206372.4363404983</v>
      </c>
      <c r="H14" s="21">
        <f t="shared" si="0"/>
        <v>46972.917825941709</v>
      </c>
      <c r="I14" s="21"/>
      <c r="J14" s="21"/>
      <c r="K14" s="21"/>
      <c r="L14" s="21"/>
      <c r="M14" s="21">
        <f t="shared" si="0"/>
        <v>15005.767516152917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0.20603603461396111</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28.685306605977825</v>
      </c>
      <c r="C18" s="23"/>
      <c r="D18" s="23">
        <f t="shared" ref="D18:M18" si="1">D14*D16</f>
        <v>99.454651254510807</v>
      </c>
      <c r="E18" s="23">
        <f t="shared" si="1"/>
        <v>106.46565904826994</v>
      </c>
      <c r="F18" s="23"/>
      <c r="G18" s="23">
        <f t="shared" si="1"/>
        <v>55101.44050291305</v>
      </c>
      <c r="H18" s="23">
        <f t="shared" si="1"/>
        <v>11696.256538659485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1.602041676799041E-2</v>
      </c>
      <c r="H50" s="319">
        <f t="shared" si="2"/>
        <v>0</v>
      </c>
      <c r="I50" s="319">
        <f t="shared" si="2"/>
        <v>0</v>
      </c>
      <c r="J50" s="319">
        <f t="shared" si="2"/>
        <v>0</v>
      </c>
      <c r="K50" s="319">
        <f t="shared" si="2"/>
        <v>0</v>
      </c>
      <c r="L50" s="319">
        <f t="shared" si="2"/>
        <v>0</v>
      </c>
      <c r="M50" s="319">
        <f t="shared" si="2"/>
        <v>8.9027644761710642E-4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1.602041676799041E-2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8.9027644761710642E-4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4450.1157688862249</v>
      </c>
      <c r="H54" s="21">
        <f t="shared" si="3"/>
        <v>0</v>
      </c>
      <c r="I54" s="21">
        <f t="shared" si="3"/>
        <v>0</v>
      </c>
      <c r="J54" s="21">
        <f t="shared" si="3"/>
        <v>0</v>
      </c>
      <c r="K54" s="21">
        <f t="shared" si="3"/>
        <v>0</v>
      </c>
      <c r="L54" s="21">
        <f t="shared" si="3"/>
        <v>0</v>
      </c>
      <c r="M54" s="21">
        <f t="shared" si="3"/>
        <v>247.29901322697398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0.20603603461396111</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1188.1809102926222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17390.57748</v>
      </c>
      <c r="D10" s="686">
        <f ca="1">tertiair!C16</f>
        <v>0</v>
      </c>
      <c r="E10" s="686">
        <f ca="1">tertiair!D16</f>
        <v>28637.643501389997</v>
      </c>
      <c r="F10" s="686">
        <f>tertiair!E16</f>
        <v>196.49526656537202</v>
      </c>
      <c r="G10" s="686">
        <f ca="1">tertiair!F16</f>
        <v>1838.2223231752691</v>
      </c>
      <c r="H10" s="686">
        <f>tertiair!G16</f>
        <v>0</v>
      </c>
      <c r="I10" s="686">
        <f>tertiair!H16</f>
        <v>0</v>
      </c>
      <c r="J10" s="686">
        <f>tertiair!I16</f>
        <v>0</v>
      </c>
      <c r="K10" s="686">
        <f>tertiair!J16</f>
        <v>5.8455164718712906E-2</v>
      </c>
      <c r="L10" s="686">
        <f>tertiair!K16</f>
        <v>0</v>
      </c>
      <c r="M10" s="686">
        <f ca="1">tertiair!L16</f>
        <v>0</v>
      </c>
      <c r="N10" s="686">
        <f>tertiair!M16</f>
        <v>0</v>
      </c>
      <c r="O10" s="686">
        <f ca="1">tertiair!N16</f>
        <v>2287.3324369073084</v>
      </c>
      <c r="P10" s="686">
        <f>tertiair!O16</f>
        <v>0</v>
      </c>
      <c r="Q10" s="687">
        <f>tertiair!P16</f>
        <v>52.539138306495019</v>
      </c>
      <c r="R10" s="689">
        <f ca="1">SUM(C10:Q10)</f>
        <v>50402.868601509159</v>
      </c>
      <c r="S10" s="67"/>
    </row>
    <row r="11" spans="1:19" s="448" customFormat="1">
      <c r="A11" s="808" t="s">
        <v>224</v>
      </c>
      <c r="B11" s="813"/>
      <c r="C11" s="686">
        <f>huishoudens!B8</f>
        <v>34532.363466778443</v>
      </c>
      <c r="D11" s="686">
        <f>huishoudens!C8</f>
        <v>0</v>
      </c>
      <c r="E11" s="686">
        <f>huishoudens!D8</f>
        <v>81717.117376619994</v>
      </c>
      <c r="F11" s="686">
        <f>huishoudens!E8</f>
        <v>4790.4442719132285</v>
      </c>
      <c r="G11" s="686">
        <f>huishoudens!F8</f>
        <v>21650.445400446391</v>
      </c>
      <c r="H11" s="686">
        <f>huishoudens!G8</f>
        <v>0</v>
      </c>
      <c r="I11" s="686">
        <f>huishoudens!H8</f>
        <v>0</v>
      </c>
      <c r="J11" s="686">
        <f>huishoudens!I8</f>
        <v>0</v>
      </c>
      <c r="K11" s="686">
        <f>huishoudens!J8</f>
        <v>0</v>
      </c>
      <c r="L11" s="686">
        <f>huishoudens!K8</f>
        <v>0</v>
      </c>
      <c r="M11" s="686">
        <f>huishoudens!L8</f>
        <v>0</v>
      </c>
      <c r="N11" s="686">
        <f>huishoudens!M8</f>
        <v>0</v>
      </c>
      <c r="O11" s="686">
        <f>huishoudens!N8</f>
        <v>6851.7654398324876</v>
      </c>
      <c r="P11" s="686">
        <f>huishoudens!O8</f>
        <v>295.6097746886677</v>
      </c>
      <c r="Q11" s="687">
        <f>huishoudens!P8</f>
        <v>684.70735499952639</v>
      </c>
      <c r="R11" s="689">
        <f>SUM(C11:Q11)</f>
        <v>150522.45308527874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6821.7720269999991</v>
      </c>
      <c r="D13" s="686">
        <f>industrie!C18</f>
        <v>12.175675675675675</v>
      </c>
      <c r="E13" s="686">
        <f>industrie!D18</f>
        <v>1306.4965007110272</v>
      </c>
      <c r="F13" s="686">
        <f>industrie!E18</f>
        <v>669.97293909285577</v>
      </c>
      <c r="G13" s="686">
        <f>industrie!F18</f>
        <v>2198.7782646382602</v>
      </c>
      <c r="H13" s="686">
        <f>industrie!G18</f>
        <v>0</v>
      </c>
      <c r="I13" s="686">
        <f>industrie!H18</f>
        <v>0</v>
      </c>
      <c r="J13" s="686">
        <f>industrie!I18</f>
        <v>0</v>
      </c>
      <c r="K13" s="686">
        <f>industrie!J18</f>
        <v>42.023995490840754</v>
      </c>
      <c r="L13" s="686">
        <f>industrie!K18</f>
        <v>0</v>
      </c>
      <c r="M13" s="686">
        <f>industrie!L18</f>
        <v>0</v>
      </c>
      <c r="N13" s="686">
        <f>industrie!M18</f>
        <v>0</v>
      </c>
      <c r="O13" s="686">
        <f>industrie!N18</f>
        <v>320.99828630237454</v>
      </c>
      <c r="P13" s="686">
        <f>industrie!O18</f>
        <v>0</v>
      </c>
      <c r="Q13" s="687">
        <f>industrie!P18</f>
        <v>0</v>
      </c>
      <c r="R13" s="689">
        <f>SUM(C13:Q13)</f>
        <v>11372.217688911032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58744.712973778442</v>
      </c>
      <c r="D16" s="722">
        <f t="shared" ref="D16:R16" ca="1" si="0">SUM(D9:D15)</f>
        <v>12.175675675675675</v>
      </c>
      <c r="E16" s="722">
        <f t="shared" ca="1" si="0"/>
        <v>111661.25737872101</v>
      </c>
      <c r="F16" s="722">
        <f t="shared" si="0"/>
        <v>5656.9124775714563</v>
      </c>
      <c r="G16" s="722">
        <f t="shared" ca="1" si="0"/>
        <v>25687.445988259919</v>
      </c>
      <c r="H16" s="722">
        <f t="shared" si="0"/>
        <v>0</v>
      </c>
      <c r="I16" s="722">
        <f t="shared" si="0"/>
        <v>0</v>
      </c>
      <c r="J16" s="722">
        <f t="shared" si="0"/>
        <v>0</v>
      </c>
      <c r="K16" s="722">
        <f t="shared" si="0"/>
        <v>42.08245065555947</v>
      </c>
      <c r="L16" s="722">
        <f t="shared" si="0"/>
        <v>0</v>
      </c>
      <c r="M16" s="722">
        <f t="shared" ca="1" si="0"/>
        <v>0</v>
      </c>
      <c r="N16" s="722">
        <f t="shared" si="0"/>
        <v>0</v>
      </c>
      <c r="O16" s="722">
        <f t="shared" ca="1" si="0"/>
        <v>9460.0961630421698</v>
      </c>
      <c r="P16" s="722">
        <f t="shared" si="0"/>
        <v>295.6097746886677</v>
      </c>
      <c r="Q16" s="722">
        <f t="shared" si="0"/>
        <v>737.24649330602142</v>
      </c>
      <c r="R16" s="722">
        <f t="shared" ca="1" si="0"/>
        <v>212297.53937569895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4450.1157688862249</v>
      </c>
      <c r="I19" s="686">
        <f>transport!H54</f>
        <v>0</v>
      </c>
      <c r="J19" s="686">
        <f>transport!I54</f>
        <v>0</v>
      </c>
      <c r="K19" s="686">
        <f>transport!J54</f>
        <v>0</v>
      </c>
      <c r="L19" s="686">
        <f>transport!K54</f>
        <v>0</v>
      </c>
      <c r="M19" s="686">
        <f>transport!L54</f>
        <v>0</v>
      </c>
      <c r="N19" s="686">
        <f>transport!M54</f>
        <v>247.29901322697398</v>
      </c>
      <c r="O19" s="686">
        <f>transport!N54</f>
        <v>0</v>
      </c>
      <c r="P19" s="686">
        <f>transport!O54</f>
        <v>0</v>
      </c>
      <c r="Q19" s="687">
        <f>transport!P54</f>
        <v>0</v>
      </c>
      <c r="R19" s="689">
        <f>SUM(C19:Q19)</f>
        <v>4697.4147821131992</v>
      </c>
      <c r="S19" s="67"/>
    </row>
    <row r="20" spans="1:19" s="448" customFormat="1">
      <c r="A20" s="808" t="s">
        <v>306</v>
      </c>
      <c r="B20" s="813"/>
      <c r="C20" s="686">
        <f>transport!B14</f>
        <v>139.2247072689201</v>
      </c>
      <c r="D20" s="686">
        <f>transport!C14</f>
        <v>0</v>
      </c>
      <c r="E20" s="686">
        <f>transport!D14</f>
        <v>492.34975868569705</v>
      </c>
      <c r="F20" s="686">
        <f>transport!E14</f>
        <v>469.01171386903059</v>
      </c>
      <c r="G20" s="686">
        <f>transport!F14</f>
        <v>0</v>
      </c>
      <c r="H20" s="686">
        <f>transport!G14</f>
        <v>206372.4363404983</v>
      </c>
      <c r="I20" s="686">
        <f>transport!H14</f>
        <v>46972.917825941709</v>
      </c>
      <c r="J20" s="686">
        <f>transport!I14</f>
        <v>0</v>
      </c>
      <c r="K20" s="686">
        <f>transport!J14</f>
        <v>0</v>
      </c>
      <c r="L20" s="686">
        <f>transport!K14</f>
        <v>0</v>
      </c>
      <c r="M20" s="686">
        <f>transport!L14</f>
        <v>0</v>
      </c>
      <c r="N20" s="686">
        <f>transport!M14</f>
        <v>15005.767516152917</v>
      </c>
      <c r="O20" s="686">
        <f>transport!N14</f>
        <v>0</v>
      </c>
      <c r="P20" s="686">
        <f>transport!O14</f>
        <v>0</v>
      </c>
      <c r="Q20" s="687">
        <f>transport!P14</f>
        <v>0</v>
      </c>
      <c r="R20" s="689">
        <f>SUM(C20:Q20)</f>
        <v>269451.70786241657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139.2247072689201</v>
      </c>
      <c r="D22" s="811">
        <f t="shared" ref="D22:R22" si="1">SUM(D18:D21)</f>
        <v>0</v>
      </c>
      <c r="E22" s="811">
        <f t="shared" si="1"/>
        <v>492.34975868569705</v>
      </c>
      <c r="F22" s="811">
        <f t="shared" si="1"/>
        <v>469.01171386903059</v>
      </c>
      <c r="G22" s="811">
        <f t="shared" si="1"/>
        <v>0</v>
      </c>
      <c r="H22" s="811">
        <f t="shared" si="1"/>
        <v>210822.55210938453</v>
      </c>
      <c r="I22" s="811">
        <f t="shared" si="1"/>
        <v>46972.917825941709</v>
      </c>
      <c r="J22" s="811">
        <f t="shared" si="1"/>
        <v>0</v>
      </c>
      <c r="K22" s="811">
        <f t="shared" si="1"/>
        <v>0</v>
      </c>
      <c r="L22" s="811">
        <f t="shared" si="1"/>
        <v>0</v>
      </c>
      <c r="M22" s="811">
        <f t="shared" si="1"/>
        <v>0</v>
      </c>
      <c r="N22" s="811">
        <f t="shared" si="1"/>
        <v>15253.06652937989</v>
      </c>
      <c r="O22" s="811">
        <f t="shared" si="1"/>
        <v>0</v>
      </c>
      <c r="P22" s="811">
        <f t="shared" si="1"/>
        <v>0</v>
      </c>
      <c r="Q22" s="811">
        <f t="shared" si="1"/>
        <v>0</v>
      </c>
      <c r="R22" s="811">
        <f t="shared" si="1"/>
        <v>274149.12264452979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856.56998799999997</v>
      </c>
      <c r="D24" s="686">
        <f>+landbouw!C8</f>
        <v>0</v>
      </c>
      <c r="E24" s="686">
        <f>+landbouw!D8</f>
        <v>557.83045632599999</v>
      </c>
      <c r="F24" s="686">
        <f>+landbouw!E8</f>
        <v>26.733266863544685</v>
      </c>
      <c r="G24" s="686">
        <f>+landbouw!F8</f>
        <v>3027.2132258555648</v>
      </c>
      <c r="H24" s="686">
        <f>+landbouw!G8</f>
        <v>0</v>
      </c>
      <c r="I24" s="686">
        <f>+landbouw!H8</f>
        <v>0</v>
      </c>
      <c r="J24" s="686">
        <f>+landbouw!I8</f>
        <v>0</v>
      </c>
      <c r="K24" s="686">
        <f>+landbouw!J8</f>
        <v>235.9909719548067</v>
      </c>
      <c r="L24" s="686">
        <f>+landbouw!K8</f>
        <v>0</v>
      </c>
      <c r="M24" s="686">
        <f>+landbouw!L8</f>
        <v>0</v>
      </c>
      <c r="N24" s="686">
        <f>+landbouw!M8</f>
        <v>0</v>
      </c>
      <c r="O24" s="686">
        <f>+landbouw!N8</f>
        <v>0</v>
      </c>
      <c r="P24" s="686">
        <f>+landbouw!O8</f>
        <v>0</v>
      </c>
      <c r="Q24" s="687">
        <f>+landbouw!P8</f>
        <v>0</v>
      </c>
      <c r="R24" s="689">
        <f>SUM(C24:Q24)</f>
        <v>4704.3379089999162</v>
      </c>
      <c r="S24" s="67"/>
    </row>
    <row r="25" spans="1:19" s="448" customFormat="1" ht="15" thickBot="1">
      <c r="A25" s="830" t="s">
        <v>724</v>
      </c>
      <c r="B25" s="949"/>
      <c r="C25" s="950">
        <f>IF(Onbekend_ele_kWh="---",0,Onbekend_ele_kWh)/1000+IF(REST_rest_ele_kWh="---",0,REST_rest_ele_kWh)/1000</f>
        <v>1163.360068</v>
      </c>
      <c r="D25" s="950"/>
      <c r="E25" s="950">
        <f>IF(onbekend_gas_kWh="---",0,onbekend_gas_kWh)/1000+IF(REST_rest_gas_kWh="---",0,REST_rest_gas_kWh)/1000</f>
        <v>2932.744944</v>
      </c>
      <c r="F25" s="950"/>
      <c r="G25" s="950"/>
      <c r="H25" s="950"/>
      <c r="I25" s="950"/>
      <c r="J25" s="950"/>
      <c r="K25" s="950"/>
      <c r="L25" s="950"/>
      <c r="M25" s="950"/>
      <c r="N25" s="950"/>
      <c r="O25" s="950"/>
      <c r="P25" s="950"/>
      <c r="Q25" s="951"/>
      <c r="R25" s="689">
        <f>SUM(C25:Q25)</f>
        <v>4096.105012</v>
      </c>
      <c r="S25" s="67"/>
    </row>
    <row r="26" spans="1:19" s="448" customFormat="1" ht="15.75" thickBot="1">
      <c r="A26" s="694" t="s">
        <v>725</v>
      </c>
      <c r="B26" s="816"/>
      <c r="C26" s="811">
        <f>SUM(C24:C25)</f>
        <v>2019.9300559999999</v>
      </c>
      <c r="D26" s="811">
        <f t="shared" ref="D26:R26" si="2">SUM(D24:D25)</f>
        <v>0</v>
      </c>
      <c r="E26" s="811">
        <f t="shared" si="2"/>
        <v>3490.5754003259999</v>
      </c>
      <c r="F26" s="811">
        <f t="shared" si="2"/>
        <v>26.733266863544685</v>
      </c>
      <c r="G26" s="811">
        <f t="shared" si="2"/>
        <v>3027.2132258555648</v>
      </c>
      <c r="H26" s="811">
        <f t="shared" si="2"/>
        <v>0</v>
      </c>
      <c r="I26" s="811">
        <f t="shared" si="2"/>
        <v>0</v>
      </c>
      <c r="J26" s="811">
        <f t="shared" si="2"/>
        <v>0</v>
      </c>
      <c r="K26" s="811">
        <f t="shared" si="2"/>
        <v>235.9909719548067</v>
      </c>
      <c r="L26" s="811">
        <f t="shared" si="2"/>
        <v>0</v>
      </c>
      <c r="M26" s="811">
        <f t="shared" si="2"/>
        <v>0</v>
      </c>
      <c r="N26" s="811">
        <f t="shared" si="2"/>
        <v>0</v>
      </c>
      <c r="O26" s="811">
        <f t="shared" si="2"/>
        <v>0</v>
      </c>
      <c r="P26" s="811">
        <f t="shared" si="2"/>
        <v>0</v>
      </c>
      <c r="Q26" s="811">
        <f t="shared" si="2"/>
        <v>0</v>
      </c>
      <c r="R26" s="811">
        <f t="shared" si="2"/>
        <v>8800.4429209999162</v>
      </c>
      <c r="S26" s="67"/>
    </row>
    <row r="27" spans="1:19" s="448" customFormat="1" ht="17.25" thickTop="1" thickBot="1">
      <c r="A27" s="695" t="s">
        <v>115</v>
      </c>
      <c r="B27" s="803"/>
      <c r="C27" s="696">
        <f ca="1">C22+C16+C26</f>
        <v>60903.86773704736</v>
      </c>
      <c r="D27" s="696">
        <f t="shared" ref="D27:R27" ca="1" si="3">D22+D16+D26</f>
        <v>12.175675675675675</v>
      </c>
      <c r="E27" s="696">
        <f t="shared" ca="1" si="3"/>
        <v>115644.1825377327</v>
      </c>
      <c r="F27" s="696">
        <f t="shared" si="3"/>
        <v>6152.657458304031</v>
      </c>
      <c r="G27" s="696">
        <f t="shared" ca="1" si="3"/>
        <v>28714.659214115483</v>
      </c>
      <c r="H27" s="696">
        <f t="shared" si="3"/>
        <v>210822.55210938453</v>
      </c>
      <c r="I27" s="696">
        <f t="shared" si="3"/>
        <v>46972.917825941709</v>
      </c>
      <c r="J27" s="696">
        <f t="shared" si="3"/>
        <v>0</v>
      </c>
      <c r="K27" s="696">
        <f t="shared" si="3"/>
        <v>278.07342261036615</v>
      </c>
      <c r="L27" s="696">
        <f t="shared" si="3"/>
        <v>0</v>
      </c>
      <c r="M27" s="696">
        <f t="shared" ca="1" si="3"/>
        <v>0</v>
      </c>
      <c r="N27" s="696">
        <f t="shared" si="3"/>
        <v>15253.06652937989</v>
      </c>
      <c r="O27" s="696">
        <f t="shared" ca="1" si="3"/>
        <v>9460.0961630421698</v>
      </c>
      <c r="P27" s="696">
        <f t="shared" si="3"/>
        <v>295.6097746886677</v>
      </c>
      <c r="Q27" s="696">
        <f t="shared" si="3"/>
        <v>737.24649330602142</v>
      </c>
      <c r="R27" s="696">
        <f t="shared" ca="1" si="3"/>
        <v>495247.10494122864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3583.0856236260524</v>
      </c>
      <c r="D40" s="686">
        <f ca="1">tertiair!C20</f>
        <v>0</v>
      </c>
      <c r="E40" s="686">
        <f ca="1">tertiair!D20</f>
        <v>5784.8039872807794</v>
      </c>
      <c r="F40" s="686">
        <f>tertiair!E20</f>
        <v>44.604425510339453</v>
      </c>
      <c r="G40" s="686">
        <f ca="1">tertiair!F20</f>
        <v>490.80536028779687</v>
      </c>
      <c r="H40" s="686">
        <f>tertiair!G20</f>
        <v>0</v>
      </c>
      <c r="I40" s="686">
        <f>tertiair!H20</f>
        <v>0</v>
      </c>
      <c r="J40" s="686">
        <f>tertiair!I20</f>
        <v>0</v>
      </c>
      <c r="K40" s="686">
        <f>tertiair!J20</f>
        <v>2.0693128310424368E-2</v>
      </c>
      <c r="L40" s="686">
        <f>tertiair!K20</f>
        <v>0</v>
      </c>
      <c r="M40" s="686">
        <f ca="1">tertiair!L20</f>
        <v>0</v>
      </c>
      <c r="N40" s="686">
        <f>tertiair!M20</f>
        <v>0</v>
      </c>
      <c r="O40" s="686">
        <f ca="1">tertiair!N20</f>
        <v>0</v>
      </c>
      <c r="P40" s="686">
        <f>tertiair!O20</f>
        <v>0</v>
      </c>
      <c r="Q40" s="769">
        <f>tertiair!P20</f>
        <v>0</v>
      </c>
      <c r="R40" s="849">
        <f t="shared" ca="1" si="4"/>
        <v>9903.320089833278</v>
      </c>
    </row>
    <row r="41" spans="1:18">
      <c r="A41" s="821" t="s">
        <v>224</v>
      </c>
      <c r="B41" s="828"/>
      <c r="C41" s="686">
        <f ca="1">huishoudens!B12</f>
        <v>7114.9112345430494</v>
      </c>
      <c r="D41" s="686">
        <f ca="1">huishoudens!C12</f>
        <v>0</v>
      </c>
      <c r="E41" s="686">
        <f>huishoudens!D12</f>
        <v>16506.857710077238</v>
      </c>
      <c r="F41" s="686">
        <f>huishoudens!E12</f>
        <v>1087.4308497243028</v>
      </c>
      <c r="G41" s="686">
        <f>huishoudens!F12</f>
        <v>5780.6689219191867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30489.868716263776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1405.5308574835235</v>
      </c>
      <c r="D43" s="686">
        <f ca="1">industrie!C22</f>
        <v>2.7327627627627624</v>
      </c>
      <c r="E43" s="686">
        <f>industrie!D22</f>
        <v>263.91229314362749</v>
      </c>
      <c r="F43" s="686">
        <f>industrie!E22</f>
        <v>152.08385717407828</v>
      </c>
      <c r="G43" s="686">
        <f>industrie!F22</f>
        <v>587.07379665841552</v>
      </c>
      <c r="H43" s="686">
        <f>industrie!G22</f>
        <v>0</v>
      </c>
      <c r="I43" s="686">
        <f>industrie!H22</f>
        <v>0</v>
      </c>
      <c r="J43" s="686">
        <f>industrie!I22</f>
        <v>0</v>
      </c>
      <c r="K43" s="686">
        <f>industrie!J22</f>
        <v>14.876494403757626</v>
      </c>
      <c r="L43" s="686">
        <f>industrie!K22</f>
        <v>0</v>
      </c>
      <c r="M43" s="686">
        <f>industrie!L22</f>
        <v>0</v>
      </c>
      <c r="N43" s="686">
        <f>industrie!M22</f>
        <v>0</v>
      </c>
      <c r="O43" s="686">
        <f>industrie!N22</f>
        <v>0</v>
      </c>
      <c r="P43" s="686">
        <f>industrie!O22</f>
        <v>0</v>
      </c>
      <c r="Q43" s="769">
        <f>industrie!P22</f>
        <v>0</v>
      </c>
      <c r="R43" s="848">
        <f t="shared" ca="1" si="4"/>
        <v>2426.210061626165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12103.527715652626</v>
      </c>
      <c r="D46" s="722">
        <f t="shared" ref="D46:Q46" ca="1" si="5">SUM(D39:D45)</f>
        <v>2.7327627627627624</v>
      </c>
      <c r="E46" s="722">
        <f t="shared" ca="1" si="5"/>
        <v>22555.573990501645</v>
      </c>
      <c r="F46" s="722">
        <f t="shared" si="5"/>
        <v>1284.1191324087206</v>
      </c>
      <c r="G46" s="722">
        <f t="shared" ca="1" si="5"/>
        <v>6858.5480788653995</v>
      </c>
      <c r="H46" s="722">
        <f t="shared" si="5"/>
        <v>0</v>
      </c>
      <c r="I46" s="722">
        <f t="shared" si="5"/>
        <v>0</v>
      </c>
      <c r="J46" s="722">
        <f t="shared" si="5"/>
        <v>0</v>
      </c>
      <c r="K46" s="722">
        <f t="shared" si="5"/>
        <v>14.897187532068051</v>
      </c>
      <c r="L46" s="722">
        <f t="shared" si="5"/>
        <v>0</v>
      </c>
      <c r="M46" s="722">
        <f t="shared" ca="1" si="5"/>
        <v>0</v>
      </c>
      <c r="N46" s="722">
        <f t="shared" si="5"/>
        <v>0</v>
      </c>
      <c r="O46" s="722">
        <f t="shared" ca="1" si="5"/>
        <v>0</v>
      </c>
      <c r="P46" s="722">
        <f t="shared" si="5"/>
        <v>0</v>
      </c>
      <c r="Q46" s="722">
        <f t="shared" si="5"/>
        <v>0</v>
      </c>
      <c r="R46" s="722">
        <f ca="1">SUM(R39:R45)</f>
        <v>42819.398867723219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1188.1809102926222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1188.1809102926222</v>
      </c>
    </row>
    <row r="50" spans="1:18">
      <c r="A50" s="824" t="s">
        <v>306</v>
      </c>
      <c r="B50" s="834"/>
      <c r="C50" s="692">
        <f ca="1">transport!B18</f>
        <v>28.685306605977825</v>
      </c>
      <c r="D50" s="692">
        <f>transport!C18</f>
        <v>0</v>
      </c>
      <c r="E50" s="692">
        <f>transport!D18</f>
        <v>99.454651254510807</v>
      </c>
      <c r="F50" s="692">
        <f>transport!E18</f>
        <v>106.46565904826994</v>
      </c>
      <c r="G50" s="692">
        <f>transport!F18</f>
        <v>0</v>
      </c>
      <c r="H50" s="692">
        <f>transport!G18</f>
        <v>55101.44050291305</v>
      </c>
      <c r="I50" s="692">
        <f>transport!H18</f>
        <v>11696.256538659485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67032.302658481291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28.685306605977825</v>
      </c>
      <c r="D52" s="722">
        <f t="shared" ref="D52:Q52" ca="1" si="6">SUM(D48:D51)</f>
        <v>0</v>
      </c>
      <c r="E52" s="722">
        <f t="shared" si="6"/>
        <v>99.454651254510807</v>
      </c>
      <c r="F52" s="722">
        <f t="shared" si="6"/>
        <v>106.46565904826994</v>
      </c>
      <c r="G52" s="722">
        <f t="shared" si="6"/>
        <v>0</v>
      </c>
      <c r="H52" s="722">
        <f t="shared" si="6"/>
        <v>56289.62141320567</v>
      </c>
      <c r="I52" s="722">
        <f t="shared" si="6"/>
        <v>11696.256538659485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68220.483568773911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176.48428369684825</v>
      </c>
      <c r="D54" s="692">
        <f ca="1">+landbouw!C12</f>
        <v>0</v>
      </c>
      <c r="E54" s="692">
        <f>+landbouw!D12</f>
        <v>112.681752177852</v>
      </c>
      <c r="F54" s="692">
        <f>+landbouw!E12</f>
        <v>6.0684515780246437</v>
      </c>
      <c r="G54" s="692">
        <f>+landbouw!F12</f>
        <v>808.26593130343588</v>
      </c>
      <c r="H54" s="692">
        <f>+landbouw!G12</f>
        <v>0</v>
      </c>
      <c r="I54" s="692">
        <f>+landbouw!H12</f>
        <v>0</v>
      </c>
      <c r="J54" s="692">
        <f>+landbouw!I12</f>
        <v>0</v>
      </c>
      <c r="K54" s="692">
        <f>+landbouw!J12</f>
        <v>83.540804072001563</v>
      </c>
      <c r="L54" s="692">
        <f>+landbouw!K12</f>
        <v>0</v>
      </c>
      <c r="M54" s="692">
        <f>+landbouw!L12</f>
        <v>0</v>
      </c>
      <c r="N54" s="692">
        <f>+landbouw!M12</f>
        <v>0</v>
      </c>
      <c r="O54" s="692">
        <f>+landbouw!N12</f>
        <v>0</v>
      </c>
      <c r="P54" s="692">
        <f>+landbouw!O12</f>
        <v>0</v>
      </c>
      <c r="Q54" s="693">
        <f>+landbouw!P12</f>
        <v>0</v>
      </c>
      <c r="R54" s="721">
        <f ca="1">SUM(C54:Q54)</f>
        <v>1187.0412228281623</v>
      </c>
    </row>
    <row r="55" spans="1:18" ht="15" thickBot="1">
      <c r="A55" s="824" t="s">
        <v>724</v>
      </c>
      <c r="B55" s="834"/>
      <c r="C55" s="692">
        <f ca="1">C25*'EF ele_warmte'!B12</f>
        <v>239.69409523894814</v>
      </c>
      <c r="D55" s="692"/>
      <c r="E55" s="692">
        <f>E25*EF_CO2_aardgas</f>
        <v>592.41447868800003</v>
      </c>
      <c r="F55" s="692"/>
      <c r="G55" s="692"/>
      <c r="H55" s="692"/>
      <c r="I55" s="692"/>
      <c r="J55" s="692"/>
      <c r="K55" s="692"/>
      <c r="L55" s="692"/>
      <c r="M55" s="692"/>
      <c r="N55" s="692"/>
      <c r="O55" s="692"/>
      <c r="P55" s="692"/>
      <c r="Q55" s="693"/>
      <c r="R55" s="721">
        <f ca="1">SUM(C55:Q55)</f>
        <v>832.10857392694811</v>
      </c>
    </row>
    <row r="56" spans="1:18" ht="15.75" thickBot="1">
      <c r="A56" s="822" t="s">
        <v>725</v>
      </c>
      <c r="B56" s="835"/>
      <c r="C56" s="722">
        <f ca="1">SUM(C54:C55)</f>
        <v>416.17837893579639</v>
      </c>
      <c r="D56" s="722">
        <f t="shared" ref="D56:Q56" ca="1" si="7">SUM(D54:D55)</f>
        <v>0</v>
      </c>
      <c r="E56" s="722">
        <f t="shared" si="7"/>
        <v>705.09623086585202</v>
      </c>
      <c r="F56" s="722">
        <f t="shared" si="7"/>
        <v>6.0684515780246437</v>
      </c>
      <c r="G56" s="722">
        <f t="shared" si="7"/>
        <v>808.26593130343588</v>
      </c>
      <c r="H56" s="722">
        <f t="shared" si="7"/>
        <v>0</v>
      </c>
      <c r="I56" s="722">
        <f t="shared" si="7"/>
        <v>0</v>
      </c>
      <c r="J56" s="722">
        <f t="shared" si="7"/>
        <v>0</v>
      </c>
      <c r="K56" s="722">
        <f t="shared" si="7"/>
        <v>83.540804072001563</v>
      </c>
      <c r="L56" s="722">
        <f t="shared" si="7"/>
        <v>0</v>
      </c>
      <c r="M56" s="722">
        <f t="shared" si="7"/>
        <v>0</v>
      </c>
      <c r="N56" s="722">
        <f t="shared" si="7"/>
        <v>0</v>
      </c>
      <c r="O56" s="722">
        <f t="shared" si="7"/>
        <v>0</v>
      </c>
      <c r="P56" s="722">
        <f t="shared" si="7"/>
        <v>0</v>
      </c>
      <c r="Q56" s="723">
        <f t="shared" si="7"/>
        <v>0</v>
      </c>
      <c r="R56" s="724">
        <f ca="1">SUM(R54:R55)</f>
        <v>2019.1497967551104</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12548.3914011944</v>
      </c>
      <c r="D61" s="730">
        <f t="shared" ref="D61:Q61" ca="1" si="8">D46+D52+D56</f>
        <v>2.7327627627627624</v>
      </c>
      <c r="E61" s="730">
        <f t="shared" ca="1" si="8"/>
        <v>23360.124872622007</v>
      </c>
      <c r="F61" s="730">
        <f t="shared" si="8"/>
        <v>1396.6532430350153</v>
      </c>
      <c r="G61" s="730">
        <f t="shared" ca="1" si="8"/>
        <v>7666.814010168835</v>
      </c>
      <c r="H61" s="730">
        <f t="shared" si="8"/>
        <v>56289.62141320567</v>
      </c>
      <c r="I61" s="730">
        <f t="shared" si="8"/>
        <v>11696.256538659485</v>
      </c>
      <c r="J61" s="730">
        <f t="shared" si="8"/>
        <v>0</v>
      </c>
      <c r="K61" s="730">
        <f t="shared" si="8"/>
        <v>98.437991604069609</v>
      </c>
      <c r="L61" s="730">
        <f t="shared" si="8"/>
        <v>0</v>
      </c>
      <c r="M61" s="730">
        <f t="shared" ca="1" si="8"/>
        <v>0</v>
      </c>
      <c r="N61" s="730">
        <f t="shared" si="8"/>
        <v>0</v>
      </c>
      <c r="O61" s="730">
        <f t="shared" ca="1" si="8"/>
        <v>0</v>
      </c>
      <c r="P61" s="730">
        <f t="shared" si="8"/>
        <v>0</v>
      </c>
      <c r="Q61" s="730">
        <f t="shared" si="8"/>
        <v>0</v>
      </c>
      <c r="R61" s="730">
        <f ca="1">R46+R52+R56</f>
        <v>113059.03223325225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0.20603603461396111</v>
      </c>
      <c r="D63" s="776">
        <f t="shared" ca="1" si="9"/>
        <v>0.22444444444444442</v>
      </c>
      <c r="E63" s="975">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4123.9486265649102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8.5</v>
      </c>
      <c r="D76" s="958">
        <f>'lokale energieproductie'!C8</f>
        <v>9.4444444444444429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1.9077777777777776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4123.9486265649102</v>
      </c>
      <c r="C78" s="748">
        <f>SUM(C72:C77)</f>
        <v>8.5</v>
      </c>
      <c r="D78" s="749">
        <f t="shared" ref="D78:H78" si="10">SUM(D76:D77)</f>
        <v>9.4444444444444429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1.9077777777777776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12.175675675675675</v>
      </c>
      <c r="D87" s="772">
        <f>'lokale energieproductie'!C17</f>
        <v>13.528528528528525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2.7327627627627624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12.175675675675675</v>
      </c>
      <c r="D90" s="748">
        <f t="shared" ref="D90:H90" si="12">SUM(D87:D89)</f>
        <v>13.528528528528525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2.7327627627627624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4123.9486265649102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8.5</v>
      </c>
      <c r="C8" s="548">
        <f>B48</f>
        <v>9.4444444444444429</v>
      </c>
      <c r="D8" s="549"/>
      <c r="E8" s="549">
        <f>E48</f>
        <v>0</v>
      </c>
      <c r="F8" s="550"/>
      <c r="G8" s="551"/>
      <c r="H8" s="549">
        <f>I48</f>
        <v>0</v>
      </c>
      <c r="I8" s="549">
        <f>G48+F48</f>
        <v>0</v>
      </c>
      <c r="J8" s="549">
        <f>H48+D48+C48</f>
        <v>0</v>
      </c>
      <c r="K8" s="549"/>
      <c r="L8" s="549"/>
      <c r="M8" s="549"/>
      <c r="N8" s="552"/>
      <c r="O8" s="553">
        <f>C8*$C$12+D8*$D$12+E8*$E$12+F8*$F$12+G8*$G$12+H8*$H$12+I8*$I$12+J8*$J$12</f>
        <v>1.9077777777777776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4132.4486265649102</v>
      </c>
      <c r="C10" s="563">
        <f t="shared" ref="C10:L10" si="0">SUM(C8:C9)</f>
        <v>9.4444444444444429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1.9077777777777776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12.175675675675675</v>
      </c>
      <c r="C17" s="579">
        <f>B49</f>
        <v>13.528528528528525</v>
      </c>
      <c r="D17" s="580"/>
      <c r="E17" s="580">
        <f>E49</f>
        <v>0</v>
      </c>
      <c r="F17" s="581"/>
      <c r="G17" s="582"/>
      <c r="H17" s="579">
        <f>I49</f>
        <v>0</v>
      </c>
      <c r="I17" s="580">
        <f>G49+F49</f>
        <v>0</v>
      </c>
      <c r="J17" s="580">
        <f>H49+D49+C49</f>
        <v>0</v>
      </c>
      <c r="K17" s="580"/>
      <c r="L17" s="580"/>
      <c r="M17" s="580"/>
      <c r="N17" s="972"/>
      <c r="O17" s="583">
        <f>C17*$C$22+E17*$E$22+H17*$H$22+I17*$I$22+J17*$J$22+D17*$D$22+F17*$F$22+G17*$G$22+K17*$K$22+L17*$L$22</f>
        <v>2.7327627627627624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12.175675675675675</v>
      </c>
      <c r="C20" s="562">
        <f>SUM(C17:C19)</f>
        <v>13.528528528528525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2.7327627627627624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23050</v>
      </c>
      <c r="C28" s="791">
        <v>1860</v>
      </c>
      <c r="D28" s="640" t="s">
        <v>888</v>
      </c>
      <c r="E28" s="639" t="s">
        <v>889</v>
      </c>
      <c r="F28" s="639" t="s">
        <v>890</v>
      </c>
      <c r="G28" s="639" t="s">
        <v>891</v>
      </c>
      <c r="H28" s="639" t="s">
        <v>891</v>
      </c>
      <c r="I28" s="639" t="s">
        <v>889</v>
      </c>
      <c r="J28" s="790">
        <v>42118</v>
      </c>
      <c r="K28" s="790">
        <v>42118</v>
      </c>
      <c r="L28" s="639" t="s">
        <v>892</v>
      </c>
      <c r="M28" s="639">
        <v>1.7</v>
      </c>
      <c r="N28" s="639">
        <v>8.5</v>
      </c>
      <c r="O28" s="639">
        <v>12.175675675675675</v>
      </c>
      <c r="P28" s="639">
        <v>22.972972972972972</v>
      </c>
      <c r="Q28" s="639">
        <v>0</v>
      </c>
      <c r="R28" s="639">
        <v>0</v>
      </c>
      <c r="S28" s="639">
        <v>0</v>
      </c>
      <c r="T28" s="639">
        <v>0</v>
      </c>
      <c r="U28" s="639">
        <v>0</v>
      </c>
      <c r="V28" s="639">
        <v>0</v>
      </c>
      <c r="W28" s="639">
        <v>0</v>
      </c>
      <c r="X28" s="639">
        <v>16000</v>
      </c>
      <c r="Y28" s="639" t="s">
        <v>893</v>
      </c>
      <c r="Z28" s="641" t="s">
        <v>384</v>
      </c>
    </row>
    <row r="29" spans="1:26" s="573" customFormat="1">
      <c r="A29" s="595" t="s">
        <v>279</v>
      </c>
      <c r="B29" s="596"/>
      <c r="C29" s="596"/>
      <c r="D29" s="596"/>
      <c r="E29" s="596"/>
      <c r="F29" s="596"/>
      <c r="G29" s="596"/>
      <c r="H29" s="596"/>
      <c r="I29" s="596"/>
      <c r="J29" s="596"/>
      <c r="K29" s="596"/>
      <c r="L29" s="597"/>
      <c r="M29" s="597">
        <f>SUM(M28:M28)</f>
        <v>1.7</v>
      </c>
      <c r="N29" s="597">
        <f>SUM(N28:N28)</f>
        <v>8.5</v>
      </c>
      <c r="O29" s="597">
        <f>SUM(O28:O28)</f>
        <v>12.175675675675675</v>
      </c>
      <c r="P29" s="597">
        <f>SUM(P28:P28)</f>
        <v>22.972972972972972</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1.7</v>
      </c>
      <c r="N30" s="597">
        <f>SUMIF($Z$28:$Z$28,"industrie",N28:N28)</f>
        <v>8.5</v>
      </c>
      <c r="O30" s="597">
        <f>SUMIF($Z$28:$Z$28,"industrie",O28:O28)</f>
        <v>12.175675675675675</v>
      </c>
      <c r="P30" s="597">
        <f>SUMIF($Z$28:$Z$28,"industrie",P28:P28)</f>
        <v>22.972972972972972</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0.5888888888888888</v>
      </c>
      <c r="C45" s="622">
        <f>IF(ISERROR(N29/(O29+N29)),0,N29/(N29+O29))</f>
        <v>0.41111111111111109</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9.4444444444444429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13.528528528528525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34532.363466778443</v>
      </c>
      <c r="C4" s="452">
        <f>huishoudens!C8</f>
        <v>0</v>
      </c>
      <c r="D4" s="452">
        <f>huishoudens!D8</f>
        <v>81717.117376619994</v>
      </c>
      <c r="E4" s="452">
        <f>huishoudens!E8</f>
        <v>4790.4442719132285</v>
      </c>
      <c r="F4" s="452">
        <f>huishoudens!F8</f>
        <v>21650.445400446391</v>
      </c>
      <c r="G4" s="452">
        <f>huishoudens!G8</f>
        <v>0</v>
      </c>
      <c r="H4" s="452">
        <f>huishoudens!H8</f>
        <v>0</v>
      </c>
      <c r="I4" s="452">
        <f>huishoudens!I8</f>
        <v>0</v>
      </c>
      <c r="J4" s="452">
        <f>huishoudens!J8</f>
        <v>0</v>
      </c>
      <c r="K4" s="452">
        <f>huishoudens!K8</f>
        <v>0</v>
      </c>
      <c r="L4" s="452">
        <f>huishoudens!L8</f>
        <v>0</v>
      </c>
      <c r="M4" s="452">
        <f>huishoudens!M8</f>
        <v>0</v>
      </c>
      <c r="N4" s="452">
        <f>huishoudens!N8</f>
        <v>6851.7654398324876</v>
      </c>
      <c r="O4" s="452">
        <f>huishoudens!O8</f>
        <v>295.6097746886677</v>
      </c>
      <c r="P4" s="453">
        <f>huishoudens!P8</f>
        <v>684.70735499952639</v>
      </c>
      <c r="Q4" s="454">
        <f>SUM(B4:P4)</f>
        <v>150522.45308527874</v>
      </c>
    </row>
    <row r="5" spans="1:17">
      <c r="A5" s="451" t="s">
        <v>155</v>
      </c>
      <c r="B5" s="452">
        <f ca="1">tertiair!B16</f>
        <v>15372.938480000001</v>
      </c>
      <c r="C5" s="452">
        <f ca="1">tertiair!C16</f>
        <v>0</v>
      </c>
      <c r="D5" s="452">
        <f ca="1">tertiair!D16</f>
        <v>28637.643501389997</v>
      </c>
      <c r="E5" s="452">
        <f>tertiair!E16</f>
        <v>196.49526656537202</v>
      </c>
      <c r="F5" s="452">
        <f ca="1">tertiair!F16</f>
        <v>1838.2223231752691</v>
      </c>
      <c r="G5" s="452">
        <f>tertiair!G16</f>
        <v>0</v>
      </c>
      <c r="H5" s="452">
        <f>tertiair!H16</f>
        <v>0</v>
      </c>
      <c r="I5" s="452">
        <f>tertiair!I16</f>
        <v>0</v>
      </c>
      <c r="J5" s="452">
        <f>tertiair!J16</f>
        <v>5.8455164718712906E-2</v>
      </c>
      <c r="K5" s="452">
        <f>tertiair!K16</f>
        <v>0</v>
      </c>
      <c r="L5" s="452">
        <f ca="1">tertiair!L16</f>
        <v>0</v>
      </c>
      <c r="M5" s="452">
        <f>tertiair!M16</f>
        <v>0</v>
      </c>
      <c r="N5" s="452">
        <f ca="1">tertiair!N16</f>
        <v>2287.3324369073084</v>
      </c>
      <c r="O5" s="452">
        <f>tertiair!O16</f>
        <v>0</v>
      </c>
      <c r="P5" s="453">
        <f>tertiair!P16</f>
        <v>52.539138306495019</v>
      </c>
      <c r="Q5" s="451">
        <f t="shared" ref="Q5:Q14" ca="1" si="0">SUM(B5:P5)</f>
        <v>48385.229601509163</v>
      </c>
    </row>
    <row r="6" spans="1:17">
      <c r="A6" s="451" t="s">
        <v>193</v>
      </c>
      <c r="B6" s="452">
        <f>'openbare verlichting'!B8</f>
        <v>2017.6389999999999</v>
      </c>
      <c r="C6" s="452"/>
      <c r="D6" s="452"/>
      <c r="E6" s="452"/>
      <c r="F6" s="452"/>
      <c r="G6" s="452"/>
      <c r="H6" s="452"/>
      <c r="I6" s="452"/>
      <c r="J6" s="452"/>
      <c r="K6" s="452"/>
      <c r="L6" s="452"/>
      <c r="M6" s="452"/>
      <c r="N6" s="452"/>
      <c r="O6" s="452"/>
      <c r="P6" s="453"/>
      <c r="Q6" s="451">
        <f t="shared" si="0"/>
        <v>2017.6389999999999</v>
      </c>
    </row>
    <row r="7" spans="1:17">
      <c r="A7" s="451" t="s">
        <v>111</v>
      </c>
      <c r="B7" s="452">
        <f>landbouw!B8</f>
        <v>856.56998799999997</v>
      </c>
      <c r="C7" s="452">
        <f>landbouw!C8</f>
        <v>0</v>
      </c>
      <c r="D7" s="452">
        <f>landbouw!D8</f>
        <v>557.83045632599999</v>
      </c>
      <c r="E7" s="452">
        <f>landbouw!E8</f>
        <v>26.733266863544685</v>
      </c>
      <c r="F7" s="452">
        <f>landbouw!F8</f>
        <v>3027.2132258555648</v>
      </c>
      <c r="G7" s="452">
        <f>landbouw!G8</f>
        <v>0</v>
      </c>
      <c r="H7" s="452">
        <f>landbouw!H8</f>
        <v>0</v>
      </c>
      <c r="I7" s="452">
        <f>landbouw!I8</f>
        <v>0</v>
      </c>
      <c r="J7" s="452">
        <f>landbouw!J8</f>
        <v>235.9909719548067</v>
      </c>
      <c r="K7" s="452">
        <f>landbouw!K8</f>
        <v>0</v>
      </c>
      <c r="L7" s="452">
        <f>landbouw!L8</f>
        <v>0</v>
      </c>
      <c r="M7" s="452">
        <f>landbouw!M8</f>
        <v>0</v>
      </c>
      <c r="N7" s="452">
        <f>landbouw!N8</f>
        <v>0</v>
      </c>
      <c r="O7" s="452">
        <f>landbouw!O8</f>
        <v>0</v>
      </c>
      <c r="P7" s="453">
        <f>landbouw!P8</f>
        <v>0</v>
      </c>
      <c r="Q7" s="451">
        <f t="shared" si="0"/>
        <v>4704.3379089999162</v>
      </c>
    </row>
    <row r="8" spans="1:17">
      <c r="A8" s="451" t="s">
        <v>625</v>
      </c>
      <c r="B8" s="452">
        <f>industrie!B18</f>
        <v>6821.7720269999991</v>
      </c>
      <c r="C8" s="452">
        <f>industrie!C18</f>
        <v>12.175675675675675</v>
      </c>
      <c r="D8" s="452">
        <f>industrie!D18</f>
        <v>1306.4965007110272</v>
      </c>
      <c r="E8" s="452">
        <f>industrie!E18</f>
        <v>669.97293909285577</v>
      </c>
      <c r="F8" s="452">
        <f>industrie!F18</f>
        <v>2198.7782646382602</v>
      </c>
      <c r="G8" s="452">
        <f>industrie!G18</f>
        <v>0</v>
      </c>
      <c r="H8" s="452">
        <f>industrie!H18</f>
        <v>0</v>
      </c>
      <c r="I8" s="452">
        <f>industrie!I18</f>
        <v>0</v>
      </c>
      <c r="J8" s="452">
        <f>industrie!J18</f>
        <v>42.023995490840754</v>
      </c>
      <c r="K8" s="452">
        <f>industrie!K18</f>
        <v>0</v>
      </c>
      <c r="L8" s="452">
        <f>industrie!L18</f>
        <v>0</v>
      </c>
      <c r="M8" s="452">
        <f>industrie!M18</f>
        <v>0</v>
      </c>
      <c r="N8" s="452">
        <f>industrie!N18</f>
        <v>320.99828630237454</v>
      </c>
      <c r="O8" s="452">
        <f>industrie!O18</f>
        <v>0</v>
      </c>
      <c r="P8" s="453">
        <f>industrie!P18</f>
        <v>0</v>
      </c>
      <c r="Q8" s="451">
        <f t="shared" si="0"/>
        <v>11372.217688911032</v>
      </c>
    </row>
    <row r="9" spans="1:17" s="457" customFormat="1">
      <c r="A9" s="455" t="s">
        <v>551</v>
      </c>
      <c r="B9" s="456">
        <f>transport!B14</f>
        <v>139.2247072689201</v>
      </c>
      <c r="C9" s="456">
        <f>transport!C14</f>
        <v>0</v>
      </c>
      <c r="D9" s="456">
        <f>transport!D14</f>
        <v>492.34975868569705</v>
      </c>
      <c r="E9" s="456">
        <f>transport!E14</f>
        <v>469.01171386903059</v>
      </c>
      <c r="F9" s="456">
        <f>transport!F14</f>
        <v>0</v>
      </c>
      <c r="G9" s="456">
        <f>transport!G14</f>
        <v>206372.4363404983</v>
      </c>
      <c r="H9" s="456">
        <f>transport!H14</f>
        <v>46972.917825941709</v>
      </c>
      <c r="I9" s="456">
        <f>transport!I14</f>
        <v>0</v>
      </c>
      <c r="J9" s="456">
        <f>transport!J14</f>
        <v>0</v>
      </c>
      <c r="K9" s="456">
        <f>transport!K14</f>
        <v>0</v>
      </c>
      <c r="L9" s="456">
        <f>transport!L14</f>
        <v>0</v>
      </c>
      <c r="M9" s="456">
        <f>transport!M14</f>
        <v>15005.767516152917</v>
      </c>
      <c r="N9" s="456">
        <f>transport!N14</f>
        <v>0</v>
      </c>
      <c r="O9" s="456">
        <f>transport!O14</f>
        <v>0</v>
      </c>
      <c r="P9" s="456">
        <f>transport!P14</f>
        <v>0</v>
      </c>
      <c r="Q9" s="455">
        <f>SUM(B9:P9)</f>
        <v>269451.70786241657</v>
      </c>
    </row>
    <row r="10" spans="1:17">
      <c r="A10" s="451" t="s">
        <v>541</v>
      </c>
      <c r="B10" s="452">
        <f>transport!B54</f>
        <v>0</v>
      </c>
      <c r="C10" s="452">
        <f>transport!C54</f>
        <v>0</v>
      </c>
      <c r="D10" s="452">
        <f>transport!D54</f>
        <v>0</v>
      </c>
      <c r="E10" s="452">
        <f>transport!E54</f>
        <v>0</v>
      </c>
      <c r="F10" s="452">
        <f>transport!F54</f>
        <v>0</v>
      </c>
      <c r="G10" s="452">
        <f>transport!G54</f>
        <v>4450.1157688862249</v>
      </c>
      <c r="H10" s="452">
        <f>transport!H54</f>
        <v>0</v>
      </c>
      <c r="I10" s="452">
        <f>transport!I54</f>
        <v>0</v>
      </c>
      <c r="J10" s="452">
        <f>transport!J54</f>
        <v>0</v>
      </c>
      <c r="K10" s="452">
        <f>transport!K54</f>
        <v>0</v>
      </c>
      <c r="L10" s="452">
        <f>transport!L54</f>
        <v>0</v>
      </c>
      <c r="M10" s="452">
        <f>transport!M54</f>
        <v>247.29901322697398</v>
      </c>
      <c r="N10" s="452">
        <f>transport!N54</f>
        <v>0</v>
      </c>
      <c r="O10" s="452">
        <f>transport!O54</f>
        <v>0</v>
      </c>
      <c r="P10" s="453">
        <f>transport!P54</f>
        <v>0</v>
      </c>
      <c r="Q10" s="451">
        <f t="shared" si="0"/>
        <v>4697.4147821131992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1163.360068</v>
      </c>
      <c r="C14" s="459"/>
      <c r="D14" s="459">
        <f>'SEAP template'!E25</f>
        <v>2932.744944</v>
      </c>
      <c r="E14" s="459"/>
      <c r="F14" s="459"/>
      <c r="G14" s="459"/>
      <c r="H14" s="459"/>
      <c r="I14" s="459"/>
      <c r="J14" s="459"/>
      <c r="K14" s="459"/>
      <c r="L14" s="459"/>
      <c r="M14" s="459"/>
      <c r="N14" s="459"/>
      <c r="O14" s="459"/>
      <c r="P14" s="460"/>
      <c r="Q14" s="451">
        <f t="shared" si="0"/>
        <v>4096.105012</v>
      </c>
    </row>
    <row r="15" spans="1:17" s="463" customFormat="1">
      <c r="A15" s="461" t="s">
        <v>545</v>
      </c>
      <c r="B15" s="462">
        <f ca="1">SUM(B4:B14)</f>
        <v>60903.867737047374</v>
      </c>
      <c r="C15" s="462">
        <f t="shared" ref="C15:Q15" ca="1" si="1">SUM(C4:C14)</f>
        <v>12.175675675675675</v>
      </c>
      <c r="D15" s="462">
        <f t="shared" ca="1" si="1"/>
        <v>115644.18253773272</v>
      </c>
      <c r="E15" s="462">
        <f t="shared" si="1"/>
        <v>6152.657458304031</v>
      </c>
      <c r="F15" s="462">
        <f t="shared" ca="1" si="1"/>
        <v>28714.659214115483</v>
      </c>
      <c r="G15" s="462">
        <f t="shared" si="1"/>
        <v>210822.55210938453</v>
      </c>
      <c r="H15" s="462">
        <f t="shared" si="1"/>
        <v>46972.917825941709</v>
      </c>
      <c r="I15" s="462">
        <f t="shared" si="1"/>
        <v>0</v>
      </c>
      <c r="J15" s="462">
        <f t="shared" si="1"/>
        <v>278.07342261036615</v>
      </c>
      <c r="K15" s="462">
        <f t="shared" si="1"/>
        <v>0</v>
      </c>
      <c r="L15" s="462">
        <f t="shared" ca="1" si="1"/>
        <v>0</v>
      </c>
      <c r="M15" s="462">
        <f t="shared" si="1"/>
        <v>15253.06652937989</v>
      </c>
      <c r="N15" s="462">
        <f t="shared" ca="1" si="1"/>
        <v>9460.0961630421698</v>
      </c>
      <c r="O15" s="462">
        <f t="shared" si="1"/>
        <v>295.6097746886677</v>
      </c>
      <c r="P15" s="462">
        <f t="shared" si="1"/>
        <v>737.24649330602142</v>
      </c>
      <c r="Q15" s="462">
        <f t="shared" ca="1" si="1"/>
        <v>495247.10494122864</v>
      </c>
    </row>
    <row r="17" spans="1:17">
      <c r="A17" s="464" t="s">
        <v>546</v>
      </c>
      <c r="B17" s="781">
        <f ca="1">huishoudens!B10</f>
        <v>0.20603603461396111</v>
      </c>
      <c r="C17" s="781">
        <f ca="1">huishoudens!C10</f>
        <v>0.22444444444444442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7114.9112345430494</v>
      </c>
      <c r="C22" s="452">
        <f t="shared" ref="C22:C32" ca="1" si="3">C4*$C$17</f>
        <v>0</v>
      </c>
      <c r="D22" s="452">
        <f t="shared" ref="D22:D32" si="4">D4*$D$17</f>
        <v>16506.857710077238</v>
      </c>
      <c r="E22" s="452">
        <f t="shared" ref="E22:E32" si="5">E4*$E$17</f>
        <v>1087.4308497243028</v>
      </c>
      <c r="F22" s="452">
        <f t="shared" ref="F22:F32" si="6">F4*$F$17</f>
        <v>5780.6689219191867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30489.868716263776</v>
      </c>
    </row>
    <row r="23" spans="1:17">
      <c r="A23" s="451" t="s">
        <v>155</v>
      </c>
      <c r="B23" s="452">
        <f t="shared" ca="1" si="2"/>
        <v>3167.3792847835748</v>
      </c>
      <c r="C23" s="452">
        <f t="shared" ca="1" si="3"/>
        <v>0</v>
      </c>
      <c r="D23" s="452">
        <f t="shared" ca="1" si="4"/>
        <v>5784.8039872807794</v>
      </c>
      <c r="E23" s="452">
        <f t="shared" si="5"/>
        <v>44.604425510339453</v>
      </c>
      <c r="F23" s="452">
        <f t="shared" ca="1" si="6"/>
        <v>490.80536028779687</v>
      </c>
      <c r="G23" s="452">
        <f t="shared" si="7"/>
        <v>0</v>
      </c>
      <c r="H23" s="452">
        <f t="shared" si="8"/>
        <v>0</v>
      </c>
      <c r="I23" s="452">
        <f t="shared" si="9"/>
        <v>0</v>
      </c>
      <c r="J23" s="452">
        <f t="shared" si="10"/>
        <v>2.0693128310424368E-2</v>
      </c>
      <c r="K23" s="452">
        <f t="shared" si="11"/>
        <v>0</v>
      </c>
      <c r="L23" s="452">
        <f t="shared" ca="1" si="12"/>
        <v>0</v>
      </c>
      <c r="M23" s="452">
        <f t="shared" si="13"/>
        <v>0</v>
      </c>
      <c r="N23" s="452">
        <f t="shared" ca="1" si="14"/>
        <v>0</v>
      </c>
      <c r="O23" s="452">
        <f t="shared" si="15"/>
        <v>0</v>
      </c>
      <c r="P23" s="453">
        <f t="shared" si="16"/>
        <v>0</v>
      </c>
      <c r="Q23" s="451">
        <f t="shared" ref="Q23:Q31" ca="1" si="17">SUM(B23:P23)</f>
        <v>9487.6137509908003</v>
      </c>
    </row>
    <row r="24" spans="1:17">
      <c r="A24" s="451" t="s">
        <v>193</v>
      </c>
      <c r="B24" s="452">
        <f t="shared" ca="1" si="2"/>
        <v>415.70633884247786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415.70633884247786</v>
      </c>
    </row>
    <row r="25" spans="1:17">
      <c r="A25" s="451" t="s">
        <v>111</v>
      </c>
      <c r="B25" s="452">
        <f t="shared" ca="1" si="2"/>
        <v>176.48428369684825</v>
      </c>
      <c r="C25" s="452">
        <f t="shared" ca="1" si="3"/>
        <v>0</v>
      </c>
      <c r="D25" s="452">
        <f t="shared" si="4"/>
        <v>112.681752177852</v>
      </c>
      <c r="E25" s="452">
        <f t="shared" si="5"/>
        <v>6.0684515780246437</v>
      </c>
      <c r="F25" s="452">
        <f t="shared" si="6"/>
        <v>808.26593130343588</v>
      </c>
      <c r="G25" s="452">
        <f t="shared" si="7"/>
        <v>0</v>
      </c>
      <c r="H25" s="452">
        <f t="shared" si="8"/>
        <v>0</v>
      </c>
      <c r="I25" s="452">
        <f t="shared" si="9"/>
        <v>0</v>
      </c>
      <c r="J25" s="452">
        <f t="shared" si="10"/>
        <v>83.540804072001563</v>
      </c>
      <c r="K25" s="452">
        <f t="shared" si="11"/>
        <v>0</v>
      </c>
      <c r="L25" s="452">
        <f t="shared" si="12"/>
        <v>0</v>
      </c>
      <c r="M25" s="452">
        <f t="shared" si="13"/>
        <v>0</v>
      </c>
      <c r="N25" s="452">
        <f t="shared" si="14"/>
        <v>0</v>
      </c>
      <c r="O25" s="452">
        <f t="shared" si="15"/>
        <v>0</v>
      </c>
      <c r="P25" s="453">
        <f t="shared" si="16"/>
        <v>0</v>
      </c>
      <c r="Q25" s="451">
        <f t="shared" ca="1" si="17"/>
        <v>1187.0412228281623</v>
      </c>
    </row>
    <row r="26" spans="1:17">
      <c r="A26" s="451" t="s">
        <v>625</v>
      </c>
      <c r="B26" s="452">
        <f t="shared" ca="1" si="2"/>
        <v>1405.5308574835235</v>
      </c>
      <c r="C26" s="452">
        <f t="shared" ca="1" si="3"/>
        <v>2.7327627627627624</v>
      </c>
      <c r="D26" s="452">
        <f t="shared" si="4"/>
        <v>263.91229314362749</v>
      </c>
      <c r="E26" s="452">
        <f t="shared" si="5"/>
        <v>152.08385717407828</v>
      </c>
      <c r="F26" s="452">
        <f t="shared" si="6"/>
        <v>587.07379665841552</v>
      </c>
      <c r="G26" s="452">
        <f t="shared" si="7"/>
        <v>0</v>
      </c>
      <c r="H26" s="452">
        <f t="shared" si="8"/>
        <v>0</v>
      </c>
      <c r="I26" s="452">
        <f t="shared" si="9"/>
        <v>0</v>
      </c>
      <c r="J26" s="452">
        <f t="shared" si="10"/>
        <v>14.876494403757626</v>
      </c>
      <c r="K26" s="452">
        <f t="shared" si="11"/>
        <v>0</v>
      </c>
      <c r="L26" s="452">
        <f t="shared" si="12"/>
        <v>0</v>
      </c>
      <c r="M26" s="452">
        <f t="shared" si="13"/>
        <v>0</v>
      </c>
      <c r="N26" s="452">
        <f t="shared" si="14"/>
        <v>0</v>
      </c>
      <c r="O26" s="452">
        <f t="shared" si="15"/>
        <v>0</v>
      </c>
      <c r="P26" s="453">
        <f t="shared" si="16"/>
        <v>0</v>
      </c>
      <c r="Q26" s="451">
        <f t="shared" ca="1" si="17"/>
        <v>2426.210061626165</v>
      </c>
    </row>
    <row r="27" spans="1:17" s="457" customFormat="1">
      <c r="A27" s="455" t="s">
        <v>551</v>
      </c>
      <c r="B27" s="775">
        <f t="shared" ca="1" si="2"/>
        <v>28.685306605977825</v>
      </c>
      <c r="C27" s="456">
        <f t="shared" ca="1" si="3"/>
        <v>0</v>
      </c>
      <c r="D27" s="456">
        <f t="shared" si="4"/>
        <v>99.454651254510807</v>
      </c>
      <c r="E27" s="456">
        <f t="shared" si="5"/>
        <v>106.46565904826994</v>
      </c>
      <c r="F27" s="456">
        <f t="shared" si="6"/>
        <v>0</v>
      </c>
      <c r="G27" s="456">
        <f t="shared" si="7"/>
        <v>55101.44050291305</v>
      </c>
      <c r="H27" s="456">
        <f t="shared" si="8"/>
        <v>11696.256538659485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67032.302658481291</v>
      </c>
    </row>
    <row r="28" spans="1:17" ht="16.5" customHeight="1">
      <c r="A28" s="451" t="s">
        <v>541</v>
      </c>
      <c r="B28" s="452">
        <f t="shared" ca="1" si="2"/>
        <v>0</v>
      </c>
      <c r="C28" s="452">
        <f t="shared" ca="1" si="3"/>
        <v>0</v>
      </c>
      <c r="D28" s="452">
        <f t="shared" si="4"/>
        <v>0</v>
      </c>
      <c r="E28" s="452">
        <f t="shared" si="5"/>
        <v>0</v>
      </c>
      <c r="F28" s="452">
        <f t="shared" si="6"/>
        <v>0</v>
      </c>
      <c r="G28" s="452">
        <f t="shared" si="7"/>
        <v>1188.1809102926222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1188.1809102926222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239.69409523894814</v>
      </c>
      <c r="C32" s="452">
        <f t="shared" ca="1" si="3"/>
        <v>0</v>
      </c>
      <c r="D32" s="452">
        <f t="shared" si="4"/>
        <v>592.41447868800003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832.10857392694811</v>
      </c>
    </row>
    <row r="33" spans="1:17" s="463" customFormat="1">
      <c r="A33" s="461" t="s">
        <v>545</v>
      </c>
      <c r="B33" s="462">
        <f ca="1">SUM(B22:B32)</f>
        <v>12548.391401194398</v>
      </c>
      <c r="C33" s="462">
        <f t="shared" ref="C33:Q33" ca="1" si="19">SUM(C22:C32)</f>
        <v>2.7327627627627624</v>
      </c>
      <c r="D33" s="462">
        <f t="shared" ca="1" si="19"/>
        <v>23360.124872622004</v>
      </c>
      <c r="E33" s="462">
        <f t="shared" si="19"/>
        <v>1396.6532430350153</v>
      </c>
      <c r="F33" s="462">
        <f t="shared" ca="1" si="19"/>
        <v>7666.814010168835</v>
      </c>
      <c r="G33" s="462">
        <f t="shared" si="19"/>
        <v>56289.62141320567</v>
      </c>
      <c r="H33" s="462">
        <f t="shared" si="19"/>
        <v>11696.256538659485</v>
      </c>
      <c r="I33" s="462">
        <f t="shared" si="19"/>
        <v>0</v>
      </c>
      <c r="J33" s="462">
        <f t="shared" si="19"/>
        <v>98.437991604069623</v>
      </c>
      <c r="K33" s="462">
        <f t="shared" si="19"/>
        <v>0</v>
      </c>
      <c r="L33" s="462">
        <f t="shared" ca="1" si="19"/>
        <v>0</v>
      </c>
      <c r="M33" s="462">
        <f t="shared" si="19"/>
        <v>0</v>
      </c>
      <c r="N33" s="462">
        <f t="shared" ca="1" si="19"/>
        <v>0</v>
      </c>
      <c r="O33" s="462">
        <f t="shared" si="19"/>
        <v>0</v>
      </c>
      <c r="P33" s="462">
        <f t="shared" si="19"/>
        <v>0</v>
      </c>
      <c r="Q33" s="462">
        <f t="shared" ca="1" si="19"/>
        <v>113059.03223325225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4123.9486265649102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8.5</v>
      </c>
      <c r="D8" s="1029">
        <f>'SEAP template'!D76</f>
        <v>9.4444444444444429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1.9077777777777776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4123.9486265649102</v>
      </c>
      <c r="C10" s="1031">
        <f>SUM(C4:C9)</f>
        <v>8.5</v>
      </c>
      <c r="D10" s="1031">
        <f t="shared" ref="D10:H10" si="0">SUM(D8:D9)</f>
        <v>9.4444444444444429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1.9077777777777776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0.20603603461396111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12.175675675675675</v>
      </c>
      <c r="D17" s="1030">
        <f>'SEAP template'!D87</f>
        <v>13.528528528528525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2.7327627627627624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12.175675675675675</v>
      </c>
      <c r="D20" s="1031">
        <f t="shared" ref="D20:H20" si="2">SUM(D17:D19)</f>
        <v>13.528528528528525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2.7327627627627624</v>
      </c>
    </row>
    <row r="21" spans="1:16">
      <c r="B21" s="887"/>
    </row>
    <row r="22" spans="1:16">
      <c r="A22" s="464" t="s">
        <v>797</v>
      </c>
      <c r="B22" s="781" t="s">
        <v>795</v>
      </c>
      <c r="C22" s="781">
        <f ca="1">'EF ele_warmte'!B22</f>
        <v>0.22444444444444442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0.20603603461396111</v>
      </c>
      <c r="C17" s="501">
        <f ca="1">'EF ele_warmte'!B22</f>
        <v>0.22444444444444442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2020-06-20T15:30:35Z</dcterms:modified>
</cp:coreProperties>
</file>