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<sst xmlns="http://schemas.openxmlformats.org/spreadsheetml/2006/main" count="2402" uniqueCount="888">
  <si>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</si>
  <si>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</si>
  <si>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</si>
  <si>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</si>
  <si>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</si>
  <si>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</si>
  <si>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</si>
  <si>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</si>
  <si>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</si>
  <si>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</si>
  <si>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</si>
  <si>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</si>
  <si>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</si>
  <si>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</si>
  <si>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</si>
  <si>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</si>
  <si>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</si>
  <si>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</si>
  <si>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</si>
  <si>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</si>
  <si>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</si>
  <si>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</si>
  <si>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</si>
  <si>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</si>
  <si>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</si>
  <si>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</si>
  <si>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</si>
  <si>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</si>
  <si>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</si>
  <si>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</si>
  <si>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</si>
  <si>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</si>
  <si>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</si>
  <si>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</si>
  <si>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</si>
  <si>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</si>
  <si>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</si>
  <si>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</si>
  <si>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</si>
  <si>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</si>
  <si>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</si>
  <si>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</si>
  <si>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</si>
  <si>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</si>
  <si>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</si>
  <si>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</si>
  <si>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</si>
  <si>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</si>
  <si>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</si>
  <si>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</si>
  <si>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</si>
  <si>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</si>
  <si>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</si>
  <si>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</si>
  <si>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</si>
  <si>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</si>
  <si>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</si>
  <si>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</si>
  <si>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</si>
  <si>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</si>
  <si>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</si>
  <si>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</si>
  <si>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</si>
  <si>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</si>
  <si>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</si>
  <si>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</si>
  <si>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</si>
  <si>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</si>
  <si>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</si>
  <si>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</si>
  <si>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</si>
  <si>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</si>
  <si>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</si>
  <si>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</si>
  <si>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</si>
  <si>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</si>
  <si>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</si>
  <si>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</si>
  <si>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</si>
  <si>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</si>
  <si>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</si>
  <si>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</si>
  <si>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</si>
  <si>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</si>
  <si>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</si>
  <si>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</si>
  <si>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</si>
  <si>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</si>
  <si>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</si>
  <si>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</si>
  <si>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</si>
  <si>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</si>
  <si>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</si>
  <si>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</si>
  <si>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</si>
  <si>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</si>
  <si>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</si>
  <si>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</si>
  <si>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</si>
  <si>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</si>
  <si>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</si>
  <si>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</si>
  <si>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</si>
  <si>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</si>
  <si>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</si>
  <si>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</si>
  <si>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</si>
  <si>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</si>
  <si>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</si>
  <si>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</si>
  <si>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</si>
  <si>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</si>
  <si>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</si>
  <si>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</si>
  <si>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</si>
  <si>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</si>
  <si>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</si>
  <si>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</si>
  <si>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</si>
  <si>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</si>
  <si>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</si>
  <si>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</si>
  <si>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</si>
  <si>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</si>
  <si>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</si>
  <si>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</si>
  <si>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</si>
  <si>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</si>
  <si>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</si>
  <si>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</si>
  <si>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</si>
  <si>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</si>
  <si>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</si>
  <si>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</si>
  <si>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</si>
  <si>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</si>
  <si>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</si>
  <si>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</si>
  <si>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</si>
  <si>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</si>
  <si>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</si>
  <si>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</si>
  <si>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</si>
  <si>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</si>
  <si>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</si>
  <si>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</si>
  <si>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</si>
  <si>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</si>
  <si>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</si>
  <si>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</si>
  <si>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</si>
  <si>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</si>
  <si>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</si>
  <si>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</si>
  <si>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</si>
  <si>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</si>
  <si>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</si>
  <si>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</si>
  <si>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</si>
  <si>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</si>
  <si>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</si>
  <si>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</si>
  <si>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</si>
  <si>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</si>
  <si>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</si>
  <si>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</si>
  <si>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</si>
  <si>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</si>
  <si>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</si>
  <si>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</si>
  <si>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</si>
  <si>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</si>
  <si>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</si>
  <si>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</si>
  <si>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</si>
  <si>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</si>
  <si>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</si>
  <si>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</si>
  <si>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</si>
  <si>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</si>
  <si>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</si>
  <si>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</si>
  <si>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</si>
  <si>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</si>
  <si>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</si>
  <si>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</si>
  <si>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</si>
  <si>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</si>
  <si>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</si>
  <si>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</si>
  <si>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</si>
  <si>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</si>
  <si>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</si>
  <si>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</si>
  <si>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</si>
  <si>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</si>
  <si>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</si>
  <si>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</si>
  <si>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</si>
  <si>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</si>
  <si>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</si>
  <si>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</si>
  <si>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</si>
  <si>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</si>
  <si>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</si>
  <si>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</si>
  <si>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</si>
  <si>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</si>
  <si>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</si>
  <si>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</si>
  <si>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</si>
  <si>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</si>
  <si>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</si>
  <si>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</si>
  <si>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</si>
  <si>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</si>
  <si>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</si>
  <si>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</si>
  <si>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</si>
  <si>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</si>
  <si>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</si>
  <si>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</si>
  <si>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</si>
  <si>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</si>
  <si>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</si>
  <si>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</si>
  <si>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</si>
  <si>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</si>
  <si>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</si>
  <si>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</si>
  <si>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</si>
  <si>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</si>
  <si>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</si>
  <si>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</si>
  <si>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</si>
  <si>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</si>
  <si>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</si>
  <si>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</si>
  <si>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</si>
  <si>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</si>
  <si>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</si>
  <si>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</si>
  <si>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</si>
  <si>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</si>
  <si>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</si>
  <si>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</si>
  <si>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</si>
  <si>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</si>
  <si>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</si>
  <si>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</si>
  <si>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</si>
  <si>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</si>
  <si>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</si>
  <si>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</si>
  <si>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</si>
  <si>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</si>
  <si>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</si>
  <si>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</si>
  <si>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</si>
  <si>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</si>
  <si>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</si>
  <si>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</si>
  <si>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</si>
  <si>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</si>
  <si>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</si>
  <si>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</si>
  <si>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</si>
  <si>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</si>
  <si>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</si>
  <si>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</si>
  <si>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</si>
  <si>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</si>
  <si>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</si>
  <si>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</si>
  <si>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</si>
  <si>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</si>
  <si>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</si>
  <si>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</si>
  <si>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</si>
  <si>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</si>
  <si>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</si>
  <si>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</si>
  <si>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</si>
  <si>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</si>
  <si>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</si>
  <si>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</si>
  <si>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</si>
  <si>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</si>
  <si>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</si>
  <si>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</si>
  <si>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</si>
  <si>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</si>
  <si>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</si>
  <si>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</si>
  <si>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</si>
  <si>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</si>
  <si>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</si>
  <si>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</si>
  <si>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</si>
  <si>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</si>
  <si>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</si>
  <si>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</si>
  <si>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</si>
  <si>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</si>
  <si>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</si>
  <si>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</si>
  <si>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</si>
  <si>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</si>
  <si>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</si>
  <si>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</si>
  <si>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</si>
  <si>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</si>
  <si>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</si>
  <si>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</si>
  <si>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</si>
  <si>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</si>
  <si>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</si>
  <si>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</si>
  <si>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</si>
  <si>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</si>
  <si>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</si>
  <si>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</si>
  <si>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</si>
  <si>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</si>
  <si>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</si>
  <si>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</si>
  <si>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</si>
  <si>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</si>
  <si>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</si>
  <si>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</si>
  <si>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</si>
  <si>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</si>
  <si>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</si>
  <si>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</si>
  <si>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</si>
  <si>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</si>
  <si>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</si>
  <si>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</si>
  <si>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</si>
  <si>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</si>
  <si>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</si>
  <si>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</si>
  <si>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</si>
  <si>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</si>
  <si>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</si>
  <si>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</si>
  <si>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</si>
  <si>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</si>
  <si>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</si>
  <si>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</si>
  <si>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</si>
  <si>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</si>
  <si>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</si>
  <si>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</si>
  <si>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</si>
  <si>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</si>
  <si>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</si>
  <si>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</si>
  <si>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</si>
  <si>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</si>
  <si>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</si>
  <si>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</si>
  <si>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</si>
  <si>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</si>
  <si>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</si>
  <si>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</si>
  <si>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</si>
  <si>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</si>
  <si>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</si>
  <si>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</si>
  <si>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</si>
  <si>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</si>
  <si>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</si>
  <si>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</si>
  <si>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</si>
  <si>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</si>
  <si>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</si>
  <si>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</si>
  <si>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</si>
  <si>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</si>
  <si>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</si>
  <si>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</si>
  <si>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</si>
  <si>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</si>
  <si>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</si>
  <si>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</si>
  <si>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</si>
  <si>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</si>
  <si>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</si>
  <si>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</si>
  <si>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</si>
  <si>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</si>
  <si>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</si>
  <si>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</si>
  <si>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</si>
  <si>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</si>
  <si>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</si>
  <si>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</si>
  <si>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</si>
  <si>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</si>
  <si>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</si>
  <si>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</si>
  <si>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</si>
  <si>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</si>
  <si>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</si>
  <si>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</si>
  <si>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</si>
  <si>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</si>
  <si>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</si>
  <si>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</si>
  <si>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</si>
  <si>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</si>
  <si>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</si>
  <si>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</si>
  <si>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</si>
  <si>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</si>
  <si>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</si>
  <si>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</si>
  <si>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</si>
  <si>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</si>
  <si>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</si>
  <si>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</si>
  <si>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</si>
  <si>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</si>
  <si>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</si>
  <si>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</si>
  <si>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</si>
  <si>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</si>
  <si>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</si>
  <si>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</si>
  <si>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</si>
  <si>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</si>
  <si>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</si>
  <si>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</si>
  <si>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</si>
  <si>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</si>
  <si>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</si>
  <si>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</si>
  <si>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</si>
  <si>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</si>
  <si>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</si>
  <si>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</si>
  <si>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</si>
  <si>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</si>
  <si>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</si>
  <si>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</si>
  <si>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</si>
  <si>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</si>
  <si>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</si>
  <si>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</si>
  <si>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</si>
  <si>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</si>
  <si>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</si>
  <si>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</si>
  <si>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</si>
  <si>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</si>
  <si>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</si>
  <si>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</si>
  <si>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</si>
  <si>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</si>
  <si>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</si>
  <si>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</si>
  <si>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</si>
  <si>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</si>
  <si>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</si>
  <si>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</si>
  <si>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</si>
  <si>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</si>
  <si>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</si>
  <si>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</si>
  <si>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</si>
  <si>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</si>
  <si>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</si>
  <si>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</si>
  <si>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</si>
  <si>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</si>
  <si>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</si>
  <si>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</si>
  <si>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</si>
  <si>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</si>
  <si>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</si>
  <si>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</si>
  <si>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</si>
  <si>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</si>
  <si>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</si>
  <si>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</si>
  <si>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</si>
  <si>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</si>
  <si>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</si>
  <si>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</si>
  <si>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</si>
  <si>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</si>
  <si>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</si>
  <si>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</si>
  <si>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</si>
  <si>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</si>
  <si>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</si>
  <si>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</si>
  <si>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</si>
  <si>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</si>
  <si>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</si>
  <si>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</si>
  <si>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</si>
  <si>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</si>
  <si>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</si>
  <si>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</si>
  <si>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</si>
  <si>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</si>
  <si>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</si>
  <si>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</si>
  <si>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</si>
  <si>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</si>
  <si>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</si>
  <si>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</si>
  <si>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</si>
  <si>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</si>
  <si>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</si>
  <si>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</si>
  <si>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</si>
  <si>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</si>
  <si>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</si>
  <si>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</si>
  <si>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</si>
  <si>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</si>
  <si>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</si>
  <si>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</si>
  <si>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</si>
  <si>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</si>
  <si>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</si>
  <si>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</si>
  <si>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</si>
  <si>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</si>
  <si>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</si>
  <si>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</si>
  <si>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</si>
  <si>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</si>
  <si>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</si>
  <si>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</si>
  <si>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</si>
  <si>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</si>
  <si>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</si>
  <si>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</si>
  <si>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</si>
  <si>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</si>
  <si>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</si>
  <si>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</si>
  <si>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</si>
  <si>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</si>
  <si>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</si>
  <si>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</si>
  <si>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</si>
  <si>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</si>
  <si>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</si>
  <si>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</si>
  <si>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</si>
  <si>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</si>
  <si>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</si>
  <si>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</si>
  <si>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</si>
  <si>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</si>
  <si>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</si>
  <si>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</si>
  <si>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</si>
  <si>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</si>
  <si>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</si>
  <si>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</si>
  <si>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</si>
  <si>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</si>
  <si>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</si>
  <si>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</si>
  <si>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</si>
  <si>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</si>
  <si>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</si>
  <si>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</si>
  <si>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</si>
  <si>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</si>
  <si>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</si>
  <si>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</si>
  <si>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</si>
  <si>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</si>
  <si>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</si>
  <si>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</si>
  <si>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</si>
  <si>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</si>
  <si>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</si>
  <si>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</si>
  <si>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</si>
  <si>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</si>
  <si>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</si>
  <si>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</si>
  <si>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</si>
  <si>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</si>
  <si>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</si>
  <si>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</si>
  <si>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</si>
  <si>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</si>
  <si>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</si>
  <si>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</si>
  <si>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</si>
  <si>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</si>
  <si>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</si>
  <si>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</si>
  <si>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</si>
  <si>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</si>
  <si>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</si>
  <si>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</si>
  <si>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</si>
  <si>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</si>
  <si>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</si>
  <si>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</si>
  <si>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</si>
  <si>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</si>
  <si>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</si>
  <si>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</si>
  <si>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</si>
  <si>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</si>
  <si>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</si>
  <si>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</si>
  <si>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</si>
  <si>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</si>
  <si>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</si>
  <si>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</si>
  <si>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</si>
  <si>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</si>
  <si>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</si>
  <si>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</si>
  <si>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</si>
  <si>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</si>
  <si>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</si>
  <si>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</si>
  <si>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</si>
  <si>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</si>
  <si>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</si>
  <si>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</si>
  <si>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</si>
  <si>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</si>
  <si>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</si>
  <si>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</si>
  <si>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</si>
  <si>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</si>
  <si>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</si>
  <si>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</si>
  <si>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</si>
  <si>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</si>
  <si>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</si>
  <si>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</si>
  <si>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</si>
  <si>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</si>
  <si>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</si>
  <si>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</si>
  <si>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</si>
  <si>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</si>
  <si>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</si>
  <si>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</si>
  <si>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</si>
  <si>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</si>
  <si>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</si>
  <si>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</si>
  <si>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</si>
  <si>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</si>
  <si>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</si>
  <si>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</si>
  <si>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</si>
  <si>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</si>
  <si>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</si>
  <si>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</si>
  <si>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</si>
  <si>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</si>
  <si>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</si>
  <si>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</si>
  <si>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</si>
  <si>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</si>
  <si>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</si>
  <si>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</si>
  <si>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</si>
  <si>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</si>
  <si>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</si>
  <si>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</si>
  <si>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</si>
  <si>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</si>
  <si>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</si>
  <si>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</si>
  <si>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</si>
  <si>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</si>
  <si>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</si>
  <si>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</si>
  <si>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</si>
  <si>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</si>
  <si>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</si>
  <si>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</si>
  <si>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</si>
  <si>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</si>
  <si>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</si>
  <si>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</si>
  <si>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</si>
  <si>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</si>
  <si>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</si>
  <si>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</si>
  <si>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</si>
  <si>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</si>
  <si>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</si>
  <si>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</si>
  <si>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</si>
  <si>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</si>
  <si>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</si>
  <si>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</si>
  <si>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</si>
  <si>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</si>
  <si>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</si>
  <si>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</si>
  <si>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</si>
  <si>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</si>
  <si>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</si>
  <si>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</si>
  <si>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</si>
  <si>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</si>
  <si>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</si>
  <si>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</si>
  <si>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</si>
  <si>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</si>
  <si>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</si>
  <si>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</si>
  <si>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</si>
  <si>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</si>
  <si>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</si>
  <si>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</si>
  <si>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</si>
  <si>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</si>
  <si>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</si>
  <si>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</si>
  <si>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</si>
  <si>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</si>
  <si>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</si>
  <si>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</si>
  <si>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</si>
  <si>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</si>
  <si>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</si>
  <si>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</si>
  <si>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</si>
  <si>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</si>
  <si>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</si>
  <si>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</si>
  <si>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</si>
  <si>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</si>
  <si>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</si>
  <si>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</si>
  <si>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</si>
  <si>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</si>
  <si>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</si>
  <si>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</si>
  <si>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</si>
  <si>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</si>
  <si>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</si>
  <si>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</si>
  <si>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</si>
  <si>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</si>
  <si>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</si>
  <si>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</si>
  <si>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</si>
  <si>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</si>
  <si>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</si>
  <si>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</si>
  <si>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</si>
  <si>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</si>
  <si>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</si>
  <si>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</si>
  <si>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</si>
  <si>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</si>
  <si>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</si>
  <si>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</si>
  <si>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</si>
  <si>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</si>
  <si>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</si>
  <si>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</si>
  <si>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</si>
  <si>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</si>
  <si>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</si>
  <si>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</si>
  <si>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</si>
  <si>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</si>
  <si>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</si>
  <si>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</si>
  <si>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</si>
  <si>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</si>
  <si>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</si>
  <si>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</si>
  <si>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</si>
  <si>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</si>
  <si>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</si>
  <si>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</si>
  <si>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</si>
  <si>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</si>
  <si>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</si>
  <si>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</si>
  <si>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</si>
  <si>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</si>
  <si>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</si>
  <si>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</si>
  <si>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</si>
  <si>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</si>
  <si>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</si>
  <si>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</si>
  <si>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</si>
  <si>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</si>
  <si>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</si>
  <si>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</si>
  <si>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</si>
  <si>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</si>
  <si>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</si>
  <si>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</si>
  <si>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</si>
  <si>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</si>
  <si>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</si>
  <si>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</si>
  <si>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</si>
  <si>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</si>
  <si>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</si>
  <si>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</si>
  <si>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</si>
  <si>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</si>
  <si>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</si>
  <si>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</si>
  <si>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</si>
  <si>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</si>
  <si>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</si>
  <si>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</si>
  <si>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</si>
  <si>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</si>
  <si>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</si>
  <si>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</si>
  <si>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</si>
  <si>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</si>
  <si>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</si>
  <si>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</si>
  <si>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</si>
  <si>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</si>
  <si>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</si>
  <si>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</si>
  <si>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</si>
  <si>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</si>
  <si>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</si>
  <si>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</si>
  <si>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</si>
  <si>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</si>
  <si>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</si>
  <si>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</si>
  <si>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</si>
  <si>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</si>
  <si>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</si>
  <si>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</si>
  <si>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</si>
  <si>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</si>
  <si>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</si>
  <si>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</si>
  <si>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</si>
  <si>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</si>
  <si>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</si>
  <si>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</si>
  <si>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</si>
  <si>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</si>
  <si>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</si>
  <si>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</si>
  <si>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</si>
  <si>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</si>
  <si>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</si>
  <si>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</si>
  <si>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</si>
  <si>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</si>
  <si>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</si>
  <si>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</si>
  <si>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</si>
  <si>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</si>
  <si>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</si>
  <si>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</si>
  <si>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</si>
  <si>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</si>
  <si>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</si>
  <si>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</si>
  <si>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</si>
  <si>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</si>
  <si>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</si>
  <si>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</si>
  <si>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</si>
  <si>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</si>
  <si>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</si>
  <si>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23032</t>
  </si>
  <si>
    <t>HERNE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</si>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</sst>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67808.654818220384</c:v>
                </c:pt>
                <c:pt idx="1">
                  <c:v>6998.556773027718</c:v>
                </c:pt>
                <c:pt idx="2">
                  <c:v>567.553</c:v>
                </c:pt>
                <c:pt idx="3">
                  <c:v>4705.7216346808482</c:v>
                </c:pt>
                <c:pt idx="4">
                  <c:v>35493.504865985022</c:v>
                </c:pt>
                <c:pt idx="5">
                  <c:v>53976.304130510907</c:v>
                </c:pt>
                <c:pt idx="6">
                  <c:v>381.497059773042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67808.654818220384</c:v>
                </c:pt>
                <c:pt idx="1">
                  <c:v>6998.556773027718</c:v>
                </c:pt>
                <c:pt idx="2">
                  <c:v>567.553</c:v>
                </c:pt>
                <c:pt idx="3">
                  <c:v>4705.7216346808482</c:v>
                </c:pt>
                <c:pt idx="4">
                  <c:v>35493.504865985022</c:v>
                </c:pt>
                <c:pt idx="5">
                  <c:v>53976.304130510907</c:v>
                </c:pt>
                <c:pt idx="6">
                  <c:v>381.497059773042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13821.648931144766</c:v>
                </c:pt>
                <c:pt idx="1">
                  <c:v>1390.2136154395087</c:v>
                </c:pt>
                <c:pt idx="2">
                  <c:v>118.85332650634989</c:v>
                </c:pt>
                <c:pt idx="3">
                  <c:v>1218.5124835218273</c:v>
                </c:pt>
                <c:pt idx="4">
                  <c:v>7183.7128601874101</c:v>
                </c:pt>
                <c:pt idx="5">
                  <c:v>13411.776798359293</c:v>
                </c:pt>
                <c:pt idx="6">
                  <c:v>96.497231941517867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13821.648931144766</c:v>
                </c:pt>
                <c:pt idx="1">
                  <c:v>1390.2136154395087</c:v>
                </c:pt>
                <c:pt idx="2">
                  <c:v>118.85332650634989</c:v>
                </c:pt>
                <c:pt idx="3">
                  <c:v>1218.5124835218273</c:v>
                </c:pt>
                <c:pt idx="4">
                  <c:v>7183.7128601874101</c:v>
                </c:pt>
                <c:pt idx="5">
                  <c:v>13411.776798359293</c:v>
                </c:pt>
                <c:pt idx="6">
                  <c:v>96.497231941517867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23032</v>
      </c>
      <c r="B6" s="390"/>
      <c r="C6" s="391"/>
    </row>
    <row r="7" spans="1:7" s="388" customFormat="1" ht="15.75" customHeight="1">
      <c r="A7" s="392" t="str">
        <f>txtMunicipality</f>
        <v>HERNE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0.2094136168892595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0.2094136168892595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2629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3371.83</v>
      </c>
      <c r="C14" s="330"/>
      <c r="D14" s="330"/>
      <c r="E14" s="330"/>
      <c r="F14" s="330"/>
    </row>
    <row r="15" spans="1:6">
      <c r="A15" s="1298" t="s">
        <v>183</v>
      </c>
      <c r="B15" s="1299">
        <v>32</v>
      </c>
      <c r="C15" s="330"/>
      <c r="D15" s="330"/>
      <c r="E15" s="330"/>
      <c r="F15" s="330"/>
    </row>
    <row r="16" spans="1:6">
      <c r="A16" s="1298" t="s">
        <v>6</v>
      </c>
      <c r="B16" s="1299">
        <v>1183</v>
      </c>
      <c r="C16" s="330"/>
      <c r="D16" s="330"/>
      <c r="E16" s="330"/>
      <c r="F16" s="330"/>
    </row>
    <row r="17" spans="1:6">
      <c r="A17" s="1298" t="s">
        <v>7</v>
      </c>
      <c r="B17" s="1299">
        <v>827</v>
      </c>
      <c r="C17" s="330"/>
      <c r="D17" s="330"/>
      <c r="E17" s="330"/>
      <c r="F17" s="330"/>
    </row>
    <row r="18" spans="1:6">
      <c r="A18" s="1298" t="s">
        <v>8</v>
      </c>
      <c r="B18" s="1299">
        <v>1197</v>
      </c>
      <c r="C18" s="330"/>
      <c r="D18" s="330"/>
      <c r="E18" s="330"/>
      <c r="F18" s="330"/>
    </row>
    <row r="19" spans="1:6">
      <c r="A19" s="1298" t="s">
        <v>9</v>
      </c>
      <c r="B19" s="1299">
        <v>1188</v>
      </c>
      <c r="C19" s="330"/>
      <c r="D19" s="330"/>
      <c r="E19" s="330"/>
      <c r="F19" s="330"/>
    </row>
    <row r="20" spans="1:6">
      <c r="A20" s="1298" t="s">
        <v>10</v>
      </c>
      <c r="B20" s="1299">
        <v>877</v>
      </c>
      <c r="C20" s="330"/>
      <c r="D20" s="330"/>
      <c r="E20" s="330"/>
      <c r="F20" s="330"/>
    </row>
    <row r="21" spans="1:6">
      <c r="A21" s="1298" t="s">
        <v>11</v>
      </c>
      <c r="B21" s="1299">
        <v>0</v>
      </c>
      <c r="C21" s="330"/>
      <c r="D21" s="330"/>
      <c r="E21" s="330"/>
      <c r="F21" s="330"/>
    </row>
    <row r="22" spans="1:6">
      <c r="A22" s="1298" t="s">
        <v>12</v>
      </c>
      <c r="B22" s="1299">
        <v>1591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124</v>
      </c>
      <c r="C26" s="330"/>
      <c r="D26" s="330"/>
      <c r="E26" s="330"/>
      <c r="F26" s="330"/>
    </row>
    <row r="27" spans="1:6">
      <c r="A27" s="1298" t="s">
        <v>17</v>
      </c>
      <c r="B27" s="1299">
        <v>2</v>
      </c>
      <c r="C27" s="330"/>
      <c r="D27" s="330"/>
      <c r="E27" s="330"/>
      <c r="F27" s="330"/>
    </row>
    <row r="28" spans="1:6" s="43" customFormat="1">
      <c r="A28" s="1300" t="s">
        <v>18</v>
      </c>
      <c r="B28" s="1301">
        <v>45008</v>
      </c>
      <c r="C28" s="336"/>
      <c r="D28" s="336"/>
      <c r="E28" s="336"/>
      <c r="F28" s="336"/>
    </row>
    <row r="29" spans="1:6">
      <c r="A29" s="1300" t="s">
        <v>705</v>
      </c>
      <c r="B29" s="1301">
        <v>75</v>
      </c>
      <c r="C29" s="336"/>
      <c r="D29" s="336"/>
      <c r="E29" s="336"/>
      <c r="F29" s="336"/>
    </row>
    <row r="30" spans="1:6">
      <c r="A30" s="1293" t="s">
        <v>706</v>
      </c>
      <c r="B30" s="1302">
        <v>94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9</v>
      </c>
      <c r="F36" s="1299">
        <v>33774</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6189</v>
      </c>
    </row>
    <row r="39" spans="1:6">
      <c r="A39" s="1298" t="s">
        <v>29</v>
      </c>
      <c r="B39" s="1298" t="s">
        <v>30</v>
      </c>
      <c r="C39" s="1299">
        <v>654</v>
      </c>
      <c r="D39" s="1299">
        <v>10225091.300000001</v>
      </c>
      <c r="E39" s="1299">
        <v>2559</v>
      </c>
      <c r="F39" s="1299">
        <v>10689468.159</v>
      </c>
    </row>
    <row r="40" spans="1:6">
      <c r="A40" s="1298" t="s">
        <v>29</v>
      </c>
      <c r="B40" s="1298" t="s">
        <v>28</v>
      </c>
      <c r="C40" s="1299">
        <v>0</v>
      </c>
      <c r="D40" s="1299">
        <v>0</v>
      </c>
      <c r="E40" s="1299">
        <v>0</v>
      </c>
      <c r="F40" s="1299">
        <v>0</v>
      </c>
    </row>
    <row r="41" spans="1:6">
      <c r="A41" s="1298" t="s">
        <v>31</v>
      </c>
      <c r="B41" s="1298" t="s">
        <v>32</v>
      </c>
      <c r="C41" s="1299">
        <v>7</v>
      </c>
      <c r="D41" s="1299">
        <v>188821</v>
      </c>
      <c r="E41" s="1299">
        <v>59</v>
      </c>
      <c r="F41" s="1299">
        <v>374906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11</v>
      </c>
      <c r="F44" s="1299">
        <v>137302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25618987</v>
      </c>
      <c r="E48" s="1299">
        <v>4</v>
      </c>
      <c r="F48" s="1299">
        <v>10971</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10082724</v>
      </c>
    </row>
    <row r="51" spans="1:6">
      <c r="A51" s="1298" t="s">
        <v>41</v>
      </c>
      <c r="B51" s="1298" t="s">
        <v>42</v>
      </c>
      <c r="C51" s="1299">
        <v>4</v>
      </c>
      <c r="D51" s="1299">
        <v>77160</v>
      </c>
      <c r="E51" s="1299">
        <v>91</v>
      </c>
      <c r="F51" s="1299">
        <v>957713</v>
      </c>
    </row>
    <row r="52" spans="1:6">
      <c r="A52" s="1298" t="s">
        <v>41</v>
      </c>
      <c r="B52" s="1298" t="s">
        <v>28</v>
      </c>
      <c r="C52" s="1299">
        <v>0</v>
      </c>
      <c r="D52" s="1299">
        <v>0</v>
      </c>
      <c r="E52" s="1299">
        <v>0</v>
      </c>
      <c r="F52" s="1299">
        <v>0</v>
      </c>
    </row>
    <row r="53" spans="1:6">
      <c r="A53" s="1298" t="s">
        <v>43</v>
      </c>
      <c r="B53" s="1298" t="s">
        <v>44</v>
      </c>
      <c r="C53" s="1299">
        <v>9</v>
      </c>
      <c r="D53" s="1299">
        <v>132395</v>
      </c>
      <c r="E53" s="1299">
        <v>55</v>
      </c>
      <c r="F53" s="1299">
        <v>284416.15000000002</v>
      </c>
    </row>
    <row r="54" spans="1:6">
      <c r="A54" s="1298" t="s">
        <v>45</v>
      </c>
      <c r="B54" s="1298" t="s">
        <v>46</v>
      </c>
      <c r="C54" s="1299">
        <v>0</v>
      </c>
      <c r="D54" s="1299">
        <v>0</v>
      </c>
      <c r="E54" s="1299">
        <v>1</v>
      </c>
      <c r="F54" s="1299">
        <v>567553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345007</v>
      </c>
      <c r="E57" s="1299">
        <v>57</v>
      </c>
      <c r="F57" s="1299">
        <v>507799.08299999998</v>
      </c>
    </row>
    <row r="58" spans="1:6">
      <c r="A58" s="1298" t="s">
        <v>48</v>
      </c>
      <c r="B58" s="1298" t="s">
        <v>50</v>
      </c>
      <c r="C58" s="1299">
        <v>8</v>
      </c>
      <c r="D58" s="1299">
        <v>377527.8</v>
      </c>
      <c r="E58" s="1299">
        <v>14</v>
      </c>
      <c r="F58" s="1299">
        <v>399782.79</v>
      </c>
    </row>
    <row r="59" spans="1:6">
      <c r="A59" s="1298" t="s">
        <v>48</v>
      </c>
      <c r="B59" s="1298" t="s">
        <v>51</v>
      </c>
      <c r="C59" s="1299">
        <v>10</v>
      </c>
      <c r="D59" s="1299">
        <v>293448</v>
      </c>
      <c r="E59" s="1299">
        <v>75</v>
      </c>
      <c r="F59" s="1299">
        <v>1366740.513</v>
      </c>
    </row>
    <row r="60" spans="1:6">
      <c r="A60" s="1298" t="s">
        <v>48</v>
      </c>
      <c r="B60" s="1298" t="s">
        <v>52</v>
      </c>
      <c r="C60" s="1299">
        <v>17</v>
      </c>
      <c r="D60" s="1299">
        <v>589046.44999999995</v>
      </c>
      <c r="E60" s="1299">
        <v>34</v>
      </c>
      <c r="F60" s="1299">
        <v>508522.75</v>
      </c>
    </row>
    <row r="61" spans="1:6">
      <c r="A61" s="1298" t="s">
        <v>48</v>
      </c>
      <c r="B61" s="1298" t="s">
        <v>53</v>
      </c>
      <c r="C61" s="1299">
        <v>27</v>
      </c>
      <c r="D61" s="1299">
        <v>923065.8</v>
      </c>
      <c r="E61" s="1299">
        <v>91</v>
      </c>
      <c r="F61" s="1299">
        <v>884270.43799999997</v>
      </c>
    </row>
    <row r="62" spans="1:6">
      <c r="A62" s="1298" t="s">
        <v>48</v>
      </c>
      <c r="B62" s="1298" t="s">
        <v>54</v>
      </c>
      <c r="C62" s="1299">
        <v>0</v>
      </c>
      <c r="D62" s="1299">
        <v>0</v>
      </c>
      <c r="E62" s="1299">
        <v>5</v>
      </c>
      <c r="F62" s="1299">
        <v>104947.67600000001</v>
      </c>
    </row>
    <row r="63" spans="1:6">
      <c r="A63" s="1298" t="s">
        <v>48</v>
      </c>
      <c r="B63" s="1298" t="s">
        <v>28</v>
      </c>
      <c r="C63" s="1299">
        <v>1</v>
      </c>
      <c r="D63" s="1299">
        <v>78532</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27656</v>
      </c>
      <c r="E65" s="1299">
        <v>0</v>
      </c>
      <c r="F65" s="1299">
        <v>0</v>
      </c>
    </row>
    <row r="66" spans="1:6">
      <c r="A66" s="1298" t="s">
        <v>55</v>
      </c>
      <c r="B66" s="1298" t="s">
        <v>57</v>
      </c>
      <c r="C66" s="1299">
        <v>0</v>
      </c>
      <c r="D66" s="1299">
        <v>0</v>
      </c>
      <c r="E66" s="1299">
        <v>6</v>
      </c>
      <c r="F66" s="1299">
        <v>8298</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27827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56881129</v>
      </c>
      <c r="E73" s="450"/>
      <c r="F73" s="330"/>
    </row>
    <row r="74" spans="1:6">
      <c r="A74" s="1298" t="s">
        <v>63</v>
      </c>
      <c r="B74" s="1298" t="s">
        <v>647</v>
      </c>
      <c r="C74" s="1312" t="s">
        <v>649</v>
      </c>
      <c r="D74" s="1313">
        <v>3928677</v>
      </c>
      <c r="E74" s="450"/>
      <c r="F74" s="330"/>
    </row>
    <row r="75" spans="1:6">
      <c r="A75" s="1298" t="s">
        <v>64</v>
      </c>
      <c r="B75" s="1298" t="s">
        <v>646</v>
      </c>
      <c r="C75" s="1312" t="s">
        <v>650</v>
      </c>
      <c r="D75" s="1313">
        <v>8195185</v>
      </c>
      <c r="E75" s="450"/>
      <c r="F75" s="330"/>
    </row>
    <row r="76" spans="1:6">
      <c r="A76" s="1298" t="s">
        <v>64</v>
      </c>
      <c r="B76" s="1298" t="s">
        <v>647</v>
      </c>
      <c r="C76" s="1312" t="s">
        <v>651</v>
      </c>
      <c r="D76" s="1313">
        <v>216280</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104724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1392.7040288861788</v>
      </c>
      <c r="C91" s="330"/>
      <c r="D91" s="330"/>
      <c r="E91" s="330"/>
      <c r="F91" s="330"/>
    </row>
    <row r="92" spans="1:6">
      <c r="A92" s="1293" t="s">
        <v>68</v>
      </c>
      <c r="B92" s="1294">
        <v>91.031628794105714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127</v>
      </c>
      <c r="C97" s="330"/>
      <c r="D97" s="330"/>
      <c r="E97" s="330"/>
      <c r="F97" s="330"/>
    </row>
    <row r="98" spans="1:6">
      <c r="A98" s="1298" t="s">
        <v>71</v>
      </c>
      <c r="B98" s="1299">
        <v>2</v>
      </c>
      <c r="C98" s="330"/>
      <c r="D98" s="330"/>
      <c r="E98" s="330"/>
      <c r="F98" s="330"/>
    </row>
    <row r="99" spans="1:6">
      <c r="A99" s="1298" t="s">
        <v>72</v>
      </c>
      <c r="B99" s="1299">
        <v>102</v>
      </c>
      <c r="C99" s="330"/>
      <c r="D99" s="330"/>
      <c r="E99" s="330"/>
      <c r="F99" s="330"/>
    </row>
    <row r="100" spans="1:6">
      <c r="A100" s="1298" t="s">
        <v>73</v>
      </c>
      <c r="B100" s="1299">
        <v>176</v>
      </c>
      <c r="C100" s="330"/>
      <c r="D100" s="330"/>
      <c r="E100" s="330"/>
      <c r="F100" s="330"/>
    </row>
    <row r="101" spans="1:6">
      <c r="A101" s="1298" t="s">
        <v>74</v>
      </c>
      <c r="B101" s="1299">
        <v>76</v>
      </c>
      <c r="C101" s="330"/>
      <c r="D101" s="330"/>
      <c r="E101" s="330"/>
      <c r="F101" s="330"/>
    </row>
    <row r="102" spans="1:6">
      <c r="A102" s="1298" t="s">
        <v>75</v>
      </c>
      <c r="B102" s="1299">
        <v>26</v>
      </c>
      <c r="C102" s="330"/>
      <c r="D102" s="330"/>
      <c r="E102" s="330"/>
      <c r="F102" s="330"/>
    </row>
    <row r="103" spans="1:6">
      <c r="A103" s="1298" t="s">
        <v>76</v>
      </c>
      <c r="B103" s="1299">
        <v>110</v>
      </c>
      <c r="C103" s="330"/>
      <c r="D103" s="330"/>
      <c r="E103" s="330"/>
      <c r="F103" s="330"/>
    </row>
    <row r="104" spans="1:6">
      <c r="A104" s="1298" t="s">
        <v>77</v>
      </c>
      <c r="B104" s="1299">
        <v>1712</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14</v>
      </c>
      <c r="C123" s="1299">
        <v>7</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68</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28300.944066261371</v>
      </c>
      <c r="C3" s="43" t="s">
        <v>169</v>
      </c>
      <c r="D3" s="43"/>
      <c r="E3" s="154"/>
      <c r="F3" s="43"/>
      <c r="G3" s="43"/>
      <c r="H3" s="43"/>
      <c r="I3" s="43"/>
      <c r="J3" s="43"/>
      <c r="K3" s="96"/>
    </row>
    <row r="4" spans="1:11">
      <c r="A4" s="358" t="s">
        <v>170</v>
      </c>
      <c r="B4" s="49">
        <f>IF(ISERROR('SEAP template'!B78+'SEAP template'!C78),0,'SEAP template'!B78+'SEAP template'!C78)</f>
        <v>1483.7356576802845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0.2094136168892595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567.553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567.553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0.2094136168892595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118.85332650634989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10689.468159</v>
      </c>
      <c r="C5" s="17">
        <f>IF(ISERROR('Eigen informatie GS &amp; warmtenet'!B59),0,'Eigen informatie GS &amp; warmtenet'!B59)</f>
        <v>0</v>
      </c>
      <c r="D5" s="30">
        <f>(SUM(HH_hh_gas_kWh,HH_rest_gas_kWh)/1000)*0.902</f>
        <v>9223.0323526000011</v>
      </c>
      <c r="E5" s="17">
        <f>B46*B57</f>
        <v>10144.719623306593</v>
      </c>
      <c r="F5" s="17">
        <f>B51*B62</f>
        <v>25687.074647366273</v>
      </c>
      <c r="G5" s="18"/>
      <c r="H5" s="17"/>
      <c r="I5" s="17"/>
      <c r="J5" s="17">
        <f>B50*B61+C50*C61</f>
        <v>754.58964078562065</v>
      </c>
      <c r="K5" s="17"/>
      <c r="L5" s="17"/>
      <c r="M5" s="17"/>
      <c r="N5" s="17">
        <f>B48*B59+C48*C59</f>
        <v>9431.1828019757777</v>
      </c>
      <c r="O5" s="17">
        <f>B69*B70*B71</f>
        <v>148.79686645402739</v>
      </c>
      <c r="P5" s="17">
        <f>B77*B78*B79/1000-B77*B78*B79/1000/B80</f>
        <v>337.08669784592075</v>
      </c>
    </row>
    <row r="6" spans="1:16">
      <c r="A6" s="16" t="s">
        <v>611</v>
      </c>
      <c r="B6" s="783">
        <f>kWh_PV_kleiner_dan_10kW</f>
        <v>1392.7040288861788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12082.172187886179</v>
      </c>
      <c r="C8" s="21">
        <f>C5</f>
        <v>0</v>
      </c>
      <c r="D8" s="21">
        <f>D5</f>
        <v>9223.0323526000011</v>
      </c>
      <c r="E8" s="21">
        <f>E5</f>
        <v>10144.719623306593</v>
      </c>
      <c r="F8" s="21">
        <f>F5</f>
        <v>25687.074647366273</v>
      </c>
      <c r="G8" s="21"/>
      <c r="H8" s="21"/>
      <c r="I8" s="21"/>
      <c r="J8" s="21">
        <f>J5</f>
        <v>754.58964078562065</v>
      </c>
      <c r="K8" s="21"/>
      <c r="L8" s="21">
        <f>L5</f>
        <v>0</v>
      </c>
      <c r="M8" s="21">
        <f>M5</f>
        <v>0</v>
      </c>
      <c r="N8" s="21">
        <f>N5</f>
        <v>9431.1828019757777</v>
      </c>
      <c r="O8" s="21">
        <f>O5</f>
        <v>148.79686645402739</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0.2094136168892595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2530.1713777440623</v>
      </c>
      <c r="C12" s="23">
        <f ca="1">C10*C8</f>
        <v>0</v>
      </c>
      <c r="D12" s="23">
        <f>D8*D10</f>
        <v>1863.0525352252002</v>
      </c>
      <c r="E12" s="23">
        <f>E10*E8</f>
        <v>2302.8513544905968</v>
      </c>
      <c r="F12" s="23">
        <f>F10*F8</f>
        <v>6858.4489308467955</v>
      </c>
      <c r="G12" s="23"/>
      <c r="H12" s="23"/>
      <c r="I12" s="23"/>
      <c r="J12" s="23">
        <f>J10*J8</f>
        <v>267.12473283810971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2629</v>
      </c>
      <c r="C28" s="36"/>
      <c r="D28" s="228"/>
    </row>
    <row r="29" spans="1:7" s="15" customFormat="1">
      <c r="A29" s="230" t="s">
        <v>819</v>
      </c>
      <c r="B29" s="37">
        <f>SUM(HH_hh_gas_aantal,HH_rest_gas_aantal)</f>
        <v>654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654</v>
      </c>
      <c r="C32" s="167">
        <f>IF(ISERROR(B32/SUM($B$32,$B$34,$B$35,$B$36,$B$38,$B$39)*100),0,B32/SUM($B$32,$B$34,$B$35,$B$36,$B$38,$B$39)*100)</f>
        <v>25.182903350019252</v>
      </c>
      <c r="D32" s="233"/>
      <c r="G32" s="15"/>
    </row>
    <row r="33" spans="1:7">
      <c r="A33" s="171" t="s">
        <v>71</v>
      </c>
      <c r="B33" s="34" t="s">
        <v>110</v>
      </c>
      <c r="C33" s="167"/>
      <c r="D33" s="233"/>
      <c r="G33" s="15"/>
    </row>
    <row r="34" spans="1:7">
      <c r="A34" s="171" t="s">
        <v>72</v>
      </c>
      <c r="B34" s="33">
        <f>IF((($B$28-$B$32-$B$39-$B$77-$B$38)*C20/100)&lt;0,0,($B$28-$B$32-$B$39-$B$77-$B$38)*C20/100)</f>
        <v>186.71186440677968</v>
      </c>
      <c r="C34" s="167">
        <f>IF(ISERROR(B34/SUM($B$32,$B$34,$B$35,$B$36,$B$38,$B$39)*100),0,B34/SUM($B$32,$B$34,$B$35,$B$36,$B$38,$B$39)*100)</f>
        <v>7.1895211554401106</v>
      </c>
      <c r="D34" s="233"/>
      <c r="G34" s="15"/>
    </row>
    <row r="35" spans="1:7">
      <c r="A35" s="171" t="s">
        <v>73</v>
      </c>
      <c r="B35" s="33">
        <f>IF((($B$28-$B$32-$B$39-$B$77-$B$38)*C21/100)&lt;0,0,($B$28-$B$32-$B$39-$B$77-$B$38)*C21/100)</f>
        <v>322.16949152542372</v>
      </c>
      <c r="C35" s="167">
        <f>IF(ISERROR(B35/SUM($B$32,$B$34,$B$35,$B$36,$B$38,$B$39)*100),0,B35/SUM($B$32,$B$34,$B$35,$B$36,$B$38,$B$39)*100)</f>
        <v>12.405448268210385</v>
      </c>
      <c r="D35" s="233"/>
      <c r="G35" s="15"/>
    </row>
    <row r="36" spans="1:7">
      <c r="A36" s="171" t="s">
        <v>74</v>
      </c>
      <c r="B36" s="33">
        <f>IF((($B$28-$B$32-$B$39-$B$77-$B$38)*C22/100)&lt;0,0,($B$28-$B$32-$B$39-$B$77-$B$38)*C22/100)</f>
        <v>139.11864406779659</v>
      </c>
      <c r="C36" s="167">
        <f>IF(ISERROR(B36/SUM($B$32,$B$34,$B$35,$B$36,$B$38,$B$39)*100),0,B36/SUM($B$32,$B$34,$B$35,$B$36,$B$38,$B$39)*100)</f>
        <v>5.3568981158181206</v>
      </c>
      <c r="D36" s="233"/>
      <c r="G36" s="15"/>
    </row>
    <row r="37" spans="1:7">
      <c r="A37" s="171" t="s">
        <v>75</v>
      </c>
      <c r="B37" s="34" t="s">
        <v>110</v>
      </c>
      <c r="C37" s="167"/>
      <c r="D37" s="173"/>
      <c r="G37" s="15"/>
    </row>
    <row r="38" spans="1:7">
      <c r="A38" s="171" t="s">
        <v>76</v>
      </c>
      <c r="B38" s="33">
        <f>IF((B24-(B29-B18)*0.1)&lt;0,0,B24-(B29-B18)*0.1)</f>
        <v>57.3</v>
      </c>
      <c r="C38" s="167">
        <f>IF(ISERROR(B38/SUM($B$32,$B$34,$B$35,$B$36,$B$38,$B$39)*100),0,B38/SUM($B$32,$B$34,$B$35,$B$36,$B$38,$B$39)*100)</f>
        <v>2.2063919907585676</v>
      </c>
      <c r="D38" s="234"/>
      <c r="G38" s="15"/>
    </row>
    <row r="39" spans="1:7">
      <c r="A39" s="171" t="s">
        <v>77</v>
      </c>
      <c r="B39" s="33">
        <f>IF((B25-(B29-B18))&lt;0,0,B25-(B29-B18)*0.9)</f>
        <v>1237.7</v>
      </c>
      <c r="C39" s="167">
        <f>IF(ISERROR(B39/SUM($B$32,$B$34,$B$35,$B$36,$B$38,$B$39)*100),0,B39/SUM($B$32,$B$34,$B$35,$B$36,$B$38,$B$39)*100)</f>
        <v>47.658837119753564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654</v>
      </c>
      <c r="C44" s="34" t="s">
        <v>110</v>
      </c>
      <c r="D44" s="174"/>
    </row>
    <row r="45" spans="1:7">
      <c r="A45" s="171" t="s">
        <v>71</v>
      </c>
      <c r="B45" s="33" t="str">
        <f t="shared" si="0"/>
        <v>-</v>
      </c>
      <c r="C45" s="34" t="s">
        <v>110</v>
      </c>
      <c r="D45" s="174"/>
    </row>
    <row r="46" spans="1:7">
      <c r="A46" s="171" t="s">
        <v>72</v>
      </c>
      <c r="B46" s="33">
        <f t="shared" si="0"/>
        <v>186.71186440677968</v>
      </c>
      <c r="C46" s="34" t="s">
        <v>110</v>
      </c>
      <c r="D46" s="174"/>
    </row>
    <row r="47" spans="1:7">
      <c r="A47" s="171" t="s">
        <v>73</v>
      </c>
      <c r="B47" s="33">
        <f t="shared" si="0"/>
        <v>322.16949152542372</v>
      </c>
      <c r="C47" s="34" t="s">
        <v>110</v>
      </c>
      <c r="D47" s="174"/>
    </row>
    <row r="48" spans="1:7">
      <c r="A48" s="171" t="s">
        <v>74</v>
      </c>
      <c r="B48" s="33">
        <f t="shared" si="0"/>
        <v>139.11864406779659</v>
      </c>
      <c r="C48" s="33">
        <f>B48*10</f>
        <v>1391.1864406779659</v>
      </c>
      <c r="D48" s="234"/>
    </row>
    <row r="49" spans="1:6">
      <c r="A49" s="171" t="s">
        <v>75</v>
      </c>
      <c r="B49" s="33" t="str">
        <f t="shared" si="0"/>
        <v>-</v>
      </c>
      <c r="C49" s="34" t="s">
        <v>110</v>
      </c>
      <c r="D49" s="234"/>
    </row>
    <row r="50" spans="1:6">
      <c r="A50" s="171" t="s">
        <v>76</v>
      </c>
      <c r="B50" s="33">
        <f t="shared" si="0"/>
        <v>57.3</v>
      </c>
      <c r="C50" s="33">
        <f>B50*2</f>
        <v>114.6</v>
      </c>
      <c r="D50" s="234"/>
    </row>
    <row r="51" spans="1:6">
      <c r="A51" s="171" t="s">
        <v>77</v>
      </c>
      <c r="B51" s="33">
        <f t="shared" si="0"/>
        <v>1237.7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3772.0632500000002</v>
      </c>
      <c r="C5" s="17">
        <f>IF(ISERROR('Eigen informatie GS &amp; warmtenet'!B60),0,'Eigen informatie GS &amp; warmtenet'!B60)</f>
        <v>0</v>
      </c>
      <c r="D5" s="30">
        <f>SUM(D6:D12)</f>
        <v>2351.1775991</v>
      </c>
      <c r="E5" s="17">
        <f>SUM(E6:E12)</f>
        <v>53.463840541845364</v>
      </c>
      <c r="F5" s="17">
        <f>SUM(F6:F12)</f>
        <v>424.02617479518676</v>
      </c>
      <c r="G5" s="18"/>
      <c r="H5" s="17"/>
      <c r="I5" s="17"/>
      <c r="J5" s="17">
        <f>SUM(J6:J12)</f>
        <v>8.6204249714312634E-3</v>
      </c>
      <c r="K5" s="17"/>
      <c r="L5" s="17"/>
      <c r="M5" s="17"/>
      <c r="N5" s="17">
        <f>SUM(N6:N12)</f>
        <v>340.38088909337728</v>
      </c>
      <c r="O5" s="17">
        <f>B38*B39*B40</f>
        <v>4.8972607658411542</v>
      </c>
      <c r="P5" s="17">
        <f>B46*B47*B48/1000-B46*B47*B48/1000/B49</f>
        <v>52.539138306495019</v>
      </c>
      <c r="R5" s="32"/>
    </row>
    <row r="6" spans="1:18">
      <c r="A6" s="32" t="s">
        <v>53</v>
      </c>
      <c r="B6" s="37">
        <f>B26</f>
        <v>884.27043800000001</v>
      </c>
      <c r="C6" s="33"/>
      <c r="D6" s="37">
        <f>IF(ISERROR(TER_kantoor_gas_kWh/1000),0,TER_kantoor_gas_kWh/1000)*0.902</f>
        <v>832.60535160000006</v>
      </c>
      <c r="E6" s="33">
        <f>$C$26*'E Balans VL '!I12/100/3.6*1000000</f>
        <v>7.1154406951472389</v>
      </c>
      <c r="F6" s="33">
        <f>$C$26*('E Balans VL '!L12+'E Balans VL '!N12)/100/3.6*1000000</f>
        <v>108.11136327269085</v>
      </c>
      <c r="G6" s="34"/>
      <c r="H6" s="33"/>
      <c r="I6" s="33"/>
      <c r="J6" s="33">
        <f>$C$26*('E Balans VL '!D12+'E Balans VL '!E12)/100/3.6*1000000</f>
        <v>0</v>
      </c>
      <c r="K6" s="33"/>
      <c r="L6" s="33"/>
      <c r="M6" s="33"/>
      <c r="N6" s="33">
        <f>$C$26*'E Balans VL '!Y12/100/3.6*1000000</f>
        <v>0.47525181481906531</v>
      </c>
      <c r="O6" s="33"/>
      <c r="P6" s="33"/>
      <c r="R6" s="32"/>
    </row>
    <row r="7" spans="1:18">
      <c r="A7" s="32" t="s">
        <v>52</v>
      </c>
      <c r="B7" s="37">
        <f t="shared" ref="B7:B12" si="0">B27</f>
        <v>508.52274999999997</v>
      </c>
      <c r="C7" s="33"/>
      <c r="D7" s="37">
        <f>IF(ISERROR(TER_horeca_gas_kWh/1000),0,TER_horeca_gas_kWh/1000)*0.902</f>
        <v>531.3198979</v>
      </c>
      <c r="E7" s="33">
        <f>$C$27*'E Balans VL '!I9/100/3.6*1000000</f>
        <v>5.4602856214364301</v>
      </c>
      <c r="F7" s="33">
        <f>$C$27*('E Balans VL '!L9+'E Balans VL '!N9)/100/3.6*1000000</f>
        <v>61.162955813101526</v>
      </c>
      <c r="G7" s="34"/>
      <c r="H7" s="33"/>
      <c r="I7" s="33"/>
      <c r="J7" s="33">
        <f>$C$27*('E Balans VL '!D9+'E Balans VL '!E9)/100/3.6*1000000</f>
        <v>0</v>
      </c>
      <c r="K7" s="33"/>
      <c r="L7" s="33"/>
      <c r="M7" s="33"/>
      <c r="N7" s="33">
        <f>$C$27*'E Balans VL '!Y9/100/3.6*1000000</f>
        <v>7.6237866784566038E-2</v>
      </c>
      <c r="O7" s="33"/>
      <c r="P7" s="33"/>
      <c r="R7" s="32"/>
    </row>
    <row r="8" spans="1:18">
      <c r="A8" s="6" t="s">
        <v>51</v>
      </c>
      <c r="B8" s="37">
        <f t="shared" si="0"/>
        <v>1366.740513</v>
      </c>
      <c r="C8" s="33"/>
      <c r="D8" s="37">
        <f>IF(ISERROR(TER_handel_gas_kWh/1000),0,TER_handel_gas_kWh/1000)*0.902</f>
        <v>264.69009599999998</v>
      </c>
      <c r="E8" s="33">
        <f>$C$28*'E Balans VL '!I13/100/3.6*1000000</f>
        <v>36.679131133429856</v>
      </c>
      <c r="F8" s="33">
        <f>$C$28*('E Balans VL '!L13+'E Balans VL '!N13)/100/3.6*1000000</f>
        <v>130.42916896896836</v>
      </c>
      <c r="G8" s="34"/>
      <c r="H8" s="33"/>
      <c r="I8" s="33"/>
      <c r="J8" s="33">
        <f>$C$28*('E Balans VL '!D13+'E Balans VL '!E13)/100/3.6*1000000</f>
        <v>0</v>
      </c>
      <c r="K8" s="33"/>
      <c r="L8" s="33"/>
      <c r="M8" s="33"/>
      <c r="N8" s="33">
        <f>$C$28*'E Balans VL '!Y13/100/3.6*1000000</f>
        <v>0.54179147971968489</v>
      </c>
      <c r="O8" s="33"/>
      <c r="P8" s="33"/>
      <c r="R8" s="32"/>
    </row>
    <row r="9" spans="1:18">
      <c r="A9" s="32" t="s">
        <v>50</v>
      </c>
      <c r="B9" s="37">
        <f t="shared" si="0"/>
        <v>399.78278999999998</v>
      </c>
      <c r="C9" s="33"/>
      <c r="D9" s="37">
        <f>IF(ISERROR(TER_gezond_gas_kWh/1000),0,TER_gezond_gas_kWh/1000)*0.902</f>
        <v>340.53007560000003</v>
      </c>
      <c r="E9" s="33">
        <f>$C$29*'E Balans VL '!I10/100/3.6*1000000</f>
        <v>0.74932312338911378</v>
      </c>
      <c r="F9" s="33">
        <f>$C$29*('E Balans VL '!L10+'E Balans VL '!N10)/100/3.6*1000000</f>
        <v>32.865793074888536</v>
      </c>
      <c r="G9" s="34"/>
      <c r="H9" s="33"/>
      <c r="I9" s="33"/>
      <c r="J9" s="33">
        <f>$C$29*('E Balans VL '!D10+'E Balans VL '!E10)/100/3.6*1000000</f>
        <v>0</v>
      </c>
      <c r="K9" s="33"/>
      <c r="L9" s="33"/>
      <c r="M9" s="33"/>
      <c r="N9" s="33">
        <f>$C$29*'E Balans VL '!Y10/100/3.6*1000000</f>
        <v>3.1106083870204024</v>
      </c>
      <c r="O9" s="33"/>
      <c r="P9" s="33"/>
      <c r="R9" s="32"/>
    </row>
    <row r="10" spans="1:18">
      <c r="A10" s="32" t="s">
        <v>49</v>
      </c>
      <c r="B10" s="37">
        <f t="shared" si="0"/>
        <v>507.799083</v>
      </c>
      <c r="C10" s="33"/>
      <c r="D10" s="37">
        <f>IF(ISERROR(TER_ander_gas_kWh/1000),0,TER_ander_gas_kWh/1000)*0.902</f>
        <v>311.19631400000003</v>
      </c>
      <c r="E10" s="33">
        <f>$C$30*'E Balans VL '!I14/100/3.6*1000000</f>
        <v>0.78277743189310411</v>
      </c>
      <c r="F10" s="33">
        <f>$C$30*('E Balans VL '!L14+'E Balans VL '!N14)/100/3.6*1000000</f>
        <v>78.8359478213941</v>
      </c>
      <c r="G10" s="34"/>
      <c r="H10" s="33"/>
      <c r="I10" s="33"/>
      <c r="J10" s="33">
        <f>$C$30*('E Balans VL '!D14+'E Balans VL '!E14)/100/3.6*1000000</f>
        <v>8.6204249714312634E-3</v>
      </c>
      <c r="K10" s="33"/>
      <c r="L10" s="33"/>
      <c r="M10" s="33"/>
      <c r="N10" s="33">
        <f>$C$30*'E Balans VL '!Y14/100/3.6*1000000</f>
        <v>335.94359847435487</v>
      </c>
      <c r="O10" s="33"/>
      <c r="P10" s="33"/>
      <c r="R10" s="32"/>
    </row>
    <row r="11" spans="1:18">
      <c r="A11" s="32" t="s">
        <v>54</v>
      </c>
      <c r="B11" s="37">
        <f t="shared" si="0"/>
        <v>104.947676</v>
      </c>
      <c r="C11" s="33"/>
      <c r="D11" s="37">
        <f>IF(ISERROR(TER_onderwijs_gas_kWh/1000),0,TER_onderwijs_gas_kWh/1000)*0.902</f>
        <v>0</v>
      </c>
      <c r="E11" s="33">
        <f>$C$31*'E Balans VL '!I11/100/3.6*1000000</f>
        <v>2.6768825365496292</v>
      </c>
      <c r="F11" s="33">
        <f>$C$31*('E Balans VL '!L11+'E Balans VL '!N11)/100/3.6*1000000</f>
        <v>12.620945844143449</v>
      </c>
      <c r="G11" s="34"/>
      <c r="H11" s="33"/>
      <c r="I11" s="33"/>
      <c r="J11" s="33">
        <f>$C$31*('E Balans VL '!D11+'E Balans VL '!E11)/100/3.6*1000000</f>
        <v>0</v>
      </c>
      <c r="K11" s="33"/>
      <c r="L11" s="33"/>
      <c r="M11" s="33"/>
      <c r="N11" s="33">
        <f>$C$31*'E Balans VL '!Y11/100/3.6*1000000</f>
        <v>0.23340107067864049</v>
      </c>
      <c r="O11" s="33"/>
      <c r="P11" s="33"/>
      <c r="R11" s="32"/>
    </row>
    <row r="12" spans="1:18">
      <c r="A12" s="32" t="s">
        <v>259</v>
      </c>
      <c r="B12" s="37">
        <f t="shared" si="0"/>
        <v>0</v>
      </c>
      <c r="C12" s="33"/>
      <c r="D12" s="37">
        <f>IF(ISERROR(TER_rest_gas_kWh/1000),0,TER_rest_gas_kWh/1000)*0.902</f>
        <v>70.835864000000001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3772.0632500000002</v>
      </c>
      <c r="C16" s="21">
        <f t="shared" ca="1" si="1"/>
        <v>0</v>
      </c>
      <c r="D16" s="21">
        <f t="shared" ca="1" si="1"/>
        <v>2351.1775991</v>
      </c>
      <c r="E16" s="21">
        <f t="shared" si="1"/>
        <v>53.463840541845364</v>
      </c>
      <c r="F16" s="21">
        <f t="shared" ca="1" si="1"/>
        <v>424.02617479518676</v>
      </c>
      <c r="G16" s="21">
        <f t="shared" si="1"/>
        <v>0</v>
      </c>
      <c r="H16" s="21">
        <f t="shared" si="1"/>
        <v>0</v>
      </c>
      <c r="I16" s="21">
        <f t="shared" si="1"/>
        <v>0</v>
      </c>
      <c r="J16" s="21">
        <f t="shared" si="1"/>
        <v>8.6204249714312634E-3</v>
      </c>
      <c r="K16" s="21">
        <f t="shared" si="1"/>
        <v>0</v>
      </c>
      <c r="L16" s="21">
        <f t="shared" ca="1" si="1"/>
        <v>0</v>
      </c>
      <c r="M16" s="21">
        <f t="shared" si="1"/>
        <v>0</v>
      </c>
      <c r="N16" s="21">
        <f t="shared" ca="1" si="1"/>
        <v>340.38088909337728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0.2094136168892595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789.92140831755512</v>
      </c>
      <c r="C20" s="23">
        <f t="shared" ref="C20:P20" ca="1" si="2">C16*C18</f>
        <v>0</v>
      </c>
      <c r="D20" s="23">
        <f t="shared" ca="1" si="2"/>
        <v>474.93787501820003</v>
      </c>
      <c r="E20" s="23">
        <f t="shared" si="2"/>
        <v>12.136291802998898</v>
      </c>
      <c r="F20" s="23">
        <f t="shared" ca="1" si="2"/>
        <v>113.21498867031487</v>
      </c>
      <c r="G20" s="23">
        <f t="shared" si="2"/>
        <v>0</v>
      </c>
      <c r="H20" s="23">
        <f t="shared" si="2"/>
        <v>0</v>
      </c>
      <c r="I20" s="23">
        <f t="shared" si="2"/>
        <v>0</v>
      </c>
      <c r="J20" s="23">
        <f t="shared" si="2"/>
        <v>3.0516304398866671E-3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884.27043800000001</v>
      </c>
      <c r="C26" s="39">
        <f>IF(ISERROR(B26*3.6/1000000/'E Balans VL '!Z12*100),0,B26*3.6/1000000/'E Balans VL '!Z12*100)</f>
        <v>1.8758988327621341E-2</v>
      </c>
      <c r="D26" s="237" t="s">
        <v>708</v>
      </c>
      <c r="F26" s="6"/>
    </row>
    <row r="27" spans="1:18">
      <c r="A27" s="231" t="s">
        <v>52</v>
      </c>
      <c r="B27" s="33">
        <f>IF(ISERROR(TER_horeca_ele_kWh/1000),0,TER_horeca_ele_kWh/1000)</f>
        <v>508.52274999999997</v>
      </c>
      <c r="C27" s="39">
        <f>IF(ISERROR(B27*3.6/1000000/'E Balans VL '!Z9*100),0,B27*3.6/1000000/'E Balans VL '!Z9*100)</f>
        <v>3.8296267827115558E-2</v>
      </c>
      <c r="D27" s="237" t="s">
        <v>708</v>
      </c>
      <c r="F27" s="6"/>
    </row>
    <row r="28" spans="1:18">
      <c r="A28" s="171" t="s">
        <v>51</v>
      </c>
      <c r="B28" s="33">
        <f>IF(ISERROR(TER_handel_ele_kWh/1000),0,TER_handel_ele_kWh/1000)</f>
        <v>1366.740513</v>
      </c>
      <c r="C28" s="39">
        <f>IF(ISERROR(B28*3.6/1000000/'E Balans VL '!Z13*100),0,B28*3.6/1000000/'E Balans VL '!Z13*100)</f>
        <v>3.9671634352913175E-2</v>
      </c>
      <c r="D28" s="237" t="s">
        <v>708</v>
      </c>
      <c r="F28" s="6"/>
    </row>
    <row r="29" spans="1:18">
      <c r="A29" s="231" t="s">
        <v>50</v>
      </c>
      <c r="B29" s="33">
        <f>IF(ISERROR(TER_gezond_ele_kWh/1000),0,TER_gezond_ele_kWh/1000)</f>
        <v>399.78278999999998</v>
      </c>
      <c r="C29" s="39">
        <f>IF(ISERROR(B29*3.6/1000000/'E Balans VL '!Z10*100),0,B29*3.6/1000000/'E Balans VL '!Z10*100)</f>
        <v>4.0318571131895103E-2</v>
      </c>
      <c r="D29" s="237" t="s">
        <v>708</v>
      </c>
      <c r="F29" s="6"/>
    </row>
    <row r="30" spans="1:18">
      <c r="A30" s="231" t="s">
        <v>49</v>
      </c>
      <c r="B30" s="33">
        <f>IF(ISERROR(TER_ander_ele_kWh/1000),0,TER_ander_ele_kWh/1000)</f>
        <v>507.799083</v>
      </c>
      <c r="C30" s="39">
        <f>IF(ISERROR(B30*3.6/1000000/'E Balans VL '!Z14*100),0,B30*3.6/1000000/'E Balans VL '!Z14*100)</f>
        <v>3.6847751121361912E-2</v>
      </c>
      <c r="D30" s="237" t="s">
        <v>708</v>
      </c>
      <c r="F30" s="6"/>
    </row>
    <row r="31" spans="1:18">
      <c r="A31" s="231" t="s">
        <v>54</v>
      </c>
      <c r="B31" s="33">
        <f>IF(ISERROR(TER_onderwijs_ele_kWh/1000),0,TER_onderwijs_ele_kWh/1000)</f>
        <v>104.947676</v>
      </c>
      <c r="C31" s="39">
        <f>IF(ISERROR(B31*3.6/1000000/'E Balans VL '!Z11*100),0,B31*3.6/1000000/'E Balans VL '!Z11*100)</f>
        <v>2.9914361328364218E-2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10605.903</v>
      </c>
      <c r="C5" s="17">
        <f>IF(ISERROR('Eigen informatie GS &amp; warmtenet'!B61),0,'Eigen informatie GS &amp; warmtenet'!B61)</f>
        <v>0</v>
      </c>
      <c r="D5" s="30">
        <f>SUM(D6:D15)</f>
        <v>23278.642816000003</v>
      </c>
      <c r="E5" s="17">
        <f>SUM(E6:E15)</f>
        <v>123.25033582892272</v>
      </c>
      <c r="F5" s="17">
        <f>SUM(F6:F15)</f>
        <v>870.21612756895161</v>
      </c>
      <c r="G5" s="18"/>
      <c r="H5" s="17"/>
      <c r="I5" s="17"/>
      <c r="J5" s="17">
        <f>SUM(J6:J15)</f>
        <v>0.22873292284168115</v>
      </c>
      <c r="K5" s="17"/>
      <c r="L5" s="17"/>
      <c r="M5" s="17"/>
      <c r="N5" s="17">
        <f>SUM(N6:N15)</f>
        <v>615.26385366429975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137.30199999999999</v>
      </c>
      <c r="C8" s="33"/>
      <c r="D8" s="37">
        <f>IF( ISERROR(IND_metaal_Gas_kWH/1000),0,IND_metaal_Gas_kWH/1000)*0.902</f>
        <v>0</v>
      </c>
      <c r="E8" s="33">
        <f>C30*'E Balans VL '!I18/100/3.6*1000000</f>
        <v>0.99053756244993096</v>
      </c>
      <c r="F8" s="33">
        <f>C30*'E Balans VL '!L18/100/3.6*1000000+C30*'E Balans VL '!N18/100/3.6*1000000</f>
        <v>12.986237528464127</v>
      </c>
      <c r="G8" s="34"/>
      <c r="H8" s="33"/>
      <c r="I8" s="33"/>
      <c r="J8" s="40">
        <f>C30*'E Balans VL '!D18/100/3.6*1000000+C30*'E Balans VL '!E18/100/3.6*1000000</f>
        <v>0.13809914948912386</v>
      </c>
      <c r="K8" s="33"/>
      <c r="L8" s="33"/>
      <c r="M8" s="33"/>
      <c r="N8" s="33">
        <f>C30*'E Balans VL '!Y18/100/3.6*1000000</f>
        <v>1.7358605452281133</v>
      </c>
      <c r="O8" s="33"/>
      <c r="P8" s="33"/>
      <c r="R8" s="32"/>
    </row>
    <row r="9" spans="1:18">
      <c r="A9" s="6" t="s">
        <v>32</v>
      </c>
      <c r="B9" s="37">
        <f t="shared" si="0"/>
        <v>374.90600000000001</v>
      </c>
      <c r="C9" s="33"/>
      <c r="D9" s="37">
        <f>IF( ISERROR(IND_andere_gas_kWh/1000),0,IND_andere_gas_kWh/1000)*0.902</f>
        <v>170.316542</v>
      </c>
      <c r="E9" s="33">
        <f>C31*'E Balans VL '!I19/100/3.6*1000000</f>
        <v>103.891465721275</v>
      </c>
      <c r="F9" s="33">
        <f>C31*'E Balans VL '!L19/100/3.6*1000000+C31*'E Balans VL '!N19/100/3.6*1000000</f>
        <v>310.72290297810997</v>
      </c>
      <c r="G9" s="34"/>
      <c r="H9" s="33"/>
      <c r="I9" s="33"/>
      <c r="J9" s="40">
        <f>C31*'E Balans VL '!D19/100/3.6*1000000+C31*'E Balans VL '!E19/100/3.6*1000000</f>
        <v>0</v>
      </c>
      <c r="K9" s="33"/>
      <c r="L9" s="33"/>
      <c r="M9" s="33"/>
      <c r="N9" s="33">
        <f>C31*'E Balans VL '!Y19/100/3.6*1000000</f>
        <v>27.21359000319125</v>
      </c>
      <c r="O9" s="33"/>
      <c r="P9" s="33"/>
      <c r="R9" s="32"/>
    </row>
    <row r="10" spans="1:18">
      <c r="A10" s="6" t="s">
        <v>40</v>
      </c>
      <c r="B10" s="37">
        <f t="shared" si="0"/>
        <v>10082.724</v>
      </c>
      <c r="C10" s="33"/>
      <c r="D10" s="37">
        <f>IF( ISERROR(IND_voed_gas_kWh/1000),0,IND_voed_gas_kWh/1000)*0.902</f>
        <v>0</v>
      </c>
      <c r="E10" s="33">
        <f>C32*'E Balans VL '!I20/100/3.6*1000000</f>
        <v>17.849836717579461</v>
      </c>
      <c r="F10" s="33">
        <f>C32*'E Balans VL '!L20/100/3.6*1000000+C32*'E Balans VL '!N20/100/3.6*1000000</f>
        <v>544.55645838121825</v>
      </c>
      <c r="G10" s="34"/>
      <c r="H10" s="33"/>
      <c r="I10" s="33"/>
      <c r="J10" s="40">
        <f>C32*'E Balans VL '!D20/100/3.6*1000000+C32*'E Balans VL '!E20/100/3.6*1000000</f>
        <v>0</v>
      </c>
      <c r="K10" s="33"/>
      <c r="L10" s="33"/>
      <c r="M10" s="33"/>
      <c r="N10" s="33">
        <f>C32*'E Balans VL '!Y20/100/3.6*1000000</f>
        <v>585.88326712271044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10.971</v>
      </c>
      <c r="C15" s="33"/>
      <c r="D15" s="37">
        <f>IF( ISERROR(IND_rest_gas_kWh/1000),0,IND_rest_gas_kWh/1000)*0.902</f>
        <v>23108.326274000003</v>
      </c>
      <c r="E15" s="33">
        <f>C37*'E Balans VL '!I15/100/3.6*1000000</f>
        <v>0.51849582761831847</v>
      </c>
      <c r="F15" s="33">
        <f>C37*'E Balans VL '!L15/100/3.6*1000000+C37*'E Balans VL '!N15/100/3.6*1000000</f>
        <v>1.9505286811593432</v>
      </c>
      <c r="G15" s="34"/>
      <c r="H15" s="33"/>
      <c r="I15" s="33"/>
      <c r="J15" s="40">
        <f>C37*'E Balans VL '!D15/100/3.6*1000000+C37*'E Balans VL '!E15/100/3.6*1000000</f>
        <v>9.063377335255729E-2</v>
      </c>
      <c r="K15" s="33"/>
      <c r="L15" s="33"/>
      <c r="M15" s="33"/>
      <c r="N15" s="33">
        <f>C37*'E Balans VL '!Y15/100/3.6*1000000</f>
        <v>0.43113599316991819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10605.903</v>
      </c>
      <c r="C18" s="21">
        <f>C5+C16</f>
        <v>0</v>
      </c>
      <c r="D18" s="21">
        <f>MAX((D5+D16),0)</f>
        <v>23278.642816000003</v>
      </c>
      <c r="E18" s="21">
        <f>MAX((E5+E16),0)</f>
        <v>123.25033582892272</v>
      </c>
      <c r="F18" s="21">
        <f>MAX((F5+F16),0)</f>
        <v>870.21612756895161</v>
      </c>
      <c r="G18" s="21"/>
      <c r="H18" s="21"/>
      <c r="I18" s="21"/>
      <c r="J18" s="21">
        <f>MAX((J5+J16),0)</f>
        <v>0.22873292284168115</v>
      </c>
      <c r="K18" s="21"/>
      <c r="L18" s="21">
        <f>MAX((L5+L16),0)</f>
        <v>0</v>
      </c>
      <c r="M18" s="21"/>
      <c r="N18" s="21">
        <f>MAX((N5+N16),0)</f>
        <v>615.26385366429975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0.2094136168892595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2221.0205076066482</v>
      </c>
      <c r="C22" s="23">
        <f ca="1">C18*C20</f>
        <v>0</v>
      </c>
      <c r="D22" s="23">
        <f>D18*D20</f>
        <v>4702.2858488320007</v>
      </c>
      <c r="E22" s="23">
        <f>E18*E20</f>
        <v>27.977826233165459</v>
      </c>
      <c r="F22" s="23">
        <f>F18*F20</f>
        <v>232.3477060609101</v>
      </c>
      <c r="G22" s="23"/>
      <c r="H22" s="23"/>
      <c r="I22" s="23"/>
      <c r="J22" s="23">
        <f>J18*J20</f>
        <v>8.0971454685955124E-2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137.30199999999999</v>
      </c>
      <c r="C30" s="39">
        <f>IF(ISERROR(B30*3.6/1000000/'E Balans VL '!Z18*100),0,B30*3.6/1000000/'E Balans VL '!Z18*100)</f>
        <v>7.9262302211445153E-3</v>
      </c>
      <c r="D30" s="237" t="s">
        <v>708</v>
      </c>
    </row>
    <row r="31" spans="1:18">
      <c r="A31" s="6" t="s">
        <v>32</v>
      </c>
      <c r="B31" s="37">
        <f>IF( ISERROR(IND_ander_ele_kWh/1000),0,IND_ander_ele_kWh/1000)</f>
        <v>374.90600000000001</v>
      </c>
      <c r="C31" s="39">
        <f>IF(ISERROR(B31*3.6/1000000/'E Balans VL '!Z19*100),0,B31*3.6/1000000/'E Balans VL '!Z19*100)</f>
        <v>1.8856556589255145E-2</v>
      </c>
      <c r="D31" s="237" t="s">
        <v>708</v>
      </c>
    </row>
    <row r="32" spans="1:18">
      <c r="A32" s="171" t="s">
        <v>40</v>
      </c>
      <c r="B32" s="37">
        <f>IF( ISERROR(IND_voed_ele_kWh/1000),0,IND_voed_ele_kWh/1000)</f>
        <v>10082.724</v>
      </c>
      <c r="C32" s="39">
        <f>IF(ISERROR(B32*3.6/1000000/'E Balans VL '!Z20*100),0,B32*3.6/1000000/'E Balans VL '!Z20*100)</f>
        <v>0.3358145829164883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10.971</v>
      </c>
      <c r="C37" s="39">
        <f>IF(ISERROR(B37*3.6/1000000/'E Balans VL '!Z15*100),0,B37*3.6/1000000/'E Balans VL '!Z15*100)</f>
        <v>8.5603801638819616E-5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957.71299999999997</v>
      </c>
      <c r="C5" s="17">
        <f>'Eigen informatie GS &amp; warmtenet'!B62</f>
        <v>0</v>
      </c>
      <c r="D5" s="30">
        <f>IF(ISERROR(SUM(LB_lb_gas_kWh,LB_rest_gas_kWh)/1000),0,SUM(LB_lb_gas_kWh,LB_rest_gas_kWh)/1000)*0.902</f>
        <v>69.598320000000001</v>
      </c>
      <c r="E5" s="17">
        <f>B17*'E Balans VL '!I25/3.6*1000000/100</f>
        <v>29.889906915214002</v>
      </c>
      <c r="F5" s="17">
        <f>B17*('E Balans VL '!L25/3.6*1000000+'E Balans VL '!N25/3.6*1000000)/100</f>
        <v>3384.6638345841866</v>
      </c>
      <c r="G5" s="18"/>
      <c r="H5" s="17"/>
      <c r="I5" s="17"/>
      <c r="J5" s="17">
        <f>('E Balans VL '!D25+'E Balans VL '!E25)/3.6*1000000*landbouw!B17/100</f>
        <v>263.85657318144769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957.71299999999997</v>
      </c>
      <c r="C8" s="21">
        <f>C5+C6</f>
        <v>0</v>
      </c>
      <c r="D8" s="21">
        <f>MAX((D5+D6),0)</f>
        <v>69.598320000000001</v>
      </c>
      <c r="E8" s="21">
        <f>MAX((E5+E6),0)</f>
        <v>29.889906915214002</v>
      </c>
      <c r="F8" s="21">
        <f>MAX((F5+F6),0)</f>
        <v>3384.6638345841866</v>
      </c>
      <c r="G8" s="21"/>
      <c r="H8" s="21"/>
      <c r="I8" s="21"/>
      <c r="J8" s="21">
        <f>MAX((J5+J6),0)</f>
        <v>263.85657318144769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0.2094136168892595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200.55814327186337</v>
      </c>
      <c r="C12" s="23">
        <f ca="1">C8*C10</f>
        <v>0</v>
      </c>
      <c r="D12" s="23">
        <f>D8*D10</f>
        <v>14.058860640000001</v>
      </c>
      <c r="E12" s="23">
        <f>E8*E10</f>
        <v>6.7850088697535789</v>
      </c>
      <c r="F12" s="23">
        <f>F8*F10</f>
        <v>903.70524383397787</v>
      </c>
      <c r="G12" s="23"/>
      <c r="H12" s="23"/>
      <c r="I12" s="23"/>
      <c r="J12" s="23">
        <f>J8*J10</f>
        <v>93.405226906232471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0.14237090298710262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404.08193672047679</v>
      </c>
      <c r="C26" s="247">
        <f>B26*'GWP N2O_CH4'!B5</f>
        <v>8485.7206711300132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67.671382514245835</v>
      </c>
      <c r="C27" s="247">
        <f>B27*'GWP N2O_CH4'!B5</f>
        <v>1421.0990327991626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4.8913274408965615</v>
      </c>
      <c r="C28" s="247">
        <f>B28*'GWP N2O_CH4'!B4</f>
        <v>1516.3115066779339</v>
      </c>
      <c r="D28" s="50"/>
    </row>
    <row r="29" spans="1:4">
      <c r="A29" s="41" t="s">
        <v>276</v>
      </c>
      <c r="B29" s="247">
        <f>B34*'ha_N2O bodem landbouw'!B4</f>
        <v>22.766119485317585</v>
      </c>
      <c r="C29" s="247">
        <f>B29*'GWP N2O_CH4'!B4</f>
        <v>7057.4970404484511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4.9922001083652218E-3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1.1204452215070131E-4</v>
      </c>
      <c r="C5" s="437" t="s">
        <v>210</v>
      </c>
      <c r="D5" s="422">
        <f>SUM(D6:D11)</f>
        <v>3.9249836198808243E-4</v>
      </c>
      <c r="E5" s="422">
        <f>SUM(E6:E11)</f>
        <v>3.3237334943952621E-4</v>
      </c>
      <c r="F5" s="435" t="s">
        <v>210</v>
      </c>
      <c r="G5" s="422">
        <f>SUM(G6:G11)</f>
        <v>0.14598719529520557</v>
      </c>
      <c r="H5" s="422">
        <f>SUM(H6:H11)</f>
        <v>3.6649069326076283E-2</v>
      </c>
      <c r="I5" s="437" t="s">
        <v>210</v>
      </c>
      <c r="J5" s="437" t="s">
        <v>210</v>
      </c>
      <c r="K5" s="437" t="s">
        <v>210</v>
      </c>
      <c r="L5" s="437" t="s">
        <v>210</v>
      </c>
      <c r="M5" s="422">
        <f>SUM(M6:M11)</f>
        <v>1.0841514014979112E-2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9.7934540640968058E-5</v>
      </c>
      <c r="C6" s="423"/>
      <c r="D6" s="890">
        <f>vkm_GW_PW*SUMIFS(TableVerdeelsleutelVkm[CNG],TableVerdeelsleutelVkm[Voertuigtype],"Lichte voertuigen")*SUMIFS(TableECFTransport[EnergieConsumptieFactor (PJ per km)],TableECFTransport[Index],CONCATENATE($A6,"_CNG_CNG"))</f>
        <v>3.154865647069821E-4</v>
      </c>
      <c r="E6" s="890">
        <f>vkm_GW_PW*SUMIFS(TableVerdeelsleutelVkm[LPG],TableVerdeelsleutelVkm[Voertuigtype],"Lichte voertuigen")*SUMIFS(TableECFTransport[EnergieConsumptieFactor (PJ per km)],TableECFTransport[Index],CONCATENATE($A6,"_LPG_LPG"))</f>
        <v>2.6979673008377522E-4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8.7157682390410912E-2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2.9554635559468072E-2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6.9807601543248696E-3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3.7296369005656416E-2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5.3330458885481354E-7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2.1498524562528504E-3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1.4109981509733252E-5</v>
      </c>
      <c r="C8" s="423"/>
      <c r="D8" s="425">
        <f>vkm_NGW_PW*SUMIFS(TableVerdeelsleutelVkm[CNG],TableVerdeelsleutelVkm[Voertuigtype],"Lichte voertuigen")*SUMIFS(TableECFTransport[EnergieConsumptieFactor (PJ per km)],TableECFTransport[Index],CONCATENATE($A8,"_CNG_CNG"))</f>
        <v>7.7011797281100337E-5</v>
      </c>
      <c r="E8" s="425">
        <f>vkm_NGW_PW*SUMIFS(TableVerdeelsleutelVkm[LPG],TableVerdeelsleutelVkm[Voertuigtype],"Lichte voertuigen")*SUMIFS(TableECFTransport[EnergieConsumptieFactor (PJ per km)],TableECFTransport[Index],CONCATENATE($A8,"_LPG_LPG"))</f>
        <v>6.257661935575099E-5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1.8890011093612439E-2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7.0938525423996429E-3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1.5585441988771845E-3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2.6431328055257987E-3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4.7919619718234251E-8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1.5235720552420802E-4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31.123478375194807</v>
      </c>
      <c r="C14" s="21"/>
      <c r="D14" s="21">
        <f t="shared" ref="D14:M14" si="0">((D5)*10^9/3600)+D12</f>
        <v>109.02732277446734</v>
      </c>
      <c r="E14" s="21">
        <f t="shared" si="0"/>
        <v>92.325930399868398</v>
      </c>
      <c r="F14" s="21"/>
      <c r="G14" s="21">
        <f t="shared" si="0"/>
        <v>40551.998693112655</v>
      </c>
      <c r="H14" s="21">
        <f t="shared" si="0"/>
        <v>10180.297035021191</v>
      </c>
      <c r="I14" s="21"/>
      <c r="J14" s="21"/>
      <c r="K14" s="21"/>
      <c r="L14" s="21"/>
      <c r="M14" s="21">
        <f t="shared" si="0"/>
        <v>3011.5316708275309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0.2094136168892595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6.5176801767241983</v>
      </c>
      <c r="C18" s="23"/>
      <c r="D18" s="23">
        <f t="shared" ref="D18:M18" si="1">D14*D16</f>
        <v>22.023519200442404</v>
      </c>
      <c r="E18" s="23">
        <f t="shared" si="1"/>
        <v>20.957986200770126</v>
      </c>
      <c r="F18" s="23"/>
      <c r="G18" s="23">
        <f t="shared" si="1"/>
        <v>10827.38365106108</v>
      </c>
      <c r="H18" s="23">
        <f t="shared" si="1"/>
        <v>2534.8939617202764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1.30108627336878E-3</v>
      </c>
      <c r="H50" s="319">
        <f t="shared" si="2"/>
        <v>0</v>
      </c>
      <c r="I50" s="319">
        <f t="shared" si="2"/>
        <v>0</v>
      </c>
      <c r="J50" s="319">
        <f t="shared" si="2"/>
        <v>0</v>
      </c>
      <c r="K50" s="319">
        <f t="shared" si="2"/>
        <v>0</v>
      </c>
      <c r="L50" s="319">
        <f t="shared" si="2"/>
        <v>0</v>
      </c>
      <c r="M50" s="319">
        <f t="shared" si="2"/>
        <v>7.2303141814171207E-5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1.30108627336878E-3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7.2303141814171207E-5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361.41285371355002</v>
      </c>
      <c r="H54" s="21">
        <f t="shared" si="3"/>
        <v>0</v>
      </c>
      <c r="I54" s="21">
        <f t="shared" si="3"/>
        <v>0</v>
      </c>
      <c r="J54" s="21">
        <f t="shared" si="3"/>
        <v>0</v>
      </c>
      <c r="K54" s="21">
        <f t="shared" si="3"/>
        <v>0</v>
      </c>
      <c r="L54" s="21">
        <f t="shared" si="3"/>
        <v>0</v>
      </c>
      <c r="M54" s="21">
        <f t="shared" si="3"/>
        <v>20.084206059492001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0.2094136168892595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96.497231941517867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4339.61625</v>
      </c>
      <c r="D10" s="686">
        <f ca="1">tertiair!C16</f>
        <v>0</v>
      </c>
      <c r="E10" s="686">
        <f ca="1">tertiair!D16</f>
        <v>2351.1775991</v>
      </c>
      <c r="F10" s="686">
        <f>tertiair!E16</f>
        <v>53.463840541845364</v>
      </c>
      <c r="G10" s="686">
        <f ca="1">tertiair!F16</f>
        <v>424.02617479518676</v>
      </c>
      <c r="H10" s="686">
        <f>tertiair!G16</f>
        <v>0</v>
      </c>
      <c r="I10" s="686">
        <f>tertiair!H16</f>
        <v>0</v>
      </c>
      <c r="J10" s="686">
        <f>tertiair!I16</f>
        <v>0</v>
      </c>
      <c r="K10" s="686">
        <f>tertiair!J16</f>
        <v>8.6204249714312634E-3</v>
      </c>
      <c r="L10" s="686">
        <f>tertiair!K16</f>
        <v>0</v>
      </c>
      <c r="M10" s="686">
        <f ca="1">tertiair!L16</f>
        <v>0</v>
      </c>
      <c r="N10" s="686">
        <f>tertiair!M16</f>
        <v>0</v>
      </c>
      <c r="O10" s="686">
        <f ca="1">tertiair!N16</f>
        <v>340.38088909337728</v>
      </c>
      <c r="P10" s="686">
        <f>tertiair!O16</f>
        <v>4.8972607658411542</v>
      </c>
      <c r="Q10" s="687">
        <f>tertiair!P16</f>
        <v>52.539138306495019</v>
      </c>
      <c r="R10" s="689">
        <f ca="1">SUM(C10:Q10)</f>
        <v>7566.1097730277179</v>
      </c>
      <c r="S10" s="67"/>
    </row>
    <row r="11" spans="1:19" s="448" customFormat="1">
      <c r="A11" s="808" t="s">
        <v>224</v>
      </c>
      <c r="B11" s="813"/>
      <c r="C11" s="686">
        <f>huishoudens!B8</f>
        <v>12082.172187886179</v>
      </c>
      <c r="D11" s="686">
        <f>huishoudens!C8</f>
        <v>0</v>
      </c>
      <c r="E11" s="686">
        <f>huishoudens!D8</f>
        <v>9223.0323526000011</v>
      </c>
      <c r="F11" s="686">
        <f>huishoudens!E8</f>
        <v>10144.719623306593</v>
      </c>
      <c r="G11" s="686">
        <f>huishoudens!F8</f>
        <v>25687.074647366273</v>
      </c>
      <c r="H11" s="686">
        <f>huishoudens!G8</f>
        <v>0</v>
      </c>
      <c r="I11" s="686">
        <f>huishoudens!H8</f>
        <v>0</v>
      </c>
      <c r="J11" s="686">
        <f>huishoudens!I8</f>
        <v>0</v>
      </c>
      <c r="K11" s="686">
        <f>huishoudens!J8</f>
        <v>754.58964078562065</v>
      </c>
      <c r="L11" s="686">
        <f>huishoudens!K8</f>
        <v>0</v>
      </c>
      <c r="M11" s="686">
        <f>huishoudens!L8</f>
        <v>0</v>
      </c>
      <c r="N11" s="686">
        <f>huishoudens!M8</f>
        <v>0</v>
      </c>
      <c r="O11" s="686">
        <f>huishoudens!N8</f>
        <v>9431.1828019757777</v>
      </c>
      <c r="P11" s="686">
        <f>huishoudens!O8</f>
        <v>148.79686645402739</v>
      </c>
      <c r="Q11" s="687">
        <f>huishoudens!P8</f>
        <v>337.08669784592075</v>
      </c>
      <c r="R11" s="689">
        <f>SUM(C11:Q11)</f>
        <v>67808.654818220384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10605.903</v>
      </c>
      <c r="D13" s="686">
        <f>industrie!C18</f>
        <v>0</v>
      </c>
      <c r="E13" s="686">
        <f>industrie!D18</f>
        <v>23278.642816000003</v>
      </c>
      <c r="F13" s="686">
        <f>industrie!E18</f>
        <v>123.25033582892272</v>
      </c>
      <c r="G13" s="686">
        <f>industrie!F18</f>
        <v>870.21612756895161</v>
      </c>
      <c r="H13" s="686">
        <f>industrie!G18</f>
        <v>0</v>
      </c>
      <c r="I13" s="686">
        <f>industrie!H18</f>
        <v>0</v>
      </c>
      <c r="J13" s="686">
        <f>industrie!I18</f>
        <v>0</v>
      </c>
      <c r="K13" s="686">
        <f>industrie!J18</f>
        <v>0.22873292284168115</v>
      </c>
      <c r="L13" s="686">
        <f>industrie!K18</f>
        <v>0</v>
      </c>
      <c r="M13" s="686">
        <f>industrie!L18</f>
        <v>0</v>
      </c>
      <c r="N13" s="686">
        <f>industrie!M18</f>
        <v>0</v>
      </c>
      <c r="O13" s="686">
        <f>industrie!N18</f>
        <v>615.26385366429975</v>
      </c>
      <c r="P13" s="686">
        <f>industrie!O18</f>
        <v>0</v>
      </c>
      <c r="Q13" s="687">
        <f>industrie!P18</f>
        <v>0</v>
      </c>
      <c r="R13" s="689">
        <f>SUM(C13:Q13)</f>
        <v>35493.504865985022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27027.691437886177</v>
      </c>
      <c r="D16" s="722">
        <f t="shared" ref="D16:R16" ca="1" si="0">SUM(D9:D15)</f>
        <v>0</v>
      </c>
      <c r="E16" s="722">
        <f t="shared" ca="1" si="0"/>
        <v>34852.852767700002</v>
      </c>
      <c r="F16" s="722">
        <f t="shared" si="0"/>
        <v>10321.433799677361</v>
      </c>
      <c r="G16" s="722">
        <f t="shared" ca="1" si="0"/>
        <v>26981.316949730412</v>
      </c>
      <c r="H16" s="722">
        <f t="shared" si="0"/>
        <v>0</v>
      </c>
      <c r="I16" s="722">
        <f t="shared" si="0"/>
        <v>0</v>
      </c>
      <c r="J16" s="722">
        <f t="shared" si="0"/>
        <v>0</v>
      </c>
      <c r="K16" s="722">
        <f t="shared" si="0"/>
        <v>754.8269941334338</v>
      </c>
      <c r="L16" s="722">
        <f t="shared" si="0"/>
        <v>0</v>
      </c>
      <c r="M16" s="722">
        <f t="shared" ca="1" si="0"/>
        <v>0</v>
      </c>
      <c r="N16" s="722">
        <f t="shared" si="0"/>
        <v>0</v>
      </c>
      <c r="O16" s="722">
        <f t="shared" ca="1" si="0"/>
        <v>10386.827544733454</v>
      </c>
      <c r="P16" s="722">
        <f t="shared" si="0"/>
        <v>153.69412721986856</v>
      </c>
      <c r="Q16" s="722">
        <f t="shared" si="0"/>
        <v>389.62583615241579</v>
      </c>
      <c r="R16" s="722">
        <f t="shared" ca="1" si="0"/>
        <v>110868.26945723311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361.41285371355002</v>
      </c>
      <c r="I19" s="686">
        <f>transport!H54</f>
        <v>0</v>
      </c>
      <c r="J19" s="686">
        <f>transport!I54</f>
        <v>0</v>
      </c>
      <c r="K19" s="686">
        <f>transport!J54</f>
        <v>0</v>
      </c>
      <c r="L19" s="686">
        <f>transport!K54</f>
        <v>0</v>
      </c>
      <c r="M19" s="686">
        <f>transport!L54</f>
        <v>0</v>
      </c>
      <c r="N19" s="686">
        <f>transport!M54</f>
        <v>20.084206059492001</v>
      </c>
      <c r="O19" s="686">
        <f>transport!N54</f>
        <v>0</v>
      </c>
      <c r="P19" s="686">
        <f>transport!O54</f>
        <v>0</v>
      </c>
      <c r="Q19" s="687">
        <f>transport!P54</f>
        <v>0</v>
      </c>
      <c r="R19" s="689">
        <f>SUM(C19:Q19)</f>
        <v>381.497059773042</v>
      </c>
      <c r="S19" s="67"/>
    </row>
    <row r="20" spans="1:19" s="448" customFormat="1">
      <c r="A20" s="808" t="s">
        <v>306</v>
      </c>
      <c r="B20" s="813"/>
      <c r="C20" s="686">
        <f>transport!B14</f>
        <v>31.123478375194807</v>
      </c>
      <c r="D20" s="686">
        <f>transport!C14</f>
        <v>0</v>
      </c>
      <c r="E20" s="686">
        <f>transport!D14</f>
        <v>109.02732277446734</v>
      </c>
      <c r="F20" s="686">
        <f>transport!E14</f>
        <v>92.325930399868398</v>
      </c>
      <c r="G20" s="686">
        <f>transport!F14</f>
        <v>0</v>
      </c>
      <c r="H20" s="686">
        <f>transport!G14</f>
        <v>40551.998693112655</v>
      </c>
      <c r="I20" s="686">
        <f>transport!H14</f>
        <v>10180.297035021191</v>
      </c>
      <c r="J20" s="686">
        <f>transport!I14</f>
        <v>0</v>
      </c>
      <c r="K20" s="686">
        <f>transport!J14</f>
        <v>0</v>
      </c>
      <c r="L20" s="686">
        <f>transport!K14</f>
        <v>0</v>
      </c>
      <c r="M20" s="686">
        <f>transport!L14</f>
        <v>0</v>
      </c>
      <c r="N20" s="686">
        <f>transport!M14</f>
        <v>3011.5316708275309</v>
      </c>
      <c r="O20" s="686">
        <f>transport!N14</f>
        <v>0</v>
      </c>
      <c r="P20" s="686">
        <f>transport!O14</f>
        <v>0</v>
      </c>
      <c r="Q20" s="687">
        <f>transport!P14</f>
        <v>0</v>
      </c>
      <c r="R20" s="689">
        <f>SUM(C20:Q20)</f>
        <v>53976.304130510907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31.123478375194807</v>
      </c>
      <c r="D22" s="811">
        <f t="shared" ref="D22:R22" si="1">SUM(D18:D21)</f>
        <v>0</v>
      </c>
      <c r="E22" s="811">
        <f t="shared" si="1"/>
        <v>109.02732277446734</v>
      </c>
      <c r="F22" s="811">
        <f t="shared" si="1"/>
        <v>92.325930399868398</v>
      </c>
      <c r="G22" s="811">
        <f t="shared" si="1"/>
        <v>0</v>
      </c>
      <c r="H22" s="811">
        <f t="shared" si="1"/>
        <v>40913.411546826203</v>
      </c>
      <c r="I22" s="811">
        <f t="shared" si="1"/>
        <v>10180.297035021191</v>
      </c>
      <c r="J22" s="811">
        <f t="shared" si="1"/>
        <v>0</v>
      </c>
      <c r="K22" s="811">
        <f t="shared" si="1"/>
        <v>0</v>
      </c>
      <c r="L22" s="811">
        <f t="shared" si="1"/>
        <v>0</v>
      </c>
      <c r="M22" s="811">
        <f t="shared" si="1"/>
        <v>0</v>
      </c>
      <c r="N22" s="811">
        <f t="shared" si="1"/>
        <v>3031.6158768870228</v>
      </c>
      <c r="O22" s="811">
        <f t="shared" si="1"/>
        <v>0</v>
      </c>
      <c r="P22" s="811">
        <f t="shared" si="1"/>
        <v>0</v>
      </c>
      <c r="Q22" s="811">
        <f t="shared" si="1"/>
        <v>0</v>
      </c>
      <c r="R22" s="811">
        <f t="shared" si="1"/>
        <v>54357.80119028395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957.71299999999997</v>
      </c>
      <c r="D24" s="686">
        <f>+landbouw!C8</f>
        <v>0</v>
      </c>
      <c r="E24" s="686">
        <f>+landbouw!D8</f>
        <v>69.598320000000001</v>
      </c>
      <c r="F24" s="686">
        <f>+landbouw!E8</f>
        <v>29.889906915214002</v>
      </c>
      <c r="G24" s="686">
        <f>+landbouw!F8</f>
        <v>3384.6638345841866</v>
      </c>
      <c r="H24" s="686">
        <f>+landbouw!G8</f>
        <v>0</v>
      </c>
      <c r="I24" s="686">
        <f>+landbouw!H8</f>
        <v>0</v>
      </c>
      <c r="J24" s="686">
        <f>+landbouw!I8</f>
        <v>0</v>
      </c>
      <c r="K24" s="686">
        <f>+landbouw!J8</f>
        <v>263.85657318144769</v>
      </c>
      <c r="L24" s="686">
        <f>+landbouw!K8</f>
        <v>0</v>
      </c>
      <c r="M24" s="686">
        <f>+landbouw!L8</f>
        <v>0</v>
      </c>
      <c r="N24" s="686">
        <f>+landbouw!M8</f>
        <v>0</v>
      </c>
      <c r="O24" s="686">
        <f>+landbouw!N8</f>
        <v>0</v>
      </c>
      <c r="P24" s="686">
        <f>+landbouw!O8</f>
        <v>0</v>
      </c>
      <c r="Q24" s="687">
        <f>+landbouw!P8</f>
        <v>0</v>
      </c>
      <c r="R24" s="689">
        <f>SUM(C24:Q24)</f>
        <v>4705.7216346808482</v>
      </c>
      <c r="S24" s="67"/>
    </row>
    <row r="25" spans="1:19" s="448" customFormat="1" ht="15" thickBot="1">
      <c r="A25" s="830" t="s">
        <v>724</v>
      </c>
      <c r="B25" s="949"/>
      <c r="C25" s="950">
        <f>IF(Onbekend_ele_kWh="---",0,Onbekend_ele_kWh)/1000+IF(REST_rest_ele_kWh="---",0,REST_rest_ele_kWh)/1000</f>
        <v>284.41615000000002</v>
      </c>
      <c r="D25" s="950"/>
      <c r="E25" s="950">
        <f>IF(onbekend_gas_kWh="---",0,onbekend_gas_kWh)/1000+IF(REST_rest_gas_kWh="---",0,REST_rest_gas_kWh)/1000</f>
        <v>132.39500000000001</v>
      </c>
      <c r="F25" s="950"/>
      <c r="G25" s="950"/>
      <c r="H25" s="950"/>
      <c r="I25" s="950"/>
      <c r="J25" s="950"/>
      <c r="K25" s="950"/>
      <c r="L25" s="950"/>
      <c r="M25" s="950"/>
      <c r="N25" s="950"/>
      <c r="O25" s="950"/>
      <c r="P25" s="950"/>
      <c r="Q25" s="951"/>
      <c r="R25" s="689">
        <f>SUM(C25:Q25)</f>
        <v>416.81115</v>
      </c>
      <c r="S25" s="67"/>
    </row>
    <row r="26" spans="1:19" s="448" customFormat="1" ht="15.75" thickBot="1">
      <c r="A26" s="694" t="s">
        <v>725</v>
      </c>
      <c r="B26" s="816"/>
      <c r="C26" s="811">
        <f>SUM(C24:C25)</f>
        <v>1242.12915</v>
      </c>
      <c r="D26" s="811">
        <f t="shared" ref="D26:R26" si="2">SUM(D24:D25)</f>
        <v>0</v>
      </c>
      <c r="E26" s="811">
        <f t="shared" si="2"/>
        <v>201.99332000000001</v>
      </c>
      <c r="F26" s="811">
        <f t="shared" si="2"/>
        <v>29.889906915214002</v>
      </c>
      <c r="G26" s="811">
        <f t="shared" si="2"/>
        <v>3384.6638345841866</v>
      </c>
      <c r="H26" s="811">
        <f t="shared" si="2"/>
        <v>0</v>
      </c>
      <c r="I26" s="811">
        <f t="shared" si="2"/>
        <v>0</v>
      </c>
      <c r="J26" s="811">
        <f t="shared" si="2"/>
        <v>0</v>
      </c>
      <c r="K26" s="811">
        <f t="shared" si="2"/>
        <v>263.85657318144769</v>
      </c>
      <c r="L26" s="811">
        <f t="shared" si="2"/>
        <v>0</v>
      </c>
      <c r="M26" s="811">
        <f t="shared" si="2"/>
        <v>0</v>
      </c>
      <c r="N26" s="811">
        <f t="shared" si="2"/>
        <v>0</v>
      </c>
      <c r="O26" s="811">
        <f t="shared" si="2"/>
        <v>0</v>
      </c>
      <c r="P26" s="811">
        <f t="shared" si="2"/>
        <v>0</v>
      </c>
      <c r="Q26" s="811">
        <f t="shared" si="2"/>
        <v>0</v>
      </c>
      <c r="R26" s="811">
        <f t="shared" si="2"/>
        <v>5122.5327846808486</v>
      </c>
      <c r="S26" s="67"/>
    </row>
    <row r="27" spans="1:19" s="448" customFormat="1" ht="17.25" thickTop="1" thickBot="1">
      <c r="A27" s="695" t="s">
        <v>115</v>
      </c>
      <c r="B27" s="803"/>
      <c r="C27" s="696">
        <f ca="1">C22+C16+C26</f>
        <v>28300.944066261371</v>
      </c>
      <c r="D27" s="696">
        <f t="shared" ref="D27:R27" ca="1" si="3">D22+D16+D26</f>
        <v>0</v>
      </c>
      <c r="E27" s="696">
        <f t="shared" ca="1" si="3"/>
        <v>35163.873410474473</v>
      </c>
      <c r="F27" s="696">
        <f t="shared" si="3"/>
        <v>10443.649636992443</v>
      </c>
      <c r="G27" s="696">
        <f t="shared" ca="1" si="3"/>
        <v>30365.980784314597</v>
      </c>
      <c r="H27" s="696">
        <f t="shared" si="3"/>
        <v>40913.411546826203</v>
      </c>
      <c r="I27" s="696">
        <f t="shared" si="3"/>
        <v>10180.297035021191</v>
      </c>
      <c r="J27" s="696">
        <f t="shared" si="3"/>
        <v>0</v>
      </c>
      <c r="K27" s="696">
        <f t="shared" si="3"/>
        <v>1018.6835673148814</v>
      </c>
      <c r="L27" s="696">
        <f t="shared" si="3"/>
        <v>0</v>
      </c>
      <c r="M27" s="696">
        <f t="shared" ca="1" si="3"/>
        <v>0</v>
      </c>
      <c r="N27" s="696">
        <f t="shared" si="3"/>
        <v>3031.6158768870228</v>
      </c>
      <c r="O27" s="696">
        <f t="shared" ca="1" si="3"/>
        <v>10386.827544733454</v>
      </c>
      <c r="P27" s="696">
        <f t="shared" si="3"/>
        <v>153.69412721986856</v>
      </c>
      <c r="Q27" s="696">
        <f t="shared" si="3"/>
        <v>389.62583615241579</v>
      </c>
      <c r="R27" s="696">
        <f t="shared" ca="1" si="3"/>
        <v>170348.60343219788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908.77473482390496</v>
      </c>
      <c r="D40" s="686">
        <f ca="1">tertiair!C20</f>
        <v>0</v>
      </c>
      <c r="E40" s="686">
        <f ca="1">tertiair!D20</f>
        <v>474.93787501820003</v>
      </c>
      <c r="F40" s="686">
        <f>tertiair!E20</f>
        <v>12.136291802998898</v>
      </c>
      <c r="G40" s="686">
        <f ca="1">tertiair!F20</f>
        <v>113.21498867031487</v>
      </c>
      <c r="H40" s="686">
        <f>tertiair!G20</f>
        <v>0</v>
      </c>
      <c r="I40" s="686">
        <f>tertiair!H20</f>
        <v>0</v>
      </c>
      <c r="J40" s="686">
        <f>tertiair!I20</f>
        <v>0</v>
      </c>
      <c r="K40" s="686">
        <f>tertiair!J20</f>
        <v>3.0516304398866671E-3</v>
      </c>
      <c r="L40" s="686">
        <f>tertiair!K20</f>
        <v>0</v>
      </c>
      <c r="M40" s="686">
        <f ca="1">tertiair!L20</f>
        <v>0</v>
      </c>
      <c r="N40" s="686">
        <f>tertiair!M20</f>
        <v>0</v>
      </c>
      <c r="O40" s="686">
        <f ca="1">tertiair!N20</f>
        <v>0</v>
      </c>
      <c r="P40" s="686">
        <f>tertiair!O20</f>
        <v>0</v>
      </c>
      <c r="Q40" s="769">
        <f>tertiair!P20</f>
        <v>0</v>
      </c>
      <c r="R40" s="849">
        <f t="shared" ca="1" si="4"/>
        <v>1509.0669419458584</v>
      </c>
    </row>
    <row r="41" spans="1:18">
      <c r="A41" s="821" t="s">
        <v>224</v>
      </c>
      <c r="B41" s="828"/>
      <c r="C41" s="686">
        <f ca="1">huishoudens!B12</f>
        <v>2530.1713777440623</v>
      </c>
      <c r="D41" s="686">
        <f ca="1">huishoudens!C12</f>
        <v>0</v>
      </c>
      <c r="E41" s="686">
        <f>huishoudens!D12</f>
        <v>1863.0525352252002</v>
      </c>
      <c r="F41" s="686">
        <f>huishoudens!E12</f>
        <v>2302.8513544905968</v>
      </c>
      <c r="G41" s="686">
        <f>huishoudens!F12</f>
        <v>6858.4489308467955</v>
      </c>
      <c r="H41" s="686">
        <f>huishoudens!G12</f>
        <v>0</v>
      </c>
      <c r="I41" s="686">
        <f>huishoudens!H12</f>
        <v>0</v>
      </c>
      <c r="J41" s="686">
        <f>huishoudens!I12</f>
        <v>0</v>
      </c>
      <c r="K41" s="686">
        <f>huishoudens!J12</f>
        <v>267.12473283810971</v>
      </c>
      <c r="L41" s="686">
        <f>huishoudens!K12</f>
        <v>0</v>
      </c>
      <c r="M41" s="686">
        <f>huishoudens!L12</f>
        <v>0</v>
      </c>
      <c r="N41" s="686">
        <f>huishoudens!M12</f>
        <v>0</v>
      </c>
      <c r="O41" s="686">
        <f>huishoudens!N12</f>
        <v>0</v>
      </c>
      <c r="P41" s="686">
        <f>huishoudens!O12</f>
        <v>0</v>
      </c>
      <c r="Q41" s="769">
        <f>huishoudens!P12</f>
        <v>0</v>
      </c>
      <c r="R41" s="849">
        <f t="shared" ca="1" si="4"/>
        <v>13821.648931144766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2221.0205076066482</v>
      </c>
      <c r="D43" s="686">
        <f ca="1">industrie!C22</f>
        <v>0</v>
      </c>
      <c r="E43" s="686">
        <f>industrie!D22</f>
        <v>4702.2858488320007</v>
      </c>
      <c r="F43" s="686">
        <f>industrie!E22</f>
        <v>27.977826233165459</v>
      </c>
      <c r="G43" s="686">
        <f>industrie!F22</f>
        <v>232.3477060609101</v>
      </c>
      <c r="H43" s="686">
        <f>industrie!G22</f>
        <v>0</v>
      </c>
      <c r="I43" s="686">
        <f>industrie!H22</f>
        <v>0</v>
      </c>
      <c r="J43" s="686">
        <f>industrie!I22</f>
        <v>0</v>
      </c>
      <c r="K43" s="686">
        <f>industrie!J22</f>
        <v>8.0971454685955124E-2</v>
      </c>
      <c r="L43" s="686">
        <f>industrie!K22</f>
        <v>0</v>
      </c>
      <c r="M43" s="686">
        <f>industrie!L22</f>
        <v>0</v>
      </c>
      <c r="N43" s="686">
        <f>industrie!M22</f>
        <v>0</v>
      </c>
      <c r="O43" s="686">
        <f>industrie!N22</f>
        <v>0</v>
      </c>
      <c r="P43" s="686">
        <f>industrie!O22</f>
        <v>0</v>
      </c>
      <c r="Q43" s="769">
        <f>industrie!P22</f>
        <v>0</v>
      </c>
      <c r="R43" s="848">
        <f t="shared" ca="1" si="4"/>
        <v>7183.7128601874101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5659.9666201746149</v>
      </c>
      <c r="D46" s="722">
        <f t="shared" ref="D46:Q46" ca="1" si="5">SUM(D39:D45)</f>
        <v>0</v>
      </c>
      <c r="E46" s="722">
        <f t="shared" ca="1" si="5"/>
        <v>7040.276259075401</v>
      </c>
      <c r="F46" s="722">
        <f t="shared" si="5"/>
        <v>2342.9654725267615</v>
      </c>
      <c r="G46" s="722">
        <f t="shared" ca="1" si="5"/>
        <v>7204.0116255780204</v>
      </c>
      <c r="H46" s="722">
        <f t="shared" si="5"/>
        <v>0</v>
      </c>
      <c r="I46" s="722">
        <f t="shared" si="5"/>
        <v>0</v>
      </c>
      <c r="J46" s="722">
        <f t="shared" si="5"/>
        <v>0</v>
      </c>
      <c r="K46" s="722">
        <f t="shared" si="5"/>
        <v>267.20875592323551</v>
      </c>
      <c r="L46" s="722">
        <f t="shared" si="5"/>
        <v>0</v>
      </c>
      <c r="M46" s="722">
        <f t="shared" ca="1" si="5"/>
        <v>0</v>
      </c>
      <c r="N46" s="722">
        <f t="shared" si="5"/>
        <v>0</v>
      </c>
      <c r="O46" s="722">
        <f t="shared" ca="1" si="5"/>
        <v>0</v>
      </c>
      <c r="P46" s="722">
        <f t="shared" si="5"/>
        <v>0</v>
      </c>
      <c r="Q46" s="722">
        <f t="shared" si="5"/>
        <v>0</v>
      </c>
      <c r="R46" s="722">
        <f ca="1">SUM(R39:R45)</f>
        <v>22514.428733278037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96.497231941517867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96.497231941517867</v>
      </c>
    </row>
    <row r="50" spans="1:18">
      <c r="A50" s="824" t="s">
        <v>306</v>
      </c>
      <c r="B50" s="834"/>
      <c r="C50" s="692">
        <f ca="1">transport!B18</f>
        <v>6.5176801767241983</v>
      </c>
      <c r="D50" s="692">
        <f>transport!C18</f>
        <v>0</v>
      </c>
      <c r="E50" s="692">
        <f>transport!D18</f>
        <v>22.023519200442404</v>
      </c>
      <c r="F50" s="692">
        <f>transport!E18</f>
        <v>20.957986200770126</v>
      </c>
      <c r="G50" s="692">
        <f>transport!F18</f>
        <v>0</v>
      </c>
      <c r="H50" s="692">
        <f>transport!G18</f>
        <v>10827.38365106108</v>
      </c>
      <c r="I50" s="692">
        <f>transport!H18</f>
        <v>2534.8939617202764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13411.776798359293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6.5176801767241983</v>
      </c>
      <c r="D52" s="722">
        <f t="shared" ref="D52:Q52" ca="1" si="6">SUM(D48:D51)</f>
        <v>0</v>
      </c>
      <c r="E52" s="722">
        <f t="shared" si="6"/>
        <v>22.023519200442404</v>
      </c>
      <c r="F52" s="722">
        <f t="shared" si="6"/>
        <v>20.957986200770126</v>
      </c>
      <c r="G52" s="722">
        <f t="shared" si="6"/>
        <v>0</v>
      </c>
      <c r="H52" s="722">
        <f t="shared" si="6"/>
        <v>10923.880883002597</v>
      </c>
      <c r="I52" s="722">
        <f t="shared" si="6"/>
        <v>2534.8939617202764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13508.27403030081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200.55814327186337</v>
      </c>
      <c r="D54" s="692">
        <f ca="1">+landbouw!C12</f>
        <v>0</v>
      </c>
      <c r="E54" s="692">
        <f>+landbouw!D12</f>
        <v>14.058860640000001</v>
      </c>
      <c r="F54" s="692">
        <f>+landbouw!E12</f>
        <v>6.7850088697535789</v>
      </c>
      <c r="G54" s="692">
        <f>+landbouw!F12</f>
        <v>903.70524383397787</v>
      </c>
      <c r="H54" s="692">
        <f>+landbouw!G12</f>
        <v>0</v>
      </c>
      <c r="I54" s="692">
        <f>+landbouw!H12</f>
        <v>0</v>
      </c>
      <c r="J54" s="692">
        <f>+landbouw!I12</f>
        <v>0</v>
      </c>
      <c r="K54" s="692">
        <f>+landbouw!J12</f>
        <v>93.405226906232471</v>
      </c>
      <c r="L54" s="692">
        <f>+landbouw!K12</f>
        <v>0</v>
      </c>
      <c r="M54" s="692">
        <f>+landbouw!L12</f>
        <v>0</v>
      </c>
      <c r="N54" s="692">
        <f>+landbouw!M12</f>
        <v>0</v>
      </c>
      <c r="O54" s="692">
        <f>+landbouw!N12</f>
        <v>0</v>
      </c>
      <c r="P54" s="692">
        <f>+landbouw!O12</f>
        <v>0</v>
      </c>
      <c r="Q54" s="693">
        <f>+landbouw!P12</f>
        <v>0</v>
      </c>
      <c r="R54" s="721">
        <f ca="1">SUM(C54:Q54)</f>
        <v>1218.5124835218273</v>
      </c>
    </row>
    <row r="55" spans="1:18" ht="15" thickBot="1">
      <c r="A55" s="824" t="s">
        <v>724</v>
      </c>
      <c r="B55" s="834"/>
      <c r="C55" s="692">
        <f ca="1">C25*'EF ele_warmte'!B12</f>
        <v>59.560614673218168</v>
      </c>
      <c r="D55" s="692"/>
      <c r="E55" s="692">
        <f>E25*EF_CO2_aardgas</f>
        <v>26.743790000000004</v>
      </c>
      <c r="F55" s="692"/>
      <c r="G55" s="692"/>
      <c r="H55" s="692"/>
      <c r="I55" s="692"/>
      <c r="J55" s="692"/>
      <c r="K55" s="692"/>
      <c r="L55" s="692"/>
      <c r="M55" s="692"/>
      <c r="N55" s="692"/>
      <c r="O55" s="692"/>
      <c r="P55" s="692"/>
      <c r="Q55" s="693"/>
      <c r="R55" s="721">
        <f ca="1">SUM(C55:Q55)</f>
        <v>86.304404673218173</v>
      </c>
    </row>
    <row r="56" spans="1:18" ht="15.75" thickBot="1">
      <c r="A56" s="822" t="s">
        <v>725</v>
      </c>
      <c r="B56" s="835"/>
      <c r="C56" s="722">
        <f ca="1">SUM(C54:C55)</f>
        <v>260.11875794508154</v>
      </c>
      <c r="D56" s="722">
        <f t="shared" ref="D56:Q56" ca="1" si="7">SUM(D54:D55)</f>
        <v>0</v>
      </c>
      <c r="E56" s="722">
        <f t="shared" si="7"/>
        <v>40.802650640000003</v>
      </c>
      <c r="F56" s="722">
        <f t="shared" si="7"/>
        <v>6.7850088697535789</v>
      </c>
      <c r="G56" s="722">
        <f t="shared" si="7"/>
        <v>903.70524383397787</v>
      </c>
      <c r="H56" s="722">
        <f t="shared" si="7"/>
        <v>0</v>
      </c>
      <c r="I56" s="722">
        <f t="shared" si="7"/>
        <v>0</v>
      </c>
      <c r="J56" s="722">
        <f t="shared" si="7"/>
        <v>0</v>
      </c>
      <c r="K56" s="722">
        <f t="shared" si="7"/>
        <v>93.405226906232471</v>
      </c>
      <c r="L56" s="722">
        <f t="shared" si="7"/>
        <v>0</v>
      </c>
      <c r="M56" s="722">
        <f t="shared" si="7"/>
        <v>0</v>
      </c>
      <c r="N56" s="722">
        <f t="shared" si="7"/>
        <v>0</v>
      </c>
      <c r="O56" s="722">
        <f t="shared" si="7"/>
        <v>0</v>
      </c>
      <c r="P56" s="722">
        <f t="shared" si="7"/>
        <v>0</v>
      </c>
      <c r="Q56" s="723">
        <f t="shared" si="7"/>
        <v>0</v>
      </c>
      <c r="R56" s="724">
        <f ca="1">SUM(R54:R55)</f>
        <v>1304.8168881950455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5926.6030582964204</v>
      </c>
      <c r="D61" s="730">
        <f t="shared" ref="D61:Q61" ca="1" si="8">D46+D52+D56</f>
        <v>0</v>
      </c>
      <c r="E61" s="730">
        <f t="shared" ca="1" si="8"/>
        <v>7103.1024289158431</v>
      </c>
      <c r="F61" s="730">
        <f t="shared" si="8"/>
        <v>2370.7084675972851</v>
      </c>
      <c r="G61" s="730">
        <f t="shared" ca="1" si="8"/>
        <v>8107.7168694119982</v>
      </c>
      <c r="H61" s="730">
        <f t="shared" si="8"/>
        <v>10923.880883002597</v>
      </c>
      <c r="I61" s="730">
        <f t="shared" si="8"/>
        <v>2534.8939617202764</v>
      </c>
      <c r="J61" s="730">
        <f t="shared" si="8"/>
        <v>0</v>
      </c>
      <c r="K61" s="730">
        <f t="shared" si="8"/>
        <v>360.613982829468</v>
      </c>
      <c r="L61" s="730">
        <f t="shared" si="8"/>
        <v>0</v>
      </c>
      <c r="M61" s="730">
        <f t="shared" ca="1" si="8"/>
        <v>0</v>
      </c>
      <c r="N61" s="730">
        <f t="shared" si="8"/>
        <v>0</v>
      </c>
      <c r="O61" s="730">
        <f t="shared" ca="1" si="8"/>
        <v>0</v>
      </c>
      <c r="P61" s="730">
        <f t="shared" si="8"/>
        <v>0</v>
      </c>
      <c r="Q61" s="730">
        <f t="shared" si="8"/>
        <v>0</v>
      </c>
      <c r="R61" s="730">
        <f ca="1">R46+R52+R56</f>
        <v>37327.519651773895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0.2094136168892595</v>
      </c>
      <c r="D63" s="776">
        <f t="shared" ca="1" si="9"/>
        <v>0</v>
      </c>
      <c r="E63" s="975">
        <f t="shared" ca="1" si="9"/>
        <v>0.20199999999999999</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1483.7356576802845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1483.7356576802845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1483.7356576802845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1483.7356576802845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12082.172187886179</v>
      </c>
      <c r="C4" s="452">
        <f>huishoudens!C8</f>
        <v>0</v>
      </c>
      <c r="D4" s="452">
        <f>huishoudens!D8</f>
        <v>9223.0323526000011</v>
      </c>
      <c r="E4" s="452">
        <f>huishoudens!E8</f>
        <v>10144.719623306593</v>
      </c>
      <c r="F4" s="452">
        <f>huishoudens!F8</f>
        <v>25687.074647366273</v>
      </c>
      <c r="G4" s="452">
        <f>huishoudens!G8</f>
        <v>0</v>
      </c>
      <c r="H4" s="452">
        <f>huishoudens!H8</f>
        <v>0</v>
      </c>
      <c r="I4" s="452">
        <f>huishoudens!I8</f>
        <v>0</v>
      </c>
      <c r="J4" s="452">
        <f>huishoudens!J8</f>
        <v>754.58964078562065</v>
      </c>
      <c r="K4" s="452">
        <f>huishoudens!K8</f>
        <v>0</v>
      </c>
      <c r="L4" s="452">
        <f>huishoudens!L8</f>
        <v>0</v>
      </c>
      <c r="M4" s="452">
        <f>huishoudens!M8</f>
        <v>0</v>
      </c>
      <c r="N4" s="452">
        <f>huishoudens!N8</f>
        <v>9431.1828019757777</v>
      </c>
      <c r="O4" s="452">
        <f>huishoudens!O8</f>
        <v>148.79686645402739</v>
      </c>
      <c r="P4" s="453">
        <f>huishoudens!P8</f>
        <v>337.08669784592075</v>
      </c>
      <c r="Q4" s="454">
        <f>SUM(B4:P4)</f>
        <v>67808.654818220384</v>
      </c>
    </row>
    <row r="5" spans="1:17">
      <c r="A5" s="451" t="s">
        <v>155</v>
      </c>
      <c r="B5" s="452">
        <f ca="1">tertiair!B16</f>
        <v>3772.0632500000002</v>
      </c>
      <c r="C5" s="452">
        <f ca="1">tertiair!C16</f>
        <v>0</v>
      </c>
      <c r="D5" s="452">
        <f ca="1">tertiair!D16</f>
        <v>2351.1775991</v>
      </c>
      <c r="E5" s="452">
        <f>tertiair!E16</f>
        <v>53.463840541845364</v>
      </c>
      <c r="F5" s="452">
        <f ca="1">tertiair!F16</f>
        <v>424.02617479518676</v>
      </c>
      <c r="G5" s="452">
        <f>tertiair!G16</f>
        <v>0</v>
      </c>
      <c r="H5" s="452">
        <f>tertiair!H16</f>
        <v>0</v>
      </c>
      <c r="I5" s="452">
        <f>tertiair!I16</f>
        <v>0</v>
      </c>
      <c r="J5" s="452">
        <f>tertiair!J16</f>
        <v>8.6204249714312634E-3</v>
      </c>
      <c r="K5" s="452">
        <f>tertiair!K16</f>
        <v>0</v>
      </c>
      <c r="L5" s="452">
        <f ca="1">tertiair!L16</f>
        <v>0</v>
      </c>
      <c r="M5" s="452">
        <f>tertiair!M16</f>
        <v>0</v>
      </c>
      <c r="N5" s="452">
        <f ca="1">tertiair!N16</f>
        <v>340.38088909337728</v>
      </c>
      <c r="O5" s="452">
        <f>tertiair!O16</f>
        <v>4.8972607658411542</v>
      </c>
      <c r="P5" s="453">
        <f>tertiair!P16</f>
        <v>52.539138306495019</v>
      </c>
      <c r="Q5" s="451">
        <f t="shared" ref="Q5:Q14" ca="1" si="0">SUM(B5:P5)</f>
        <v>6998.556773027718</v>
      </c>
    </row>
    <row r="6" spans="1:17">
      <c r="A6" s="451" t="s">
        <v>193</v>
      </c>
      <c r="B6" s="452">
        <f>'openbare verlichting'!B8</f>
        <v>567.553</v>
      </c>
      <c r="C6" s="452"/>
      <c r="D6" s="452"/>
      <c r="E6" s="452"/>
      <c r="F6" s="452"/>
      <c r="G6" s="452"/>
      <c r="H6" s="452"/>
      <c r="I6" s="452"/>
      <c r="J6" s="452"/>
      <c r="K6" s="452"/>
      <c r="L6" s="452"/>
      <c r="M6" s="452"/>
      <c r="N6" s="452"/>
      <c r="O6" s="452"/>
      <c r="P6" s="453"/>
      <c r="Q6" s="451">
        <f t="shared" si="0"/>
        <v>567.553</v>
      </c>
    </row>
    <row r="7" spans="1:17">
      <c r="A7" s="451" t="s">
        <v>111</v>
      </c>
      <c r="B7" s="452">
        <f>landbouw!B8</f>
        <v>957.71299999999997</v>
      </c>
      <c r="C7" s="452">
        <f>landbouw!C8</f>
        <v>0</v>
      </c>
      <c r="D7" s="452">
        <f>landbouw!D8</f>
        <v>69.598320000000001</v>
      </c>
      <c r="E7" s="452">
        <f>landbouw!E8</f>
        <v>29.889906915214002</v>
      </c>
      <c r="F7" s="452">
        <f>landbouw!F8</f>
        <v>3384.6638345841866</v>
      </c>
      <c r="G7" s="452">
        <f>landbouw!G8</f>
        <v>0</v>
      </c>
      <c r="H7" s="452">
        <f>landbouw!H8</f>
        <v>0</v>
      </c>
      <c r="I7" s="452">
        <f>landbouw!I8</f>
        <v>0</v>
      </c>
      <c r="J7" s="452">
        <f>landbouw!J8</f>
        <v>263.85657318144769</v>
      </c>
      <c r="K7" s="452">
        <f>landbouw!K8</f>
        <v>0</v>
      </c>
      <c r="L7" s="452">
        <f>landbouw!L8</f>
        <v>0</v>
      </c>
      <c r="M7" s="452">
        <f>landbouw!M8</f>
        <v>0</v>
      </c>
      <c r="N7" s="452">
        <f>landbouw!N8</f>
        <v>0</v>
      </c>
      <c r="O7" s="452">
        <f>landbouw!O8</f>
        <v>0</v>
      </c>
      <c r="P7" s="453">
        <f>landbouw!P8</f>
        <v>0</v>
      </c>
      <c r="Q7" s="451">
        <f t="shared" si="0"/>
        <v>4705.7216346808482</v>
      </c>
    </row>
    <row r="8" spans="1:17">
      <c r="A8" s="451" t="s">
        <v>625</v>
      </c>
      <c r="B8" s="452">
        <f>industrie!B18</f>
        <v>10605.903</v>
      </c>
      <c r="C8" s="452">
        <f>industrie!C18</f>
        <v>0</v>
      </c>
      <c r="D8" s="452">
        <f>industrie!D18</f>
        <v>23278.642816000003</v>
      </c>
      <c r="E8" s="452">
        <f>industrie!E18</f>
        <v>123.25033582892272</v>
      </c>
      <c r="F8" s="452">
        <f>industrie!F18</f>
        <v>870.21612756895161</v>
      </c>
      <c r="G8" s="452">
        <f>industrie!G18</f>
        <v>0</v>
      </c>
      <c r="H8" s="452">
        <f>industrie!H18</f>
        <v>0</v>
      </c>
      <c r="I8" s="452">
        <f>industrie!I18</f>
        <v>0</v>
      </c>
      <c r="J8" s="452">
        <f>industrie!J18</f>
        <v>0.22873292284168115</v>
      </c>
      <c r="K8" s="452">
        <f>industrie!K18</f>
        <v>0</v>
      </c>
      <c r="L8" s="452">
        <f>industrie!L18</f>
        <v>0</v>
      </c>
      <c r="M8" s="452">
        <f>industrie!M18</f>
        <v>0</v>
      </c>
      <c r="N8" s="452">
        <f>industrie!N18</f>
        <v>615.26385366429975</v>
      </c>
      <c r="O8" s="452">
        <f>industrie!O18</f>
        <v>0</v>
      </c>
      <c r="P8" s="453">
        <f>industrie!P18</f>
        <v>0</v>
      </c>
      <c r="Q8" s="451">
        <f t="shared" si="0"/>
        <v>35493.504865985022</v>
      </c>
    </row>
    <row r="9" spans="1:17" s="457" customFormat="1">
      <c r="A9" s="455" t="s">
        <v>551</v>
      </c>
      <c r="B9" s="456">
        <f>transport!B14</f>
        <v>31.123478375194807</v>
      </c>
      <c r="C9" s="456">
        <f>transport!C14</f>
        <v>0</v>
      </c>
      <c r="D9" s="456">
        <f>transport!D14</f>
        <v>109.02732277446734</v>
      </c>
      <c r="E9" s="456">
        <f>transport!E14</f>
        <v>92.325930399868398</v>
      </c>
      <c r="F9" s="456">
        <f>transport!F14</f>
        <v>0</v>
      </c>
      <c r="G9" s="456">
        <f>transport!G14</f>
        <v>40551.998693112655</v>
      </c>
      <c r="H9" s="456">
        <f>transport!H14</f>
        <v>10180.297035021191</v>
      </c>
      <c r="I9" s="456">
        <f>transport!I14</f>
        <v>0</v>
      </c>
      <c r="J9" s="456">
        <f>transport!J14</f>
        <v>0</v>
      </c>
      <c r="K9" s="456">
        <f>transport!K14</f>
        <v>0</v>
      </c>
      <c r="L9" s="456">
        <f>transport!L14</f>
        <v>0</v>
      </c>
      <c r="M9" s="456">
        <f>transport!M14</f>
        <v>3011.5316708275309</v>
      </c>
      <c r="N9" s="456">
        <f>transport!N14</f>
        <v>0</v>
      </c>
      <c r="O9" s="456">
        <f>transport!O14</f>
        <v>0</v>
      </c>
      <c r="P9" s="456">
        <f>transport!P14</f>
        <v>0</v>
      </c>
      <c r="Q9" s="455">
        <f>SUM(B9:P9)</f>
        <v>53976.304130510907</v>
      </c>
    </row>
    <row r="10" spans="1:17">
      <c r="A10" s="451" t="s">
        <v>541</v>
      </c>
      <c r="B10" s="452">
        <f>transport!B54</f>
        <v>0</v>
      </c>
      <c r="C10" s="452">
        <f>transport!C54</f>
        <v>0</v>
      </c>
      <c r="D10" s="452">
        <f>transport!D54</f>
        <v>0</v>
      </c>
      <c r="E10" s="452">
        <f>transport!E54</f>
        <v>0</v>
      </c>
      <c r="F10" s="452">
        <f>transport!F54</f>
        <v>0</v>
      </c>
      <c r="G10" s="452">
        <f>transport!G54</f>
        <v>361.41285371355002</v>
      </c>
      <c r="H10" s="452">
        <f>transport!H54</f>
        <v>0</v>
      </c>
      <c r="I10" s="452">
        <f>transport!I54</f>
        <v>0</v>
      </c>
      <c r="J10" s="452">
        <f>transport!J54</f>
        <v>0</v>
      </c>
      <c r="K10" s="452">
        <f>transport!K54</f>
        <v>0</v>
      </c>
      <c r="L10" s="452">
        <f>transport!L54</f>
        <v>0</v>
      </c>
      <c r="M10" s="452">
        <f>transport!M54</f>
        <v>20.084206059492001</v>
      </c>
      <c r="N10" s="452">
        <f>transport!N54</f>
        <v>0</v>
      </c>
      <c r="O10" s="452">
        <f>transport!O54</f>
        <v>0</v>
      </c>
      <c r="P10" s="453">
        <f>transport!P54</f>
        <v>0</v>
      </c>
      <c r="Q10" s="451">
        <f t="shared" si="0"/>
        <v>381.497059773042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284.41615000000002</v>
      </c>
      <c r="C14" s="459"/>
      <c r="D14" s="459">
        <f>'SEAP template'!E25</f>
        <v>132.39500000000001</v>
      </c>
      <c r="E14" s="459"/>
      <c r="F14" s="459"/>
      <c r="G14" s="459"/>
      <c r="H14" s="459"/>
      <c r="I14" s="459"/>
      <c r="J14" s="459"/>
      <c r="K14" s="459"/>
      <c r="L14" s="459"/>
      <c r="M14" s="459"/>
      <c r="N14" s="459"/>
      <c r="O14" s="459"/>
      <c r="P14" s="460"/>
      <c r="Q14" s="451">
        <f t="shared" si="0"/>
        <v>416.81115</v>
      </c>
    </row>
    <row r="15" spans="1:17" s="463" customFormat="1">
      <c r="A15" s="461" t="s">
        <v>545</v>
      </c>
      <c r="B15" s="462">
        <f ca="1">SUM(B4:B14)</f>
        <v>28300.944066261374</v>
      </c>
      <c r="C15" s="462">
        <f t="shared" ref="C15:Q15" ca="1" si="1">SUM(C4:C14)</f>
        <v>0</v>
      </c>
      <c r="D15" s="462">
        <f t="shared" ca="1" si="1"/>
        <v>35163.873410474465</v>
      </c>
      <c r="E15" s="462">
        <f t="shared" si="1"/>
        <v>10443.649636992443</v>
      </c>
      <c r="F15" s="462">
        <f t="shared" ca="1" si="1"/>
        <v>30365.980784314597</v>
      </c>
      <c r="G15" s="462">
        <f t="shared" si="1"/>
        <v>40913.411546826203</v>
      </c>
      <c r="H15" s="462">
        <f t="shared" si="1"/>
        <v>10180.297035021191</v>
      </c>
      <c r="I15" s="462">
        <f t="shared" si="1"/>
        <v>0</v>
      </c>
      <c r="J15" s="462">
        <f t="shared" si="1"/>
        <v>1018.6835673148815</v>
      </c>
      <c r="K15" s="462">
        <f t="shared" si="1"/>
        <v>0</v>
      </c>
      <c r="L15" s="462">
        <f t="shared" ca="1" si="1"/>
        <v>0</v>
      </c>
      <c r="M15" s="462">
        <f t="shared" si="1"/>
        <v>3031.6158768870228</v>
      </c>
      <c r="N15" s="462">
        <f t="shared" ca="1" si="1"/>
        <v>10386.827544733454</v>
      </c>
      <c r="O15" s="462">
        <f t="shared" si="1"/>
        <v>153.69412721986856</v>
      </c>
      <c r="P15" s="462">
        <f t="shared" si="1"/>
        <v>389.62583615241579</v>
      </c>
      <c r="Q15" s="462">
        <f t="shared" ca="1" si="1"/>
        <v>170348.60343219794</v>
      </c>
    </row>
    <row r="17" spans="1:17">
      <c r="A17" s="464" t="s">
        <v>546</v>
      </c>
      <c r="B17" s="781">
        <f ca="1">huishoudens!B10</f>
        <v>0.2094136168892595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2530.1713777440623</v>
      </c>
      <c r="C22" s="452">
        <f t="shared" ref="C22:C32" ca="1" si="3">C4*$C$17</f>
        <v>0</v>
      </c>
      <c r="D22" s="452">
        <f t="shared" ref="D22:D32" si="4">D4*$D$17</f>
        <v>1863.0525352252002</v>
      </c>
      <c r="E22" s="452">
        <f t="shared" ref="E22:E32" si="5">E4*$E$17</f>
        <v>2302.8513544905968</v>
      </c>
      <c r="F22" s="452">
        <f t="shared" ref="F22:F32" si="6">F4*$F$17</f>
        <v>6858.4489308467955</v>
      </c>
      <c r="G22" s="452">
        <f t="shared" ref="G22:G32" si="7">G4*$G$17</f>
        <v>0</v>
      </c>
      <c r="H22" s="452">
        <f t="shared" ref="H22:H32" si="8">H4*$H$17</f>
        <v>0</v>
      </c>
      <c r="I22" s="452">
        <f t="shared" ref="I22:I32" si="9">I4*$I$17</f>
        <v>0</v>
      </c>
      <c r="J22" s="452">
        <f t="shared" ref="J22:J32" si="10">J4*$J$17</f>
        <v>267.12473283810971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13821.648931144766</v>
      </c>
    </row>
    <row r="23" spans="1:17">
      <c r="A23" s="451" t="s">
        <v>155</v>
      </c>
      <c r="B23" s="452">
        <f t="shared" ca="1" si="2"/>
        <v>789.92140831755512</v>
      </c>
      <c r="C23" s="452">
        <f t="shared" ca="1" si="3"/>
        <v>0</v>
      </c>
      <c r="D23" s="452">
        <f t="shared" ca="1" si="4"/>
        <v>474.93787501820003</v>
      </c>
      <c r="E23" s="452">
        <f t="shared" si="5"/>
        <v>12.136291802998898</v>
      </c>
      <c r="F23" s="452">
        <f t="shared" ca="1" si="6"/>
        <v>113.21498867031487</v>
      </c>
      <c r="G23" s="452">
        <f t="shared" si="7"/>
        <v>0</v>
      </c>
      <c r="H23" s="452">
        <f t="shared" si="8"/>
        <v>0</v>
      </c>
      <c r="I23" s="452">
        <f t="shared" si="9"/>
        <v>0</v>
      </c>
      <c r="J23" s="452">
        <f t="shared" si="10"/>
        <v>3.0516304398866671E-3</v>
      </c>
      <c r="K23" s="452">
        <f t="shared" si="11"/>
        <v>0</v>
      </c>
      <c r="L23" s="452">
        <f t="shared" ca="1" si="12"/>
        <v>0</v>
      </c>
      <c r="M23" s="452">
        <f t="shared" si="13"/>
        <v>0</v>
      </c>
      <c r="N23" s="452">
        <f t="shared" ca="1" si="14"/>
        <v>0</v>
      </c>
      <c r="O23" s="452">
        <f t="shared" si="15"/>
        <v>0</v>
      </c>
      <c r="P23" s="453">
        <f t="shared" si="16"/>
        <v>0</v>
      </c>
      <c r="Q23" s="451">
        <f t="shared" ref="Q23:Q31" ca="1" si="17">SUM(B23:P23)</f>
        <v>1390.2136154395087</v>
      </c>
    </row>
    <row r="24" spans="1:17">
      <c r="A24" s="451" t="s">
        <v>193</v>
      </c>
      <c r="B24" s="452">
        <f t="shared" ca="1" si="2"/>
        <v>118.85332650634989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118.85332650634989</v>
      </c>
    </row>
    <row r="25" spans="1:17">
      <c r="A25" s="451" t="s">
        <v>111</v>
      </c>
      <c r="B25" s="452">
        <f t="shared" ca="1" si="2"/>
        <v>200.55814327186337</v>
      </c>
      <c r="C25" s="452">
        <f t="shared" ca="1" si="3"/>
        <v>0</v>
      </c>
      <c r="D25" s="452">
        <f t="shared" si="4"/>
        <v>14.058860640000001</v>
      </c>
      <c r="E25" s="452">
        <f t="shared" si="5"/>
        <v>6.7850088697535789</v>
      </c>
      <c r="F25" s="452">
        <f t="shared" si="6"/>
        <v>903.70524383397787</v>
      </c>
      <c r="G25" s="452">
        <f t="shared" si="7"/>
        <v>0</v>
      </c>
      <c r="H25" s="452">
        <f t="shared" si="8"/>
        <v>0</v>
      </c>
      <c r="I25" s="452">
        <f t="shared" si="9"/>
        <v>0</v>
      </c>
      <c r="J25" s="452">
        <f t="shared" si="10"/>
        <v>93.405226906232471</v>
      </c>
      <c r="K25" s="452">
        <f t="shared" si="11"/>
        <v>0</v>
      </c>
      <c r="L25" s="452">
        <f t="shared" si="12"/>
        <v>0</v>
      </c>
      <c r="M25" s="452">
        <f t="shared" si="13"/>
        <v>0</v>
      </c>
      <c r="N25" s="452">
        <f t="shared" si="14"/>
        <v>0</v>
      </c>
      <c r="O25" s="452">
        <f t="shared" si="15"/>
        <v>0</v>
      </c>
      <c r="P25" s="453">
        <f t="shared" si="16"/>
        <v>0</v>
      </c>
      <c r="Q25" s="451">
        <f t="shared" ca="1" si="17"/>
        <v>1218.5124835218273</v>
      </c>
    </row>
    <row r="26" spans="1:17">
      <c r="A26" s="451" t="s">
        <v>625</v>
      </c>
      <c r="B26" s="452">
        <f t="shared" ca="1" si="2"/>
        <v>2221.0205076066482</v>
      </c>
      <c r="C26" s="452">
        <f t="shared" ca="1" si="3"/>
        <v>0</v>
      </c>
      <c r="D26" s="452">
        <f t="shared" si="4"/>
        <v>4702.2858488320007</v>
      </c>
      <c r="E26" s="452">
        <f t="shared" si="5"/>
        <v>27.977826233165459</v>
      </c>
      <c r="F26" s="452">
        <f t="shared" si="6"/>
        <v>232.3477060609101</v>
      </c>
      <c r="G26" s="452">
        <f t="shared" si="7"/>
        <v>0</v>
      </c>
      <c r="H26" s="452">
        <f t="shared" si="8"/>
        <v>0</v>
      </c>
      <c r="I26" s="452">
        <f t="shared" si="9"/>
        <v>0</v>
      </c>
      <c r="J26" s="452">
        <f t="shared" si="10"/>
        <v>8.0971454685955124E-2</v>
      </c>
      <c r="K26" s="452">
        <f t="shared" si="11"/>
        <v>0</v>
      </c>
      <c r="L26" s="452">
        <f t="shared" si="12"/>
        <v>0</v>
      </c>
      <c r="M26" s="452">
        <f t="shared" si="13"/>
        <v>0</v>
      </c>
      <c r="N26" s="452">
        <f t="shared" si="14"/>
        <v>0</v>
      </c>
      <c r="O26" s="452">
        <f t="shared" si="15"/>
        <v>0</v>
      </c>
      <c r="P26" s="453">
        <f t="shared" si="16"/>
        <v>0</v>
      </c>
      <c r="Q26" s="451">
        <f t="shared" ca="1" si="17"/>
        <v>7183.7128601874101</v>
      </c>
    </row>
    <row r="27" spans="1:17" s="457" customFormat="1">
      <c r="A27" s="455" t="s">
        <v>551</v>
      </c>
      <c r="B27" s="775">
        <f t="shared" ca="1" si="2"/>
        <v>6.5176801767241983</v>
      </c>
      <c r="C27" s="456">
        <f t="shared" ca="1" si="3"/>
        <v>0</v>
      </c>
      <c r="D27" s="456">
        <f t="shared" si="4"/>
        <v>22.023519200442404</v>
      </c>
      <c r="E27" s="456">
        <f t="shared" si="5"/>
        <v>20.957986200770126</v>
      </c>
      <c r="F27" s="456">
        <f t="shared" si="6"/>
        <v>0</v>
      </c>
      <c r="G27" s="456">
        <f t="shared" si="7"/>
        <v>10827.38365106108</v>
      </c>
      <c r="H27" s="456">
        <f t="shared" si="8"/>
        <v>2534.8939617202764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13411.776798359293</v>
      </c>
    </row>
    <row r="28" spans="1:17" ht="16.5" customHeight="1">
      <c r="A28" s="451" t="s">
        <v>541</v>
      </c>
      <c r="B28" s="452">
        <f t="shared" ca="1" si="2"/>
        <v>0</v>
      </c>
      <c r="C28" s="452">
        <f t="shared" ca="1" si="3"/>
        <v>0</v>
      </c>
      <c r="D28" s="452">
        <f t="shared" si="4"/>
        <v>0</v>
      </c>
      <c r="E28" s="452">
        <f t="shared" si="5"/>
        <v>0</v>
      </c>
      <c r="F28" s="452">
        <f t="shared" si="6"/>
        <v>0</v>
      </c>
      <c r="G28" s="452">
        <f t="shared" si="7"/>
        <v>96.497231941517867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96.497231941517867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59.560614673218168</v>
      </c>
      <c r="C32" s="452">
        <f t="shared" ca="1" si="3"/>
        <v>0</v>
      </c>
      <c r="D32" s="452">
        <f t="shared" si="4"/>
        <v>26.743790000000004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86.304404673218173</v>
      </c>
    </row>
    <row r="33" spans="1:17" s="463" customFormat="1">
      <c r="A33" s="461" t="s">
        <v>545</v>
      </c>
      <c r="B33" s="462">
        <f ca="1">SUM(B22:B32)</f>
        <v>5926.6030582964204</v>
      </c>
      <c r="C33" s="462">
        <f t="shared" ref="C33:Q33" ca="1" si="19">SUM(C22:C32)</f>
        <v>0</v>
      </c>
      <c r="D33" s="462">
        <f t="shared" ca="1" si="19"/>
        <v>7103.1024289158431</v>
      </c>
      <c r="E33" s="462">
        <f t="shared" si="19"/>
        <v>2370.7084675972851</v>
      </c>
      <c r="F33" s="462">
        <f t="shared" ca="1" si="19"/>
        <v>8107.7168694119982</v>
      </c>
      <c r="G33" s="462">
        <f t="shared" si="19"/>
        <v>10923.880883002597</v>
      </c>
      <c r="H33" s="462">
        <f t="shared" si="19"/>
        <v>2534.8939617202764</v>
      </c>
      <c r="I33" s="462">
        <f t="shared" si="19"/>
        <v>0</v>
      </c>
      <c r="J33" s="462">
        <f t="shared" si="19"/>
        <v>360.613982829468</v>
      </c>
      <c r="K33" s="462">
        <f t="shared" si="19"/>
        <v>0</v>
      </c>
      <c r="L33" s="462">
        <f t="shared" ca="1" si="19"/>
        <v>0</v>
      </c>
      <c r="M33" s="462">
        <f t="shared" si="19"/>
        <v>0</v>
      </c>
      <c r="N33" s="462">
        <f t="shared" ca="1" si="19"/>
        <v>0</v>
      </c>
      <c r="O33" s="462">
        <f t="shared" si="19"/>
        <v>0</v>
      </c>
      <c r="P33" s="462">
        <f t="shared" si="19"/>
        <v>0</v>
      </c>
      <c r="Q33" s="462">
        <f t="shared" ca="1" si="19"/>
        <v>37327.519651773895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1483.7356576802845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1483.7356576802845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0.2094136168892595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0.2094136168892595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2020-06-20T15:30:21Z</dcterms:modified>
</cp:coreProperties>
</file>