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G20" i="59"/>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B48" i="13" s="1"/>
  <c r="C48" i="13" s="1"/>
  <c r="N5" i="13" s="1"/>
  <c r="N8" i="13" s="1"/>
  <c r="N4" i="48" s="1"/>
  <c r="N22" i="48" s="1"/>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3"/>
  <c r="C12" i="13" s="1"/>
  <c r="C22" i="59"/>
  <c r="C29" i="20"/>
  <c r="C10" i="17"/>
  <c r="C12" i="17" s="1"/>
  <c r="D54" i="14" s="1"/>
  <c r="D56" i="14" s="1"/>
  <c r="C17" i="49"/>
  <c r="C17" i="19"/>
  <c r="C19" i="19" s="1"/>
  <c r="D39" i="14" s="1"/>
  <c r="C18" i="15"/>
  <c r="C20" i="15" s="1"/>
  <c r="D40"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<sst xmlns="http://schemas.openxmlformats.org/spreadsheetml/2006/main" count="2410" uniqueCount="894">
  <si>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</si>
  <si>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</si>
  <si>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</si>
  <si>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</si>
  <si>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</si>
  <si>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</si>
  <si>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</si>
  <si>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</si>
  <si>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</si>
  <si>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</si>
  <si>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</si>
  <si>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</si>
  <si>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</si>
  <si>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</si>
  <si>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</si>
  <si>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</si>
  <si>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</si>
  <si>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</si>
  <si>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</si>
  <si>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</si>
  <si>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</si>
  <si>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</si>
  <si>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</si>
  <si>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</si>
  <si>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</si>
  <si>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</si>
  <si>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</si>
  <si>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</si>
  <si>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</si>
  <si>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</si>
  <si>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</si>
  <si>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</si>
  <si>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</si>
  <si>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</si>
  <si>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</si>
  <si>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</si>
  <si>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</si>
  <si>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</si>
  <si>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</si>
  <si>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</si>
  <si>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</si>
  <si>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</si>
  <si>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</si>
  <si>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</si>
  <si>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</si>
  <si>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</si>
  <si>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</si>
  <si>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</si>
  <si>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</si>
  <si>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</si>
  <si>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</si>
  <si>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</si>
  <si>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</si>
  <si>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</si>
  <si>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</si>
  <si>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</si>
  <si>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</si>
  <si>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</si>
  <si>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</si>
  <si>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</si>
  <si>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</si>
  <si>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</si>
  <si>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</si>
  <si>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</si>
  <si>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</si>
  <si>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</si>
  <si>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</si>
  <si>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</si>
  <si>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</si>
  <si>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</si>
  <si>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</si>
  <si>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</si>
  <si>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</si>
  <si>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</si>
  <si>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</si>
  <si>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</si>
  <si>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</si>
  <si>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</si>
  <si>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</si>
  <si>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</si>
  <si>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</si>
  <si>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</si>
  <si>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</si>
  <si>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</si>
  <si>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</si>
  <si>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</si>
  <si>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</si>
  <si>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</si>
  <si>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</si>
  <si>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</si>
  <si>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</si>
  <si>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</si>
  <si>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</si>
  <si>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</si>
  <si>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</si>
  <si>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</si>
  <si>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</si>
  <si>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</si>
  <si>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</si>
  <si>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</si>
  <si>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</si>
  <si>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</si>
  <si>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</si>
  <si>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</si>
  <si>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</si>
  <si>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</si>
  <si>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</si>
  <si>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</si>
  <si>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</si>
  <si>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</si>
  <si>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</si>
  <si>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</si>
  <si>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</si>
  <si>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</si>
  <si>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</si>
  <si>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</si>
  <si>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</si>
  <si>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</si>
  <si>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</si>
  <si>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</si>
  <si>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</si>
  <si>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</si>
  <si>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</si>
  <si>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</si>
  <si>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</si>
  <si>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</si>
  <si>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</si>
  <si>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</si>
  <si>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</si>
  <si>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</si>
  <si>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</si>
  <si>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</si>
  <si>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</si>
  <si>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</si>
  <si>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</si>
  <si>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</si>
  <si>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</si>
  <si>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</si>
  <si>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</si>
  <si>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</si>
  <si>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</si>
  <si>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</si>
  <si>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</si>
  <si>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</si>
  <si>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</si>
  <si>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</si>
  <si>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</si>
  <si>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</si>
  <si>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</si>
  <si>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</si>
  <si>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</si>
  <si>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</si>
  <si>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</si>
  <si>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</si>
  <si>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</si>
  <si>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</si>
  <si>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</si>
  <si>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</si>
  <si>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</si>
  <si>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</si>
  <si>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</si>
  <si>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</si>
  <si>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</si>
  <si>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</si>
  <si>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</si>
  <si>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</si>
  <si>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</si>
  <si>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</si>
  <si>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</si>
  <si>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</si>
  <si>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</si>
  <si>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</si>
  <si>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</si>
  <si>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</si>
  <si>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</si>
  <si>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</si>
  <si>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</si>
  <si>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</si>
  <si>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</si>
  <si>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</si>
  <si>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</si>
  <si>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</si>
  <si>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</si>
  <si>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</si>
  <si>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</si>
  <si>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</si>
  <si>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</si>
  <si>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</si>
  <si>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</si>
  <si>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</si>
  <si>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</si>
  <si>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</si>
  <si>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</si>
  <si>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</si>
  <si>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</si>
  <si>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</si>
  <si>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</si>
  <si>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</si>
  <si>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</si>
  <si>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</si>
  <si>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</si>
  <si>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</si>
  <si>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</si>
  <si>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</si>
  <si>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</si>
  <si>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</si>
  <si>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</si>
  <si>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</si>
  <si>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</si>
  <si>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</si>
  <si>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</si>
  <si>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</si>
  <si>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</si>
  <si>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</si>
  <si>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</si>
  <si>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</si>
  <si>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</si>
  <si>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</si>
  <si>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</si>
  <si>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</si>
  <si>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</si>
  <si>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</si>
  <si>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</si>
  <si>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</si>
  <si>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</si>
  <si>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</si>
  <si>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</si>
  <si>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</si>
  <si>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</si>
  <si>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</si>
  <si>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</si>
  <si>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</si>
  <si>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</si>
  <si>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</si>
  <si>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</si>
  <si>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</si>
  <si>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</si>
  <si>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</si>
  <si>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</si>
  <si>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</si>
  <si>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</si>
  <si>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</si>
  <si>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</si>
  <si>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</si>
  <si>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</si>
  <si>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</si>
  <si>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</si>
  <si>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</si>
  <si>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</si>
  <si>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</si>
  <si>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</si>
  <si>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</si>
  <si>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</si>
  <si>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</si>
  <si>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</si>
  <si>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</si>
  <si>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</si>
  <si>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</si>
  <si>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</si>
  <si>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</si>
  <si>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</si>
  <si>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</si>
  <si>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</si>
  <si>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</si>
  <si>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</si>
  <si>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</si>
  <si>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</si>
  <si>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</si>
  <si>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</si>
  <si>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</si>
  <si>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</si>
  <si>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</si>
  <si>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</si>
  <si>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</si>
  <si>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</si>
  <si>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</si>
  <si>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</si>
  <si>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</si>
  <si>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</si>
  <si>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</si>
  <si>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</si>
  <si>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</si>
  <si>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</si>
  <si>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</si>
  <si>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</si>
  <si>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</si>
  <si>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</si>
  <si>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</si>
  <si>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</si>
  <si>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</si>
  <si>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</si>
  <si>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</si>
  <si>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</si>
  <si>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</si>
  <si>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</si>
  <si>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</si>
  <si>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</si>
  <si>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</si>
  <si>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</si>
  <si>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</si>
  <si>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</si>
  <si>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</si>
  <si>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</si>
  <si>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</si>
  <si>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</si>
  <si>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</si>
  <si>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</si>
  <si>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</si>
  <si>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</si>
  <si>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</si>
  <si>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</si>
  <si>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</si>
  <si>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</si>
  <si>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</si>
  <si>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</si>
  <si>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</si>
  <si>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</si>
  <si>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</si>
  <si>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</si>
  <si>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</si>
  <si>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</si>
  <si>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</si>
  <si>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</si>
  <si>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</si>
  <si>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</si>
  <si>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</si>
  <si>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</si>
  <si>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</si>
  <si>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</si>
  <si>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</si>
  <si>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</si>
  <si>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</si>
  <si>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</si>
  <si>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</si>
  <si>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</si>
  <si>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</si>
  <si>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</si>
  <si>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</si>
  <si>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</si>
  <si>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</si>
  <si>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</si>
  <si>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</si>
  <si>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</si>
  <si>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</si>
  <si>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</si>
  <si>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</si>
  <si>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</si>
  <si>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</si>
  <si>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</si>
  <si>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</si>
  <si>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</si>
  <si>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</si>
  <si>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</si>
  <si>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</si>
  <si>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</si>
  <si>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</si>
  <si>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</si>
  <si>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</si>
  <si>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</si>
  <si>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</si>
  <si>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</si>
  <si>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</si>
  <si>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</si>
  <si>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</si>
  <si>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</si>
  <si>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</si>
  <si>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</si>
  <si>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</si>
  <si>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</si>
  <si>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</si>
  <si>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</si>
  <si>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</si>
  <si>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</si>
  <si>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</si>
  <si>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</si>
  <si>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</si>
  <si>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</si>
  <si>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</si>
  <si>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</si>
  <si>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</si>
  <si>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</si>
  <si>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</si>
  <si>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</si>
  <si>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</si>
  <si>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</si>
  <si>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</si>
  <si>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</si>
  <si>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</si>
  <si>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</si>
  <si>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</si>
  <si>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</si>
  <si>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</si>
  <si>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</si>
  <si>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</si>
  <si>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</si>
  <si>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</si>
  <si>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</si>
  <si>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</si>
  <si>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</si>
  <si>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</si>
  <si>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</si>
  <si>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</si>
  <si>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</si>
  <si>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</si>
  <si>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</si>
  <si>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</si>
  <si>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</si>
  <si>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</si>
  <si>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</si>
  <si>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</si>
  <si>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</si>
  <si>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</si>
  <si>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</si>
  <si>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</si>
  <si>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</si>
  <si>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</si>
  <si>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</si>
  <si>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</si>
  <si>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</si>
  <si>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</si>
  <si>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</si>
  <si>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</si>
  <si>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</si>
  <si>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</si>
  <si>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</si>
  <si>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</si>
  <si>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</si>
  <si>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</si>
  <si>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</si>
  <si>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</si>
  <si>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</si>
  <si>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</si>
  <si>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</si>
  <si>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</si>
  <si>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</si>
  <si>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</si>
  <si>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</si>
  <si>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</si>
  <si>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</si>
  <si>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</si>
  <si>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</si>
  <si>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</si>
  <si>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</si>
  <si>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</si>
  <si>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</si>
  <si>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</si>
  <si>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</si>
  <si>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</si>
  <si>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</si>
  <si>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</si>
  <si>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</si>
  <si>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</si>
  <si>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</si>
  <si>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</si>
  <si>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</si>
  <si>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</si>
  <si>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</si>
  <si>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</si>
  <si>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</si>
  <si>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</si>
  <si>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</si>
  <si>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</si>
  <si>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</si>
  <si>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</si>
  <si>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</si>
  <si>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</si>
  <si>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</si>
  <si>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</si>
  <si>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</si>
  <si>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</si>
  <si>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</si>
  <si>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</si>
  <si>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</si>
  <si>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</si>
  <si>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</si>
  <si>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</si>
  <si>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</si>
  <si>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</si>
  <si>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</si>
  <si>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</si>
  <si>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</si>
  <si>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</si>
  <si>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</si>
  <si>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</si>
  <si>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</si>
  <si>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</si>
  <si>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</si>
  <si>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</si>
  <si>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</si>
  <si>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</si>
  <si>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</si>
  <si>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</si>
  <si>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</si>
  <si>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</si>
  <si>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</si>
  <si>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</si>
  <si>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</si>
  <si>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</si>
  <si>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</si>
  <si>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</si>
  <si>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</si>
  <si>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</si>
  <si>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</si>
  <si>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</si>
  <si>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</si>
  <si>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</si>
  <si>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</si>
  <si>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</si>
  <si>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</si>
  <si>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</si>
  <si>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</si>
  <si>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</si>
  <si>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</si>
  <si>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</si>
  <si>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</si>
  <si>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</si>
  <si>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</si>
  <si>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</si>
  <si>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</si>
  <si>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</si>
  <si>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</si>
  <si>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</si>
  <si>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</si>
  <si>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</si>
  <si>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</si>
  <si>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</si>
  <si>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</si>
  <si>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</si>
  <si>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</si>
  <si>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</si>
  <si>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</si>
  <si>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</si>
  <si>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</si>
  <si>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</si>
  <si>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</si>
  <si>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</si>
  <si>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</si>
  <si>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</si>
  <si>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</si>
  <si>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</si>
  <si>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</si>
  <si>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</si>
  <si>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</si>
  <si>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</si>
  <si>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</si>
  <si>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</si>
  <si>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</si>
  <si>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</si>
  <si>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</si>
  <si>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</si>
  <si>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</si>
  <si>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</si>
  <si>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</si>
  <si>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</si>
  <si>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</si>
  <si>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</si>
  <si>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</si>
  <si>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</si>
  <si>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</si>
  <si>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</si>
  <si>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</si>
  <si>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</si>
  <si>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</si>
  <si>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</si>
  <si>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</si>
  <si>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</si>
  <si>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</si>
  <si>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</si>
  <si>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</si>
  <si>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</si>
  <si>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</si>
  <si>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</si>
  <si>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</si>
  <si>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</si>
  <si>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</si>
  <si>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</si>
  <si>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</si>
  <si>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</si>
  <si>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</si>
  <si>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</si>
  <si>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</si>
  <si>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</si>
  <si>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</si>
  <si>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</si>
  <si>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</si>
  <si>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</si>
  <si>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</si>
  <si>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</si>
  <si>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</si>
  <si>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</si>
  <si>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</si>
  <si>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</si>
  <si>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</si>
  <si>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</si>
  <si>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</si>
  <si>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</si>
  <si>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</si>
  <si>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</si>
  <si>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</si>
  <si>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</si>
  <si>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</si>
  <si>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</si>
  <si>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</si>
  <si>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</si>
  <si>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</si>
  <si>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</si>
  <si>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</si>
  <si>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</si>
  <si>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</si>
  <si>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</si>
  <si>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</si>
  <si>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</si>
  <si>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</si>
  <si>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</si>
  <si>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</si>
  <si>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</si>
  <si>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</si>
  <si>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</si>
  <si>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</si>
  <si>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</si>
  <si>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</si>
  <si>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</si>
  <si>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</si>
  <si>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</si>
  <si>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</si>
  <si>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</si>
  <si>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</si>
  <si>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</si>
  <si>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</si>
  <si>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</si>
  <si>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</si>
  <si>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</si>
  <si>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</si>
  <si>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</si>
  <si>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</si>
  <si>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</si>
  <si>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</si>
  <si>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</si>
  <si>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</si>
  <si>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</si>
  <si>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</si>
  <si>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</si>
  <si>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</si>
  <si>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</si>
  <si>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</si>
  <si>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</si>
  <si>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</si>
  <si>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</si>
  <si>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</si>
  <si>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</si>
  <si>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</si>
  <si>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</si>
  <si>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</si>
  <si>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</si>
  <si>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</si>
  <si>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</si>
  <si>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</si>
  <si>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</si>
  <si>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</si>
  <si>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</si>
  <si>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</si>
  <si>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</si>
  <si>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</si>
  <si>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</si>
  <si>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</si>
  <si>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</si>
  <si>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</si>
  <si>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</si>
  <si>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</si>
  <si>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</si>
  <si>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</si>
  <si>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</si>
  <si>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</si>
  <si>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</si>
  <si>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</si>
  <si>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</si>
  <si>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</si>
  <si>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</si>
  <si>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</si>
  <si>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</si>
  <si>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</si>
  <si>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</si>
  <si>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</si>
  <si>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</si>
  <si>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</si>
  <si>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</si>
  <si>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</si>
  <si>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</si>
  <si>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</si>
  <si>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</si>
  <si>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</si>
  <si>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</si>
  <si>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</si>
  <si>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</si>
  <si>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</si>
  <si>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</si>
  <si>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</si>
  <si>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</si>
  <si>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</si>
  <si>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</si>
  <si>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</si>
  <si>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</si>
  <si>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</si>
  <si>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</si>
  <si>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</si>
  <si>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</si>
  <si>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</si>
  <si>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</si>
  <si>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</si>
  <si>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</si>
  <si>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</si>
  <si>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</si>
  <si>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</si>
  <si>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</si>
  <si>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</si>
  <si>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</si>
  <si>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</si>
  <si>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</si>
  <si>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</si>
  <si>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</si>
  <si>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</si>
  <si>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</si>
  <si>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</si>
  <si>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</si>
  <si>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</si>
  <si>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</si>
  <si>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</si>
  <si>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</si>
  <si>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</si>
  <si>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</si>
  <si>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</si>
  <si>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</si>
  <si>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</si>
  <si>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</si>
  <si>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</si>
  <si>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</si>
  <si>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</si>
  <si>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</si>
  <si>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</si>
  <si>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</si>
  <si>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</si>
  <si>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</si>
  <si>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</si>
  <si>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</si>
  <si>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</si>
  <si>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</si>
  <si>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</si>
  <si>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</si>
  <si>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</si>
  <si>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</si>
  <si>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</si>
  <si>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</si>
  <si>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</si>
  <si>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</si>
  <si>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</si>
  <si>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</si>
  <si>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</si>
  <si>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</si>
  <si>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</si>
  <si>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</si>
  <si>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</si>
  <si>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</si>
  <si>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</si>
  <si>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</si>
  <si>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</si>
  <si>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</si>
  <si>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</si>
  <si>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</si>
  <si>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</si>
  <si>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</si>
  <si>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</si>
  <si>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</si>
  <si>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</si>
  <si>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</si>
  <si>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</si>
  <si>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</si>
  <si>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</si>
  <si>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</si>
  <si>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</si>
  <si>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</si>
  <si>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</si>
  <si>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</si>
  <si>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</si>
  <si>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</si>
  <si>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</si>
  <si>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</si>
  <si>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</si>
  <si>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</si>
  <si>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</si>
  <si>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</si>
  <si>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</si>
  <si>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</si>
  <si>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</si>
  <si>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</si>
  <si>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</si>
  <si>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</si>
  <si>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</si>
  <si>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</si>
  <si>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</si>
  <si>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</si>
  <si>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</si>
  <si>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</si>
  <si>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</si>
  <si>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</si>
  <si>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</si>
  <si>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</si>
  <si>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</si>
  <si>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</si>
  <si>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</si>
  <si>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</si>
  <si>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</si>
  <si>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</si>
  <si>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</si>
  <si>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</si>
  <si>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</si>
  <si>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</si>
  <si>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</si>
  <si>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</si>
  <si>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</si>
  <si>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</si>
  <si>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</si>
  <si>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</si>
  <si>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</si>
  <si>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</si>
  <si>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</si>
  <si>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</si>
  <si>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</si>
  <si>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</si>
  <si>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</si>
  <si>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</si>
  <si>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</si>
  <si>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</si>
  <si>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</si>
  <si>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</si>
  <si>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</si>
  <si>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</si>
  <si>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</si>
  <si>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</si>
  <si>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</si>
  <si>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</si>
  <si>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</si>
  <si>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</si>
  <si>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</si>
  <si>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</si>
  <si>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</si>
  <si>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</si>
  <si>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</si>
  <si>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</si>
  <si>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</si>
  <si>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</si>
  <si>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</si>
  <si>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</si>
  <si>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</si>
  <si>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</si>
  <si>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</si>
  <si>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</si>
  <si>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</si>
  <si>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</si>
  <si>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</si>
  <si>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</si>
  <si>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</si>
  <si>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</si>
  <si>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</si>
  <si>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</si>
  <si>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</si>
  <si>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</si>
  <si>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</si>
  <si>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</si>
  <si>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</si>
  <si>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</si>
  <si>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</si>
  <si>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</si>
  <si>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</si>
  <si>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</si>
  <si>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</si>
  <si>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</si>
  <si>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</si>
  <si>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</si>
  <si>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</si>
  <si>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</si>
  <si>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</si>
  <si>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</si>
  <si>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</si>
  <si>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</si>
  <si>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</si>
  <si>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13036</t>
  </si>
  <si>
    <t>RETIE</t>
  </si>
  <si>
    <t>referentietaak LNE (2017); Jaarverslag De Lijn</t>
  </si>
  <si>
    <t>GK Invest</t>
  </si>
  <si>
    <t>WKK-0842</t>
  </si>
  <si>
    <t>Brandstofcel</t>
  </si>
  <si>
    <t>brandstofcel</t>
  </si>
  <si>
    <t>Veldenstraat 13</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</si>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</sst>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110437.32873847535</c:v>
                </c:pt>
                <c:pt idx="1">
                  <c:v>21968.199971354028</c:v>
                </c:pt>
                <c:pt idx="2">
                  <c:v>548.91700000000003</c:v>
                </c:pt>
                <c:pt idx="3">
                  <c:v>10153.539675422415</c:v>
                </c:pt>
                <c:pt idx="4">
                  <c:v>6494.2408019315062</c:v>
                </c:pt>
                <c:pt idx="5">
                  <c:v>126110.83880338364</c:v>
                </c:pt>
                <c:pt idx="6">
                  <c:v>651.48189219884182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110437.32873847535</c:v>
                </c:pt>
                <c:pt idx="1">
                  <c:v>21968.199971354028</c:v>
                </c:pt>
                <c:pt idx="2">
                  <c:v>548.91700000000003</c:v>
                </c:pt>
                <c:pt idx="3">
                  <c:v>10153.539675422415</c:v>
                </c:pt>
                <c:pt idx="4">
                  <c:v>6494.2408019315062</c:v>
                </c:pt>
                <c:pt idx="5">
                  <c:v>126110.83880338364</c:v>
                </c:pt>
                <c:pt idx="6">
                  <c:v>651.48189219884182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17155.128529287329</c:v>
                </c:pt>
                <c:pt idx="1">
                  <c:v>4140.3594480932506</c:v>
                </c:pt>
                <c:pt idx="2">
                  <c:v>102.93892213401084</c:v>
                </c:pt>
                <c:pt idx="3">
                  <c:v>2572.3096678817556</c:v>
                </c:pt>
                <c:pt idx="4">
                  <c:v>1318.8534445009918</c:v>
                </c:pt>
                <c:pt idx="5">
                  <c:v>31435.262932824589</c:v>
                </c:pt>
                <c:pt idx="6">
                  <c:v>164.78816191823486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17155.128529287329</c:v>
                </c:pt>
                <c:pt idx="1">
                  <c:v>4140.3594480932506</c:v>
                </c:pt>
                <c:pt idx="2">
                  <c:v>102.93892213401084</c:v>
                </c:pt>
                <c:pt idx="3">
                  <c:v>2572.3096678817556</c:v>
                </c:pt>
                <c:pt idx="4">
                  <c:v>1318.8534445009918</c:v>
                </c:pt>
                <c:pt idx="5">
                  <c:v>31435.262932824589</c:v>
                </c:pt>
                <c:pt idx="6">
                  <c:v>164.78816191823486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13036</v>
      </c>
      <c r="B6" s="390"/>
      <c r="C6" s="391"/>
    </row>
    <row r="7" spans="1:7" s="388" customFormat="1" ht="15.75" customHeight="1">
      <c r="A7" s="392" t="str">
        <f>txtMunicipality</f>
        <v>RETIE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9278.2291863333321</v>
      </c>
      <c r="D10" s="686">
        <f ca="1">tertiair!C16</f>
        <v>16.234234234234233</v>
      </c>
      <c r="E10" s="686">
        <f ca="1">tertiair!D16</f>
        <v>10897.059426103371</v>
      </c>
      <c r="F10" s="686">
        <f>tertiair!E16</f>
        <v>121.91602004072615</v>
      </c>
      <c r="G10" s="686">
        <f ca="1">tertiair!F16</f>
        <v>1014.2681256910155</v>
      </c>
      <c r="H10" s="686">
        <f>tertiair!G16</f>
        <v>0</v>
      </c>
      <c r="I10" s="686">
        <f>tertiair!H16</f>
        <v>0</v>
      </c>
      <c r="J10" s="686">
        <f>tertiair!I16</f>
        <v>0</v>
      </c>
      <c r="K10" s="686">
        <f>tertiair!J16</f>
        <v>2.5695508241545793E-2</v>
      </c>
      <c r="L10" s="686">
        <f>tertiair!K16</f>
        <v>0</v>
      </c>
      <c r="M10" s="686">
        <f ca="1">tertiair!L16</f>
        <v>0</v>
      </c>
      <c r="N10" s="686">
        <f>tertiair!M16</f>
        <v>0</v>
      </c>
      <c r="O10" s="686">
        <f ca="1">tertiair!N16</f>
        <v>1007.2805646944184</v>
      </c>
      <c r="P10" s="686">
        <f>tertiair!O16</f>
        <v>24.486303829205774</v>
      </c>
      <c r="Q10" s="687">
        <f>tertiair!P16</f>
        <v>157.61741491948504</v>
      </c>
      <c r="R10" s="689">
        <f ca="1">SUM(C10:Q10)</f>
        <v>22517.116971354029</v>
      </c>
      <c r="S10" s="67"/>
    </row>
    <row r="11" spans="1:19" s="448" customFormat="1">
      <c r="A11" s="808" t="s">
        <v>224</v>
      </c>
      <c r="B11" s="813"/>
      <c r="C11" s="686">
        <f>huishoudens!B8</f>
        <v>19863.284800016525</v>
      </c>
      <c r="D11" s="686">
        <f>huishoudens!C8</f>
        <v>0</v>
      </c>
      <c r="E11" s="686">
        <f>huishoudens!D8</f>
        <v>45194.151508659997</v>
      </c>
      <c r="F11" s="686">
        <f>huishoudens!E8</f>
        <v>5237.636724669409</v>
      </c>
      <c r="G11" s="686">
        <f>huishoudens!F8</f>
        <v>11655.377815270984</v>
      </c>
      <c r="H11" s="686">
        <f>huishoudens!G8</f>
        <v>0</v>
      </c>
      <c r="I11" s="686">
        <f>huishoudens!H8</f>
        <v>0</v>
      </c>
      <c r="J11" s="686">
        <f>huishoudens!I8</f>
        <v>0</v>
      </c>
      <c r="K11" s="686">
        <f>huishoudens!J8</f>
        <v>0</v>
      </c>
      <c r="L11" s="686">
        <f>huishoudens!K8</f>
        <v>0</v>
      </c>
      <c r="M11" s="686">
        <f>huishoudens!L8</f>
        <v>0</v>
      </c>
      <c r="N11" s="686">
        <f>huishoudens!M8</f>
        <v>0</v>
      </c>
      <c r="O11" s="686">
        <f>huishoudens!N8</f>
        <v>27108.302618559788</v>
      </c>
      <c r="P11" s="686">
        <f>huishoudens!O8</f>
        <v>430.51893360698591</v>
      </c>
      <c r="Q11" s="687">
        <f>huishoudens!P8</f>
        <v>948.05633769165206</v>
      </c>
      <c r="R11" s="689">
        <f>SUM(C11:Q11)</f>
        <v>110437.32873847535</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2934.1791829999997</v>
      </c>
      <c r="D13" s="686">
        <f>industrie!C18</f>
        <v>0</v>
      </c>
      <c r="E13" s="686">
        <f>industrie!D18</f>
        <v>1975.0278898679999</v>
      </c>
      <c r="F13" s="686">
        <f>industrie!E18</f>
        <v>335.55192160373804</v>
      </c>
      <c r="G13" s="686">
        <f>industrie!F18</f>
        <v>1082.711705596138</v>
      </c>
      <c r="H13" s="686">
        <f>industrie!G18</f>
        <v>0</v>
      </c>
      <c r="I13" s="686">
        <f>industrie!H18</f>
        <v>0</v>
      </c>
      <c r="J13" s="686">
        <f>industrie!I18</f>
        <v>0</v>
      </c>
      <c r="K13" s="686">
        <f>industrie!J18</f>
        <v>12.412747820362668</v>
      </c>
      <c r="L13" s="686">
        <f>industrie!K18</f>
        <v>0</v>
      </c>
      <c r="M13" s="686">
        <f>industrie!L18</f>
        <v>0</v>
      </c>
      <c r="N13" s="686">
        <f>industrie!M18</f>
        <v>0</v>
      </c>
      <c r="O13" s="686">
        <f>industrie!N18</f>
        <v>154.35735404326772</v>
      </c>
      <c r="P13" s="686">
        <f>industrie!O18</f>
        <v>0</v>
      </c>
      <c r="Q13" s="687">
        <f>industrie!P18</f>
        <v>0</v>
      </c>
      <c r="R13" s="689">
        <f>SUM(C13:Q13)</f>
        <v>6494.2408019315062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32075.693169349855</v>
      </c>
      <c r="D16" s="722">
        <f t="shared" ref="D16:R16" ca="1" si="0">SUM(D9:D15)</f>
        <v>16.234234234234233</v>
      </c>
      <c r="E16" s="722">
        <f t="shared" ca="1" si="0"/>
        <v>58066.238824631364</v>
      </c>
      <c r="F16" s="722">
        <f t="shared" si="0"/>
        <v>5695.1046663138732</v>
      </c>
      <c r="G16" s="722">
        <f t="shared" ca="1" si="0"/>
        <v>13752.357646558139</v>
      </c>
      <c r="H16" s="722">
        <f t="shared" si="0"/>
        <v>0</v>
      </c>
      <c r="I16" s="722">
        <f t="shared" si="0"/>
        <v>0</v>
      </c>
      <c r="J16" s="722">
        <f t="shared" si="0"/>
        <v>0</v>
      </c>
      <c r="K16" s="722">
        <f t="shared" si="0"/>
        <v>12.438443328604214</v>
      </c>
      <c r="L16" s="722">
        <f t="shared" si="0"/>
        <v>0</v>
      </c>
      <c r="M16" s="722">
        <f t="shared" ca="1" si="0"/>
        <v>0</v>
      </c>
      <c r="N16" s="722">
        <f t="shared" si="0"/>
        <v>0</v>
      </c>
      <c r="O16" s="722">
        <f t="shared" ca="1" si="0"/>
        <v>28269.940537297472</v>
      </c>
      <c r="P16" s="722">
        <f t="shared" si="0"/>
        <v>455.00523743619169</v>
      </c>
      <c r="Q16" s="722">
        <f t="shared" si="0"/>
        <v>1105.6737526111372</v>
      </c>
      <c r="R16" s="722">
        <f t="shared" ca="1" si="0"/>
        <v>139448.6865117609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617.1841270345875</v>
      </c>
      <c r="I19" s="686">
        <f>transport!H54</f>
        <v>0</v>
      </c>
      <c r="J19" s="686">
        <f>transport!I54</f>
        <v>0</v>
      </c>
      <c r="K19" s="686">
        <f>transport!J54</f>
        <v>0</v>
      </c>
      <c r="L19" s="686">
        <f>transport!K54</f>
        <v>0</v>
      </c>
      <c r="M19" s="686">
        <f>transport!L54</f>
        <v>0</v>
      </c>
      <c r="N19" s="686">
        <f>transport!M54</f>
        <v>34.297765164254336</v>
      </c>
      <c r="O19" s="686">
        <f>transport!N54</f>
        <v>0</v>
      </c>
      <c r="P19" s="686">
        <f>transport!O54</f>
        <v>0</v>
      </c>
      <c r="Q19" s="687">
        <f>transport!P54</f>
        <v>0</v>
      </c>
      <c r="R19" s="689">
        <f>SUM(C19:Q19)</f>
        <v>651.48189219884182</v>
      </c>
      <c r="S19" s="67"/>
    </row>
    <row r="20" spans="1:19" s="448" customFormat="1">
      <c r="A20" s="808" t="s">
        <v>306</v>
      </c>
      <c r="B20" s="813"/>
      <c r="C20" s="686">
        <f>transport!B14</f>
        <v>57.647165964178051</v>
      </c>
      <c r="D20" s="686">
        <f>transport!C14</f>
        <v>0</v>
      </c>
      <c r="E20" s="686">
        <f>transport!D14</f>
        <v>201.4547363970334</v>
      </c>
      <c r="F20" s="686">
        <f>transport!E14</f>
        <v>179.42589587369051</v>
      </c>
      <c r="G20" s="686">
        <f>transport!F14</f>
        <v>0</v>
      </c>
      <c r="H20" s="686">
        <f>transport!G14</f>
        <v>99686.705100890758</v>
      </c>
      <c r="I20" s="686">
        <f>transport!H14</f>
        <v>18982.644612167453</v>
      </c>
      <c r="J20" s="686">
        <f>transport!I14</f>
        <v>0</v>
      </c>
      <c r="K20" s="686">
        <f>transport!J14</f>
        <v>0</v>
      </c>
      <c r="L20" s="686">
        <f>transport!K14</f>
        <v>0</v>
      </c>
      <c r="M20" s="686">
        <f>transport!L14</f>
        <v>0</v>
      </c>
      <c r="N20" s="686">
        <f>transport!M14</f>
        <v>7002.9612920905256</v>
      </c>
      <c r="O20" s="686">
        <f>transport!N14</f>
        <v>0</v>
      </c>
      <c r="P20" s="686">
        <f>transport!O14</f>
        <v>0</v>
      </c>
      <c r="Q20" s="687">
        <f>transport!P14</f>
        <v>0</v>
      </c>
      <c r="R20" s="689">
        <f>SUM(C20:Q20)</f>
        <v>126110.83880338364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57.647165964178051</v>
      </c>
      <c r="D22" s="811">
        <f t="shared" ref="D22:R22" si="1">SUM(D18:D21)</f>
        <v>0</v>
      </c>
      <c r="E22" s="811">
        <f t="shared" si="1"/>
        <v>201.4547363970334</v>
      </c>
      <c r="F22" s="811">
        <f t="shared" si="1"/>
        <v>179.42589587369051</v>
      </c>
      <c r="G22" s="811">
        <f t="shared" si="1"/>
        <v>0</v>
      </c>
      <c r="H22" s="811">
        <f t="shared" si="1"/>
        <v>100303.88922792535</v>
      </c>
      <c r="I22" s="811">
        <f t="shared" si="1"/>
        <v>18982.644612167453</v>
      </c>
      <c r="J22" s="811">
        <f t="shared" si="1"/>
        <v>0</v>
      </c>
      <c r="K22" s="811">
        <f t="shared" si="1"/>
        <v>0</v>
      </c>
      <c r="L22" s="811">
        <f t="shared" si="1"/>
        <v>0</v>
      </c>
      <c r="M22" s="811">
        <f t="shared" si="1"/>
        <v>0</v>
      </c>
      <c r="N22" s="811">
        <f t="shared" si="1"/>
        <v>7037.2590572547797</v>
      </c>
      <c r="O22" s="811">
        <f t="shared" si="1"/>
        <v>0</v>
      </c>
      <c r="P22" s="811">
        <f t="shared" si="1"/>
        <v>0</v>
      </c>
      <c r="Q22" s="811">
        <f t="shared" si="1"/>
        <v>0</v>
      </c>
      <c r="R22" s="811">
        <f t="shared" si="1"/>
        <v>126762.32069558249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2021.262741</v>
      </c>
      <c r="D24" s="686">
        <f>+landbouw!C8</f>
        <v>0</v>
      </c>
      <c r="E24" s="686">
        <f>+landbouw!D8</f>
        <v>368.95565218600001</v>
      </c>
      <c r="F24" s="686">
        <f>+landbouw!E8</f>
        <v>63.082943616386444</v>
      </c>
      <c r="G24" s="686">
        <f>+landbouw!F8</f>
        <v>7143.3664361402671</v>
      </c>
      <c r="H24" s="686">
        <f>+landbouw!G8</f>
        <v>0</v>
      </c>
      <c r="I24" s="686">
        <f>+landbouw!H8</f>
        <v>0</v>
      </c>
      <c r="J24" s="686">
        <f>+landbouw!I8</f>
        <v>0</v>
      </c>
      <c r="K24" s="686">
        <f>+landbouw!J8</f>
        <v>556.87190247976173</v>
      </c>
      <c r="L24" s="686">
        <f>+landbouw!K8</f>
        <v>0</v>
      </c>
      <c r="M24" s="686">
        <f>+landbouw!L8</f>
        <v>0</v>
      </c>
      <c r="N24" s="686">
        <f>+landbouw!M8</f>
        <v>0</v>
      </c>
      <c r="O24" s="686">
        <f>+landbouw!N8</f>
        <v>0</v>
      </c>
      <c r="P24" s="686">
        <f>+landbouw!O8</f>
        <v>0</v>
      </c>
      <c r="Q24" s="687">
        <f>+landbouw!P8</f>
        <v>0</v>
      </c>
      <c r="R24" s="689">
        <f>SUM(C24:Q24)</f>
        <v>10153.539675422415</v>
      </c>
      <c r="S24" s="67"/>
    </row>
    <row r="25" spans="1:19" s="448" customFormat="1" ht="15" thickBot="1">
      <c r="A25" s="830" t="s">
        <v>724</v>
      </c>
      <c r="B25" s="949"/>
      <c r="C25" s="950">
        <f>IF(Onbekend_ele_kWh="---",0,Onbekend_ele_kWh)/1000+IF(REST_rest_ele_kWh="---",0,REST_rest_ele_kWh)/1000</f>
        <v>621.30940899999996</v>
      </c>
      <c r="D25" s="950"/>
      <c r="E25" s="950">
        <f>IF(onbekend_gas_kWh="---",0,onbekend_gas_kWh)/1000+IF(REST_rest_gas_kWh="---",0,REST_rest_gas_kWh)/1000</f>
        <v>1286.8844260000001</v>
      </c>
      <c r="F25" s="950"/>
      <c r="G25" s="950"/>
      <c r="H25" s="950"/>
      <c r="I25" s="950"/>
      <c r="J25" s="950"/>
      <c r="K25" s="950"/>
      <c r="L25" s="950"/>
      <c r="M25" s="950"/>
      <c r="N25" s="950"/>
      <c r="O25" s="950"/>
      <c r="P25" s="950"/>
      <c r="Q25" s="951"/>
      <c r="R25" s="689">
        <f>SUM(C25:Q25)</f>
        <v>1908.193835</v>
      </c>
      <c r="S25" s="67"/>
    </row>
    <row r="26" spans="1:19" s="448" customFormat="1" ht="15.75" thickBot="1">
      <c r="A26" s="694" t="s">
        <v>725</v>
      </c>
      <c r="B26" s="816"/>
      <c r="C26" s="811">
        <f>SUM(C24:C25)</f>
        <v>2642.57215</v>
      </c>
      <c r="D26" s="811">
        <f t="shared" ref="D26:R26" si="2">SUM(D24:D25)</f>
        <v>0</v>
      </c>
      <c r="E26" s="811">
        <f t="shared" si="2"/>
        <v>1655.840078186</v>
      </c>
      <c r="F26" s="811">
        <f t="shared" si="2"/>
        <v>63.082943616386444</v>
      </c>
      <c r="G26" s="811">
        <f t="shared" si="2"/>
        <v>7143.3664361402671</v>
      </c>
      <c r="H26" s="811">
        <f t="shared" si="2"/>
        <v>0</v>
      </c>
      <c r="I26" s="811">
        <f t="shared" si="2"/>
        <v>0</v>
      </c>
      <c r="J26" s="811">
        <f t="shared" si="2"/>
        <v>0</v>
      </c>
      <c r="K26" s="811">
        <f t="shared" si="2"/>
        <v>556.87190247976173</v>
      </c>
      <c r="L26" s="811">
        <f t="shared" si="2"/>
        <v>0</v>
      </c>
      <c r="M26" s="811">
        <f t="shared" si="2"/>
        <v>0</v>
      </c>
      <c r="N26" s="811">
        <f t="shared" si="2"/>
        <v>0</v>
      </c>
      <c r="O26" s="811">
        <f t="shared" si="2"/>
        <v>0</v>
      </c>
      <c r="P26" s="811">
        <f t="shared" si="2"/>
        <v>0</v>
      </c>
      <c r="Q26" s="811">
        <f t="shared" si="2"/>
        <v>0</v>
      </c>
      <c r="R26" s="811">
        <f t="shared" si="2"/>
        <v>12061.733510422415</v>
      </c>
      <c r="S26" s="67"/>
    </row>
    <row r="27" spans="1:19" s="448" customFormat="1" ht="17.25" thickTop="1" thickBot="1">
      <c r="A27" s="695" t="s">
        <v>115</v>
      </c>
      <c r="B27" s="803"/>
      <c r="C27" s="696">
        <f ca="1">C22+C16+C26</f>
        <v>34775.912485314038</v>
      </c>
      <c r="D27" s="696">
        <f t="shared" ref="D27:R27" ca="1" si="3">D22+D16+D26</f>
        <v>16.234234234234233</v>
      </c>
      <c r="E27" s="696">
        <f t="shared" ca="1" si="3"/>
        <v>59923.533639214394</v>
      </c>
      <c r="F27" s="696">
        <f t="shared" si="3"/>
        <v>5937.6135058039508</v>
      </c>
      <c r="G27" s="696">
        <f t="shared" ca="1" si="3"/>
        <v>20895.724082698405</v>
      </c>
      <c r="H27" s="696">
        <f t="shared" si="3"/>
        <v>100303.88922792535</v>
      </c>
      <c r="I27" s="696">
        <f t="shared" si="3"/>
        <v>18982.644612167453</v>
      </c>
      <c r="J27" s="696">
        <f t="shared" si="3"/>
        <v>0</v>
      </c>
      <c r="K27" s="696">
        <f t="shared" si="3"/>
        <v>569.31034580836592</v>
      </c>
      <c r="L27" s="696">
        <f t="shared" si="3"/>
        <v>0</v>
      </c>
      <c r="M27" s="696">
        <f t="shared" ca="1" si="3"/>
        <v>0</v>
      </c>
      <c r="N27" s="696">
        <f t="shared" si="3"/>
        <v>7037.2590572547797</v>
      </c>
      <c r="O27" s="696">
        <f t="shared" ca="1" si="3"/>
        <v>28269.940537297472</v>
      </c>
      <c r="P27" s="696">
        <f t="shared" si="3"/>
        <v>455.00523743619169</v>
      </c>
      <c r="Q27" s="696">
        <f t="shared" si="3"/>
        <v>1105.6737526111372</v>
      </c>
      <c r="R27" s="696">
        <f t="shared" ca="1" si="3"/>
        <v>278272.74071776576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1739.9550601520334</v>
      </c>
      <c r="D40" s="686">
        <f ca="1">tertiair!C20</f>
        <v>3.6436836836836832</v>
      </c>
      <c r="E40" s="686">
        <f ca="1">tertiair!D20</f>
        <v>2201.2060040728811</v>
      </c>
      <c r="F40" s="686">
        <f>tertiair!E20</f>
        <v>27.674936549244837</v>
      </c>
      <c r="G40" s="686">
        <f ca="1">tertiair!F20</f>
        <v>270.80958955950115</v>
      </c>
      <c r="H40" s="686">
        <f>tertiair!G20</f>
        <v>0</v>
      </c>
      <c r="I40" s="686">
        <f>tertiair!H20</f>
        <v>0</v>
      </c>
      <c r="J40" s="686">
        <f>tertiair!I20</f>
        <v>0</v>
      </c>
      <c r="K40" s="686">
        <f>tertiair!J20</f>
        <v>9.09620991750721E-3</v>
      </c>
      <c r="L40" s="686">
        <f>tertiair!K20</f>
        <v>0</v>
      </c>
      <c r="M40" s="686">
        <f ca="1">tertiair!L20</f>
        <v>0</v>
      </c>
      <c r="N40" s="686">
        <f>tertiair!M20</f>
        <v>0</v>
      </c>
      <c r="O40" s="686">
        <f ca="1">tertiair!N20</f>
        <v>0</v>
      </c>
      <c r="P40" s="686">
        <f>tertiair!O20</f>
        <v>0</v>
      </c>
      <c r="Q40" s="769">
        <f>tertiair!P20</f>
        <v>0</v>
      </c>
      <c r="R40" s="849">
        <f t="shared" ca="1" si="4"/>
        <v>4243.2983702272613</v>
      </c>
    </row>
    <row r="41" spans="1:18">
      <c r="A41" s="821" t="s">
        <v>224</v>
      </c>
      <c r="B41" s="828"/>
      <c r="C41" s="686">
        <f ca="1">huishoudens!B12</f>
        <v>3724.9805113607013</v>
      </c>
      <c r="D41" s="686">
        <f ca="1">huishoudens!C12</f>
        <v>0</v>
      </c>
      <c r="E41" s="686">
        <f>huishoudens!D12</f>
        <v>9129.2186047493196</v>
      </c>
      <c r="F41" s="686">
        <f>huishoudens!E12</f>
        <v>1188.9435364999558</v>
      </c>
      <c r="G41" s="686">
        <f>huishoudens!F12</f>
        <v>3111.9858766773527</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17155.128529287329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550.24938642102995</v>
      </c>
      <c r="D43" s="686">
        <f ca="1">industrie!C22</f>
        <v>0</v>
      </c>
      <c r="E43" s="686">
        <f>industrie!D22</f>
        <v>398.95563375333597</v>
      </c>
      <c r="F43" s="686">
        <f>industrie!E22</f>
        <v>76.170286204048537</v>
      </c>
      <c r="G43" s="686">
        <f>industrie!F22</f>
        <v>289.08402539416886</v>
      </c>
      <c r="H43" s="686">
        <f>industrie!G22</f>
        <v>0</v>
      </c>
      <c r="I43" s="686">
        <f>industrie!H22</f>
        <v>0</v>
      </c>
      <c r="J43" s="686">
        <f>industrie!I22</f>
        <v>0</v>
      </c>
      <c r="K43" s="686">
        <f>industrie!J22</f>
        <v>4.3941127284083841</v>
      </c>
      <c r="L43" s="686">
        <f>industrie!K22</f>
        <v>0</v>
      </c>
      <c r="M43" s="686">
        <f>industrie!L22</f>
        <v>0</v>
      </c>
      <c r="N43" s="686">
        <f>industrie!M22</f>
        <v>0</v>
      </c>
      <c r="O43" s="686">
        <f>industrie!N22</f>
        <v>0</v>
      </c>
      <c r="P43" s="686">
        <f>industrie!O22</f>
        <v>0</v>
      </c>
      <c r="Q43" s="769">
        <f>industrie!P22</f>
        <v>0</v>
      </c>
      <c r="R43" s="848">
        <f t="shared" ca="1" si="4"/>
        <v>1318.8534445009918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6015.184957933765</v>
      </c>
      <c r="D46" s="722">
        <f t="shared" ref="D46:Q46" ca="1" si="5">SUM(D39:D45)</f>
        <v>3.6436836836836832</v>
      </c>
      <c r="E46" s="722">
        <f t="shared" ca="1" si="5"/>
        <v>11729.380242575537</v>
      </c>
      <c r="F46" s="722">
        <f t="shared" si="5"/>
        <v>1292.7887592532493</v>
      </c>
      <c r="G46" s="722">
        <f t="shared" ca="1" si="5"/>
        <v>3671.8794916310226</v>
      </c>
      <c r="H46" s="722">
        <f t="shared" si="5"/>
        <v>0</v>
      </c>
      <c r="I46" s="722">
        <f t="shared" si="5"/>
        <v>0</v>
      </c>
      <c r="J46" s="722">
        <f t="shared" si="5"/>
        <v>0</v>
      </c>
      <c r="K46" s="722">
        <f t="shared" si="5"/>
        <v>4.403208938325891</v>
      </c>
      <c r="L46" s="722">
        <f t="shared" si="5"/>
        <v>0</v>
      </c>
      <c r="M46" s="722">
        <f t="shared" ca="1" si="5"/>
        <v>0</v>
      </c>
      <c r="N46" s="722">
        <f t="shared" si="5"/>
        <v>0</v>
      </c>
      <c r="O46" s="722">
        <f t="shared" ca="1" si="5"/>
        <v>0</v>
      </c>
      <c r="P46" s="722">
        <f t="shared" si="5"/>
        <v>0</v>
      </c>
      <c r="Q46" s="722">
        <f t="shared" si="5"/>
        <v>0</v>
      </c>
      <c r="R46" s="722">
        <f ca="1">SUM(R39:R45)</f>
        <v>22717.280344015584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164.78816191823486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164.78816191823486</v>
      </c>
    </row>
    <row r="50" spans="1:18">
      <c r="A50" s="824" t="s">
        <v>306</v>
      </c>
      <c r="B50" s="834"/>
      <c r="C50" s="692">
        <f ca="1">transport!B18</f>
        <v>10.810627341534191</v>
      </c>
      <c r="D50" s="692">
        <f>transport!C18</f>
        <v>0</v>
      </c>
      <c r="E50" s="692">
        <f>transport!D18</f>
        <v>40.693856752200752</v>
      </c>
      <c r="F50" s="692">
        <f>transport!E18</f>
        <v>40.72967836332775</v>
      </c>
      <c r="G50" s="692">
        <f>transport!F18</f>
        <v>0</v>
      </c>
      <c r="H50" s="692">
        <f>transport!G18</f>
        <v>26616.350261937834</v>
      </c>
      <c r="I50" s="692">
        <f>transport!H18</f>
        <v>4726.6785084296953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31435.262932824589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10.810627341534191</v>
      </c>
      <c r="D52" s="722">
        <f t="shared" ref="D52:Q52" ca="1" si="6">SUM(D48:D51)</f>
        <v>0</v>
      </c>
      <c r="E52" s="722">
        <f t="shared" si="6"/>
        <v>40.693856752200752</v>
      </c>
      <c r="F52" s="722">
        <f t="shared" si="6"/>
        <v>40.72967836332775</v>
      </c>
      <c r="G52" s="722">
        <f t="shared" si="6"/>
        <v>0</v>
      </c>
      <c r="H52" s="722">
        <f t="shared" si="6"/>
        <v>26781.138423856068</v>
      </c>
      <c r="I52" s="722">
        <f t="shared" si="6"/>
        <v>4726.6785084296953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31600.051094742823</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379.04930601197691</v>
      </c>
      <c r="D54" s="692">
        <f ca="1">+landbouw!C12</f>
        <v>0</v>
      </c>
      <c r="E54" s="692">
        <f>+landbouw!D12</f>
        <v>74.529041741572001</v>
      </c>
      <c r="F54" s="692">
        <f>+landbouw!E12</f>
        <v>14.319828200919723</v>
      </c>
      <c r="G54" s="692">
        <f>+landbouw!F12</f>
        <v>1907.2788384494513</v>
      </c>
      <c r="H54" s="692">
        <f>+landbouw!G12</f>
        <v>0</v>
      </c>
      <c r="I54" s="692">
        <f>+landbouw!H12</f>
        <v>0</v>
      </c>
      <c r="J54" s="692">
        <f>+landbouw!I12</f>
        <v>0</v>
      </c>
      <c r="K54" s="692">
        <f>+landbouw!J12</f>
        <v>197.13265347783565</v>
      </c>
      <c r="L54" s="692">
        <f>+landbouw!K12</f>
        <v>0</v>
      </c>
      <c r="M54" s="692">
        <f>+landbouw!L12</f>
        <v>0</v>
      </c>
      <c r="N54" s="692">
        <f>+landbouw!M12</f>
        <v>0</v>
      </c>
      <c r="O54" s="692">
        <f>+landbouw!N12</f>
        <v>0</v>
      </c>
      <c r="P54" s="692">
        <f>+landbouw!O12</f>
        <v>0</v>
      </c>
      <c r="Q54" s="693">
        <f>+landbouw!P12</f>
        <v>0</v>
      </c>
      <c r="R54" s="721">
        <f ca="1">SUM(C54:Q54)</f>
        <v>2572.3096678817556</v>
      </c>
    </row>
    <row r="55" spans="1:18" ht="15" thickBot="1">
      <c r="A55" s="824" t="s">
        <v>724</v>
      </c>
      <c r="B55" s="834"/>
      <c r="C55" s="692">
        <f ca="1">C25*'EF ele_warmte'!B12</f>
        <v>116.51473879325889</v>
      </c>
      <c r="D55" s="692"/>
      <c r="E55" s="692">
        <f>E25*EF_CO2_aardgas</f>
        <v>259.950654052</v>
      </c>
      <c r="F55" s="692"/>
      <c r="G55" s="692"/>
      <c r="H55" s="692"/>
      <c r="I55" s="692"/>
      <c r="J55" s="692"/>
      <c r="K55" s="692"/>
      <c r="L55" s="692"/>
      <c r="M55" s="692"/>
      <c r="N55" s="692"/>
      <c r="O55" s="692"/>
      <c r="P55" s="692"/>
      <c r="Q55" s="693"/>
      <c r="R55" s="721">
        <f ca="1">SUM(C55:Q55)</f>
        <v>376.46539284525886</v>
      </c>
    </row>
    <row r="56" spans="1:18" ht="15.75" thickBot="1">
      <c r="A56" s="822" t="s">
        <v>725</v>
      </c>
      <c r="B56" s="835"/>
      <c r="C56" s="722">
        <f ca="1">SUM(C54:C55)</f>
        <v>495.56404480523577</v>
      </c>
      <c r="D56" s="722">
        <f t="shared" ref="D56:Q56" ca="1" si="7">SUM(D54:D55)</f>
        <v>0</v>
      </c>
      <c r="E56" s="722">
        <f t="shared" si="7"/>
        <v>334.47969579357198</v>
      </c>
      <c r="F56" s="722">
        <f t="shared" si="7"/>
        <v>14.319828200919723</v>
      </c>
      <c r="G56" s="722">
        <f t="shared" si="7"/>
        <v>1907.2788384494513</v>
      </c>
      <c r="H56" s="722">
        <f t="shared" si="7"/>
        <v>0</v>
      </c>
      <c r="I56" s="722">
        <f t="shared" si="7"/>
        <v>0</v>
      </c>
      <c r="J56" s="722">
        <f t="shared" si="7"/>
        <v>0</v>
      </c>
      <c r="K56" s="722">
        <f t="shared" si="7"/>
        <v>197.13265347783565</v>
      </c>
      <c r="L56" s="722">
        <f t="shared" si="7"/>
        <v>0</v>
      </c>
      <c r="M56" s="722">
        <f t="shared" si="7"/>
        <v>0</v>
      </c>
      <c r="N56" s="722">
        <f t="shared" si="7"/>
        <v>0</v>
      </c>
      <c r="O56" s="722">
        <f t="shared" si="7"/>
        <v>0</v>
      </c>
      <c r="P56" s="722">
        <f t="shared" si="7"/>
        <v>0</v>
      </c>
      <c r="Q56" s="723">
        <f t="shared" si="7"/>
        <v>0</v>
      </c>
      <c r="R56" s="724">
        <f ca="1">SUM(R54:R55)</f>
        <v>2948.7750607270145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6521.5596300805346</v>
      </c>
      <c r="D61" s="730">
        <f t="shared" ref="D61:Q61" ca="1" si="8">D46+D52+D56</f>
        <v>3.6436836836836832</v>
      </c>
      <c r="E61" s="730">
        <f t="shared" ca="1" si="8"/>
        <v>12104.55379512131</v>
      </c>
      <c r="F61" s="730">
        <f t="shared" si="8"/>
        <v>1347.8382658174969</v>
      </c>
      <c r="G61" s="730">
        <f t="shared" ca="1" si="8"/>
        <v>5579.1583300804741</v>
      </c>
      <c r="H61" s="730">
        <f t="shared" si="8"/>
        <v>26781.138423856068</v>
      </c>
      <c r="I61" s="730">
        <f t="shared" si="8"/>
        <v>4726.6785084296953</v>
      </c>
      <c r="J61" s="730">
        <f t="shared" si="8"/>
        <v>0</v>
      </c>
      <c r="K61" s="730">
        <f t="shared" si="8"/>
        <v>201.53586241616154</v>
      </c>
      <c r="L61" s="730">
        <f t="shared" si="8"/>
        <v>0</v>
      </c>
      <c r="M61" s="730">
        <f t="shared" ca="1" si="8"/>
        <v>0</v>
      </c>
      <c r="N61" s="730">
        <f t="shared" si="8"/>
        <v>0</v>
      </c>
      <c r="O61" s="730">
        <f t="shared" ca="1" si="8"/>
        <v>0</v>
      </c>
      <c r="P61" s="730">
        <f t="shared" si="8"/>
        <v>0</v>
      </c>
      <c r="Q61" s="730">
        <f t="shared" si="8"/>
        <v>0</v>
      </c>
      <c r="R61" s="730">
        <f ca="1">R46+R52+R56</f>
        <v>57266.106499485424</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0.18753094208051641</v>
      </c>
      <c r="D63" s="776">
        <f t="shared" ca="1" si="9"/>
        <v>0.22444444444444445</v>
      </c>
      <c r="E63" s="975">
        <f t="shared" ca="1" si="9"/>
        <v>0.20200000000000004</v>
      </c>
      <c r="F63" s="776">
        <f t="shared" si="9"/>
        <v>0.22700000000000001</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5266.7695303660839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11.333333333333332</v>
      </c>
      <c r="D76" s="958">
        <f>'lokale energieproductie'!C8</f>
        <v>12.59259259259259</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2.5437037037037031</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5266.7695303660839</v>
      </c>
      <c r="C78" s="748">
        <f>SUM(C72:C77)</f>
        <v>11.333333333333332</v>
      </c>
      <c r="D78" s="749">
        <f t="shared" ref="D78:H78" si="10">SUM(D76:D77)</f>
        <v>12.59259259259259</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2.5437037037037031</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16.234234234234233</v>
      </c>
      <c r="D87" s="772">
        <f>'lokale energieproductie'!C17</f>
        <v>18.038038038038035</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3.6436836836836832</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16.234234234234233</v>
      </c>
      <c r="D90" s="748">
        <f t="shared" ref="D90:H90" si="12">SUM(D87:D89)</f>
        <v>18.038038038038035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3.6436836836836832</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19863.284800016525</v>
      </c>
      <c r="C4" s="452">
        <f>huishoudens!C8</f>
        <v>0</v>
      </c>
      <c r="D4" s="452">
        <f>huishoudens!D8</f>
        <v>45194.151508659997</v>
      </c>
      <c r="E4" s="452">
        <f>huishoudens!E8</f>
        <v>5237.636724669409</v>
      </c>
      <c r="F4" s="452">
        <f>huishoudens!F8</f>
        <v>11655.377815270984</v>
      </c>
      <c r="G4" s="452">
        <f>huishoudens!G8</f>
        <v>0</v>
      </c>
      <c r="H4" s="452">
        <f>huishoudens!H8</f>
        <v>0</v>
      </c>
      <c r="I4" s="452">
        <f>huishoudens!I8</f>
        <v>0</v>
      </c>
      <c r="J4" s="452">
        <f>huishoudens!J8</f>
        <v>0</v>
      </c>
      <c r="K4" s="452">
        <f>huishoudens!K8</f>
        <v>0</v>
      </c>
      <c r="L4" s="452">
        <f>huishoudens!L8</f>
        <v>0</v>
      </c>
      <c r="M4" s="452">
        <f>huishoudens!M8</f>
        <v>0</v>
      </c>
      <c r="N4" s="452">
        <f>huishoudens!N8</f>
        <v>27108.302618559788</v>
      </c>
      <c r="O4" s="452">
        <f>huishoudens!O8</f>
        <v>430.51893360698591</v>
      </c>
      <c r="P4" s="453">
        <f>huishoudens!P8</f>
        <v>948.05633769165206</v>
      </c>
      <c r="Q4" s="454">
        <f>SUM(B4:P4)</f>
        <v>110437.32873847535</v>
      </c>
    </row>
    <row r="5" spans="1:17">
      <c r="A5" s="451" t="s">
        <v>155</v>
      </c>
      <c r="B5" s="452">
        <f ca="1">tertiair!B16</f>
        <v>8729.3121863333326</v>
      </c>
      <c r="C5" s="452">
        <f ca="1">tertiair!C16</f>
        <v>16.234234234234233</v>
      </c>
      <c r="D5" s="452">
        <f ca="1">tertiair!D16</f>
        <v>10897.059426103371</v>
      </c>
      <c r="E5" s="452">
        <f>tertiair!E16</f>
        <v>121.91602004072615</v>
      </c>
      <c r="F5" s="452">
        <f ca="1">tertiair!F16</f>
        <v>1014.2681256910155</v>
      </c>
      <c r="G5" s="452">
        <f>tertiair!G16</f>
        <v>0</v>
      </c>
      <c r="H5" s="452">
        <f>tertiair!H16</f>
        <v>0</v>
      </c>
      <c r="I5" s="452">
        <f>tertiair!I16</f>
        <v>0</v>
      </c>
      <c r="J5" s="452">
        <f>tertiair!J16</f>
        <v>2.5695508241545793E-2</v>
      </c>
      <c r="K5" s="452">
        <f>tertiair!K16</f>
        <v>0</v>
      </c>
      <c r="L5" s="452">
        <f ca="1">tertiair!L16</f>
        <v>0</v>
      </c>
      <c r="M5" s="452">
        <f>tertiair!M16</f>
        <v>0</v>
      </c>
      <c r="N5" s="452">
        <f ca="1">tertiair!N16</f>
        <v>1007.2805646944184</v>
      </c>
      <c r="O5" s="452">
        <f>tertiair!O16</f>
        <v>24.486303829205774</v>
      </c>
      <c r="P5" s="453">
        <f>tertiair!P16</f>
        <v>157.61741491948504</v>
      </c>
      <c r="Q5" s="451">
        <f t="shared" ref="Q5:Q14" ca="1" si="0">SUM(B5:P5)</f>
        <v>21968.199971354028</v>
      </c>
    </row>
    <row r="6" spans="1:17">
      <c r="A6" s="451" t="s">
        <v>193</v>
      </c>
      <c r="B6" s="452">
        <f>'openbare verlichting'!B8</f>
        <v>548.91700000000003</v>
      </c>
      <c r="C6" s="452"/>
      <c r="D6" s="452"/>
      <c r="E6" s="452"/>
      <c r="F6" s="452"/>
      <c r="G6" s="452"/>
      <c r="H6" s="452"/>
      <c r="I6" s="452"/>
      <c r="J6" s="452"/>
      <c r="K6" s="452"/>
      <c r="L6" s="452"/>
      <c r="M6" s="452"/>
      <c r="N6" s="452"/>
      <c r="O6" s="452"/>
      <c r="P6" s="453"/>
      <c r="Q6" s="451">
        <f t="shared" si="0"/>
        <v>548.91700000000003</v>
      </c>
    </row>
    <row r="7" spans="1:17">
      <c r="A7" s="451" t="s">
        <v>111</v>
      </c>
      <c r="B7" s="452">
        <f>landbouw!B8</f>
        <v>2021.262741</v>
      </c>
      <c r="C7" s="452">
        <f>landbouw!C8</f>
        <v>0</v>
      </c>
      <c r="D7" s="452">
        <f>landbouw!D8</f>
        <v>368.95565218600001</v>
      </c>
      <c r="E7" s="452">
        <f>landbouw!E8</f>
        <v>63.082943616386444</v>
      </c>
      <c r="F7" s="452">
        <f>landbouw!F8</f>
        <v>7143.3664361402671</v>
      </c>
      <c r="G7" s="452">
        <f>landbouw!G8</f>
        <v>0</v>
      </c>
      <c r="H7" s="452">
        <f>landbouw!H8</f>
        <v>0</v>
      </c>
      <c r="I7" s="452">
        <f>landbouw!I8</f>
        <v>0</v>
      </c>
      <c r="J7" s="452">
        <f>landbouw!J8</f>
        <v>556.87190247976173</v>
      </c>
      <c r="K7" s="452">
        <f>landbouw!K8</f>
        <v>0</v>
      </c>
      <c r="L7" s="452">
        <f>landbouw!L8</f>
        <v>0</v>
      </c>
      <c r="M7" s="452">
        <f>landbouw!M8</f>
        <v>0</v>
      </c>
      <c r="N7" s="452">
        <f>landbouw!N8</f>
        <v>0</v>
      </c>
      <c r="O7" s="452">
        <f>landbouw!O8</f>
        <v>0</v>
      </c>
      <c r="P7" s="453">
        <f>landbouw!P8</f>
        <v>0</v>
      </c>
      <c r="Q7" s="451">
        <f t="shared" si="0"/>
        <v>10153.539675422415</v>
      </c>
    </row>
    <row r="8" spans="1:17">
      <c r="A8" s="451" t="s">
        <v>625</v>
      </c>
      <c r="B8" s="452">
        <f>industrie!B18</f>
        <v>2934.1791829999997</v>
      </c>
      <c r="C8" s="452">
        <f>industrie!C18</f>
        <v>0</v>
      </c>
      <c r="D8" s="452">
        <f>industrie!D18</f>
        <v>1975.0278898679999</v>
      </c>
      <c r="E8" s="452">
        <f>industrie!E18</f>
        <v>335.55192160373804</v>
      </c>
      <c r="F8" s="452">
        <f>industrie!F18</f>
        <v>1082.711705596138</v>
      </c>
      <c r="G8" s="452">
        <f>industrie!G18</f>
        <v>0</v>
      </c>
      <c r="H8" s="452">
        <f>industrie!H18</f>
        <v>0</v>
      </c>
      <c r="I8" s="452">
        <f>industrie!I18</f>
        <v>0</v>
      </c>
      <c r="J8" s="452">
        <f>industrie!J18</f>
        <v>12.412747820362668</v>
      </c>
      <c r="K8" s="452">
        <f>industrie!K18</f>
        <v>0</v>
      </c>
      <c r="L8" s="452">
        <f>industrie!L18</f>
        <v>0</v>
      </c>
      <c r="M8" s="452">
        <f>industrie!M18</f>
        <v>0</v>
      </c>
      <c r="N8" s="452">
        <f>industrie!N18</f>
        <v>154.35735404326772</v>
      </c>
      <c r="O8" s="452">
        <f>industrie!O18</f>
        <v>0</v>
      </c>
      <c r="P8" s="453">
        <f>industrie!P18</f>
        <v>0</v>
      </c>
      <c r="Q8" s="451">
        <f t="shared" si="0"/>
        <v>6494.2408019315062</v>
      </c>
    </row>
    <row r="9" spans="1:17" s="457" customFormat="1">
      <c r="A9" s="455" t="s">
        <v>551</v>
      </c>
      <c r="B9" s="456">
        <f>transport!B14</f>
        <v>57.647165964178051</v>
      </c>
      <c r="C9" s="456">
        <f>transport!C14</f>
        <v>0</v>
      </c>
      <c r="D9" s="456">
        <f>transport!D14</f>
        <v>201.4547363970334</v>
      </c>
      <c r="E9" s="456">
        <f>transport!E14</f>
        <v>179.42589587369051</v>
      </c>
      <c r="F9" s="456">
        <f>transport!F14</f>
        <v>0</v>
      </c>
      <c r="G9" s="456">
        <f>transport!G14</f>
        <v>99686.705100890758</v>
      </c>
      <c r="H9" s="456">
        <f>transport!H14</f>
        <v>18982.644612167453</v>
      </c>
      <c r="I9" s="456">
        <f>transport!I14</f>
        <v>0</v>
      </c>
      <c r="J9" s="456">
        <f>transport!J14</f>
        <v>0</v>
      </c>
      <c r="K9" s="456">
        <f>transport!K14</f>
        <v>0</v>
      </c>
      <c r="L9" s="456">
        <f>transport!L14</f>
        <v>0</v>
      </c>
      <c r="M9" s="456">
        <f>transport!M14</f>
        <v>7002.9612920905256</v>
      </c>
      <c r="N9" s="456">
        <f>transport!N14</f>
        <v>0</v>
      </c>
      <c r="O9" s="456">
        <f>transport!O14</f>
        <v>0</v>
      </c>
      <c r="P9" s="456">
        <f>transport!P14</f>
        <v>0</v>
      </c>
      <c r="Q9" s="455">
        <f>SUM(B9:P9)</f>
        <v>126110.83880338364</v>
      </c>
    </row>
    <row r="10" spans="1:17">
      <c r="A10" s="451" t="s">
        <v>541</v>
      </c>
      <c r="B10" s="452">
        <f>transport!B54</f>
        <v>0</v>
      </c>
      <c r="C10" s="452">
        <f>transport!C54</f>
        <v>0</v>
      </c>
      <c r="D10" s="452">
        <f>transport!D54</f>
        <v>0</v>
      </c>
      <c r="E10" s="452">
        <f>transport!E54</f>
        <v>0</v>
      </c>
      <c r="F10" s="452">
        <f>transport!F54</f>
        <v>0</v>
      </c>
      <c r="G10" s="452">
        <f>transport!G54</f>
        <v>617.1841270345875</v>
      </c>
      <c r="H10" s="452">
        <f>transport!H54</f>
        <v>0</v>
      </c>
      <c r="I10" s="452">
        <f>transport!I54</f>
        <v>0</v>
      </c>
      <c r="J10" s="452">
        <f>transport!J54</f>
        <v>0</v>
      </c>
      <c r="K10" s="452">
        <f>transport!K54</f>
        <v>0</v>
      </c>
      <c r="L10" s="452">
        <f>transport!L54</f>
        <v>0</v>
      </c>
      <c r="M10" s="452">
        <f>transport!M54</f>
        <v>34.297765164254336</v>
      </c>
      <c r="N10" s="452">
        <f>transport!N54</f>
        <v>0</v>
      </c>
      <c r="O10" s="452">
        <f>transport!O54</f>
        <v>0</v>
      </c>
      <c r="P10" s="453">
        <f>transport!P54</f>
        <v>0</v>
      </c>
      <c r="Q10" s="451">
        <f t="shared" si="0"/>
        <v>651.48189219884182</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621.30940899999996</v>
      </c>
      <c r="C14" s="459"/>
      <c r="D14" s="459">
        <f>'SEAP template'!E25</f>
        <v>1286.8844260000001</v>
      </c>
      <c r="E14" s="459"/>
      <c r="F14" s="459"/>
      <c r="G14" s="459"/>
      <c r="H14" s="459"/>
      <c r="I14" s="459"/>
      <c r="J14" s="459"/>
      <c r="K14" s="459"/>
      <c r="L14" s="459"/>
      <c r="M14" s="459"/>
      <c r="N14" s="459"/>
      <c r="O14" s="459"/>
      <c r="P14" s="460"/>
      <c r="Q14" s="451">
        <f t="shared" si="0"/>
        <v>1908.193835</v>
      </c>
    </row>
    <row r="15" spans="1:17" s="463" customFormat="1">
      <c r="A15" s="461" t="s">
        <v>545</v>
      </c>
      <c r="B15" s="462">
        <f ca="1">SUM(B4:B14)</f>
        <v>34775.912485314031</v>
      </c>
      <c r="C15" s="462">
        <f t="shared" ref="C15:Q15" ca="1" si="1">SUM(C4:C14)</f>
        <v>16.234234234234233</v>
      </c>
      <c r="D15" s="462">
        <f t="shared" ca="1" si="1"/>
        <v>59923.533639214394</v>
      </c>
      <c r="E15" s="462">
        <f t="shared" si="1"/>
        <v>5937.6135058039508</v>
      </c>
      <c r="F15" s="462">
        <f t="shared" ca="1" si="1"/>
        <v>20895.724082698405</v>
      </c>
      <c r="G15" s="462">
        <f t="shared" si="1"/>
        <v>100303.88922792535</v>
      </c>
      <c r="H15" s="462">
        <f t="shared" si="1"/>
        <v>18982.644612167453</v>
      </c>
      <c r="I15" s="462">
        <f t="shared" si="1"/>
        <v>0</v>
      </c>
      <c r="J15" s="462">
        <f t="shared" si="1"/>
        <v>569.31034580836604</v>
      </c>
      <c r="K15" s="462">
        <f t="shared" si="1"/>
        <v>0</v>
      </c>
      <c r="L15" s="462">
        <f t="shared" ca="1" si="1"/>
        <v>0</v>
      </c>
      <c r="M15" s="462">
        <f t="shared" si="1"/>
        <v>7037.2590572547797</v>
      </c>
      <c r="N15" s="462">
        <f t="shared" ca="1" si="1"/>
        <v>28269.940537297472</v>
      </c>
      <c r="O15" s="462">
        <f t="shared" si="1"/>
        <v>455.00523743619169</v>
      </c>
      <c r="P15" s="462">
        <f t="shared" si="1"/>
        <v>1105.6737526111372</v>
      </c>
      <c r="Q15" s="462">
        <f t="shared" ca="1" si="1"/>
        <v>278272.74071776576</v>
      </c>
    </row>
    <row r="17" spans="1:17">
      <c r="A17" s="464" t="s">
        <v>546</v>
      </c>
      <c r="B17" s="781">
        <f ca="1">huishoudens!B10</f>
        <v>0.18753094208051643</v>
      </c>
      <c r="C17" s="781">
        <f ca="1">huishoudens!C10</f>
        <v>0.22444444444444445</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3724.9805113607013</v>
      </c>
      <c r="C22" s="452">
        <f t="shared" ref="C22:C32" ca="1" si="3">C4*$C$17</f>
        <v>0</v>
      </c>
      <c r="D22" s="452">
        <f t="shared" ref="D22:D32" si="4">D4*$D$17</f>
        <v>9129.2186047493196</v>
      </c>
      <c r="E22" s="452">
        <f t="shared" ref="E22:E32" si="5">E4*$E$17</f>
        <v>1188.9435364999558</v>
      </c>
      <c r="F22" s="452">
        <f t="shared" ref="F22:F32" si="6">F4*$F$17</f>
        <v>3111.9858766773527</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17155.128529287329</v>
      </c>
    </row>
    <row r="23" spans="1:17">
      <c r="A23" s="451" t="s">
        <v>155</v>
      </c>
      <c r="B23" s="452">
        <f t="shared" ca="1" si="2"/>
        <v>1637.0161380180225</v>
      </c>
      <c r="C23" s="452">
        <f t="shared" ca="1" si="3"/>
        <v>3.6436836836836832</v>
      </c>
      <c r="D23" s="452">
        <f t="shared" ca="1" si="4"/>
        <v>2201.2060040728811</v>
      </c>
      <c r="E23" s="452">
        <f t="shared" si="5"/>
        <v>27.674936549244837</v>
      </c>
      <c r="F23" s="452">
        <f t="shared" ca="1" si="6"/>
        <v>270.80958955950115</v>
      </c>
      <c r="G23" s="452">
        <f t="shared" si="7"/>
        <v>0</v>
      </c>
      <c r="H23" s="452">
        <f t="shared" si="8"/>
        <v>0</v>
      </c>
      <c r="I23" s="452">
        <f t="shared" si="9"/>
        <v>0</v>
      </c>
      <c r="J23" s="452">
        <f t="shared" si="10"/>
        <v>9.09620991750721E-3</v>
      </c>
      <c r="K23" s="452">
        <f t="shared" si="11"/>
        <v>0</v>
      </c>
      <c r="L23" s="452">
        <f t="shared" ca="1" si="12"/>
        <v>0</v>
      </c>
      <c r="M23" s="452">
        <f t="shared" si="13"/>
        <v>0</v>
      </c>
      <c r="N23" s="452">
        <f t="shared" ca="1" si="14"/>
        <v>0</v>
      </c>
      <c r="O23" s="452">
        <f t="shared" si="15"/>
        <v>0</v>
      </c>
      <c r="P23" s="453">
        <f t="shared" si="16"/>
        <v>0</v>
      </c>
      <c r="Q23" s="451">
        <f t="shared" ref="Q23:Q31" ca="1" si="17">SUM(B23:P23)</f>
        <v>4140.3594480932506</v>
      </c>
    </row>
    <row r="24" spans="1:17">
      <c r="A24" s="451" t="s">
        <v>193</v>
      </c>
      <c r="B24" s="452">
        <f t="shared" ca="1" si="2"/>
        <v>102.93892213401084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102.93892213401084</v>
      </c>
    </row>
    <row r="25" spans="1:17">
      <c r="A25" s="451" t="s">
        <v>111</v>
      </c>
      <c r="B25" s="452">
        <f t="shared" ca="1" si="2"/>
        <v>379.04930601197691</v>
      </c>
      <c r="C25" s="452">
        <f t="shared" ca="1" si="3"/>
        <v>0</v>
      </c>
      <c r="D25" s="452">
        <f t="shared" si="4"/>
        <v>74.529041741572001</v>
      </c>
      <c r="E25" s="452">
        <f t="shared" si="5"/>
        <v>14.319828200919723</v>
      </c>
      <c r="F25" s="452">
        <f t="shared" si="6"/>
        <v>1907.2788384494513</v>
      </c>
      <c r="G25" s="452">
        <f t="shared" si="7"/>
        <v>0</v>
      </c>
      <c r="H25" s="452">
        <f t="shared" si="8"/>
        <v>0</v>
      </c>
      <c r="I25" s="452">
        <f t="shared" si="9"/>
        <v>0</v>
      </c>
      <c r="J25" s="452">
        <f t="shared" si="10"/>
        <v>197.13265347783565</v>
      </c>
      <c r="K25" s="452">
        <f t="shared" si="11"/>
        <v>0</v>
      </c>
      <c r="L25" s="452">
        <f t="shared" si="12"/>
        <v>0</v>
      </c>
      <c r="M25" s="452">
        <f t="shared" si="13"/>
        <v>0</v>
      </c>
      <c r="N25" s="452">
        <f t="shared" si="14"/>
        <v>0</v>
      </c>
      <c r="O25" s="452">
        <f t="shared" si="15"/>
        <v>0</v>
      </c>
      <c r="P25" s="453">
        <f t="shared" si="16"/>
        <v>0</v>
      </c>
      <c r="Q25" s="451">
        <f t="shared" ca="1" si="17"/>
        <v>2572.3096678817556</v>
      </c>
    </row>
    <row r="26" spans="1:17">
      <c r="A26" s="451" t="s">
        <v>625</v>
      </c>
      <c r="B26" s="452">
        <f t="shared" ca="1" si="2"/>
        <v>550.24938642102995</v>
      </c>
      <c r="C26" s="452">
        <f t="shared" ca="1" si="3"/>
        <v>0</v>
      </c>
      <c r="D26" s="452">
        <f t="shared" si="4"/>
        <v>398.95563375333597</v>
      </c>
      <c r="E26" s="452">
        <f t="shared" si="5"/>
        <v>76.170286204048537</v>
      </c>
      <c r="F26" s="452">
        <f t="shared" si="6"/>
        <v>289.08402539416886</v>
      </c>
      <c r="G26" s="452">
        <f t="shared" si="7"/>
        <v>0</v>
      </c>
      <c r="H26" s="452">
        <f t="shared" si="8"/>
        <v>0</v>
      </c>
      <c r="I26" s="452">
        <f t="shared" si="9"/>
        <v>0</v>
      </c>
      <c r="J26" s="452">
        <f t="shared" si="10"/>
        <v>4.3941127284083841</v>
      </c>
      <c r="K26" s="452">
        <f t="shared" si="11"/>
        <v>0</v>
      </c>
      <c r="L26" s="452">
        <f t="shared" si="12"/>
        <v>0</v>
      </c>
      <c r="M26" s="452">
        <f t="shared" si="13"/>
        <v>0</v>
      </c>
      <c r="N26" s="452">
        <f t="shared" si="14"/>
        <v>0</v>
      </c>
      <c r="O26" s="452">
        <f t="shared" si="15"/>
        <v>0</v>
      </c>
      <c r="P26" s="453">
        <f t="shared" si="16"/>
        <v>0</v>
      </c>
      <c r="Q26" s="451">
        <f t="shared" ca="1" si="17"/>
        <v>1318.8534445009918</v>
      </c>
    </row>
    <row r="27" spans="1:17" s="457" customFormat="1">
      <c r="A27" s="455" t="s">
        <v>551</v>
      </c>
      <c r="B27" s="775">
        <f t="shared" ca="1" si="2"/>
        <v>10.810627341534191</v>
      </c>
      <c r="C27" s="456">
        <f t="shared" ca="1" si="3"/>
        <v>0</v>
      </c>
      <c r="D27" s="456">
        <f t="shared" si="4"/>
        <v>40.693856752200752</v>
      </c>
      <c r="E27" s="456">
        <f t="shared" si="5"/>
        <v>40.72967836332775</v>
      </c>
      <c r="F27" s="456">
        <f t="shared" si="6"/>
        <v>0</v>
      </c>
      <c r="G27" s="456">
        <f t="shared" si="7"/>
        <v>26616.350261937834</v>
      </c>
      <c r="H27" s="456">
        <f t="shared" si="8"/>
        <v>4726.6785084296953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31435.262932824589</v>
      </c>
    </row>
    <row r="28" spans="1:17" ht="16.5" customHeight="1">
      <c r="A28" s="451" t="s">
        <v>541</v>
      </c>
      <c r="B28" s="452">
        <f t="shared" ca="1" si="2"/>
        <v>0</v>
      </c>
      <c r="C28" s="452">
        <f t="shared" ca="1" si="3"/>
        <v>0</v>
      </c>
      <c r="D28" s="452">
        <f t="shared" si="4"/>
        <v>0</v>
      </c>
      <c r="E28" s="452">
        <f t="shared" si="5"/>
        <v>0</v>
      </c>
      <c r="F28" s="452">
        <f t="shared" si="6"/>
        <v>0</v>
      </c>
      <c r="G28" s="452">
        <f t="shared" si="7"/>
        <v>164.78816191823486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164.78816191823486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116.51473879325889</v>
      </c>
      <c r="C32" s="452">
        <f t="shared" ca="1" si="3"/>
        <v>0</v>
      </c>
      <c r="D32" s="452">
        <f t="shared" si="4"/>
        <v>259.950654052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376.46539284525886</v>
      </c>
    </row>
    <row r="33" spans="1:17" s="463" customFormat="1">
      <c r="A33" s="461" t="s">
        <v>545</v>
      </c>
      <c r="B33" s="462">
        <f ca="1">SUM(B22:B32)</f>
        <v>6521.5596300805346</v>
      </c>
      <c r="C33" s="462">
        <f t="shared" ref="C33:Q33" ca="1" si="19">SUM(C22:C32)</f>
        <v>3.6436836836836832</v>
      </c>
      <c r="D33" s="462">
        <f t="shared" ca="1" si="19"/>
        <v>12104.55379512131</v>
      </c>
      <c r="E33" s="462">
        <f t="shared" si="19"/>
        <v>1347.8382658174969</v>
      </c>
      <c r="F33" s="462">
        <f t="shared" ca="1" si="19"/>
        <v>5579.1583300804741</v>
      </c>
      <c r="G33" s="462">
        <f t="shared" si="19"/>
        <v>26781.138423856068</v>
      </c>
      <c r="H33" s="462">
        <f t="shared" si="19"/>
        <v>4726.6785084296953</v>
      </c>
      <c r="I33" s="462">
        <f t="shared" si="19"/>
        <v>0</v>
      </c>
      <c r="J33" s="462">
        <f t="shared" si="19"/>
        <v>201.53586241616154</v>
      </c>
      <c r="K33" s="462">
        <f t="shared" si="19"/>
        <v>0</v>
      </c>
      <c r="L33" s="462">
        <f t="shared" ca="1" si="19"/>
        <v>0</v>
      </c>
      <c r="M33" s="462">
        <f t="shared" si="19"/>
        <v>0</v>
      </c>
      <c r="N33" s="462">
        <f t="shared" ca="1" si="19"/>
        <v>0</v>
      </c>
      <c r="O33" s="462">
        <f t="shared" si="19"/>
        <v>0</v>
      </c>
      <c r="P33" s="462">
        <f t="shared" si="19"/>
        <v>0</v>
      </c>
      <c r="Q33" s="462">
        <f t="shared" ca="1" si="19"/>
        <v>57266.106499485424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5266.7695303660839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11.333333333333332</v>
      </c>
      <c r="D8" s="1029">
        <f>'SEAP template'!D76</f>
        <v>12.59259259259259</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2.5437037037037031</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5266.7695303660839</v>
      </c>
      <c r="C10" s="1031">
        <f>SUM(C4:C9)</f>
        <v>11.333333333333332</v>
      </c>
      <c r="D10" s="1031">
        <f t="shared" ref="D10:H10" si="0">SUM(D8:D9)</f>
        <v>12.59259259259259</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2.5437037037037031</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0.18753094208051643</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16.234234234234233</v>
      </c>
      <c r="D17" s="1030">
        <f>'SEAP template'!D87</f>
        <v>18.038038038038035</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3.6436836836836832</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16.234234234234233</v>
      </c>
      <c r="D20" s="1031">
        <f t="shared" ref="D20:H20" si="2">SUM(D17:D19)</f>
        <v>18.038038038038035</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3.6436836836836832</v>
      </c>
    </row>
    <row r="21" spans="1:16">
      <c r="B21" s="887"/>
    </row>
    <row r="22" spans="1:16">
      <c r="A22" s="464" t="s">
        <v>797</v>
      </c>
      <c r="B22" s="781" t="s">
        <v>795</v>
      </c>
      <c r="C22" s="781">
        <f ca="1">'EF ele_warmte'!B22</f>
        <v>0.22444444444444445</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0.18753094208051643</v>
      </c>
      <c r="C17" s="501">
        <f ca="1">'EF ele_warmte'!B22</f>
        <v>0.22444444444444445</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0.18753094208051643</v>
      </c>
      <c r="C17" s="501">
        <f ca="1">'EF ele_warmte'!B22</f>
        <v>0.22444444444444445</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0.18753094208051643</v>
      </c>
      <c r="C29" s="502">
        <f ca="1">'EF ele_warmte'!B22</f>
        <v>0.22444444444444445</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4504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2781.1</v>
      </c>
      <c r="C14" s="330"/>
      <c r="D14" s="330"/>
      <c r="E14" s="330"/>
      <c r="F14" s="330"/>
    </row>
    <row r="15" spans="1:6">
      <c r="A15" s="1298" t="s">
        <v>183</v>
      </c>
      <c r="B15" s="1299">
        <v>11184</v>
      </c>
      <c r="C15" s="330"/>
      <c r="D15" s="330"/>
      <c r="E15" s="330"/>
      <c r="F15" s="330"/>
    </row>
    <row r="16" spans="1:6">
      <c r="A16" s="1298" t="s">
        <v>6</v>
      </c>
      <c r="B16" s="1299">
        <v>1867</v>
      </c>
      <c r="C16" s="330"/>
      <c r="D16" s="330"/>
      <c r="E16" s="330"/>
      <c r="F16" s="330"/>
    </row>
    <row r="17" spans="1:6">
      <c r="A17" s="1298" t="s">
        <v>7</v>
      </c>
      <c r="B17" s="1299">
        <v>128</v>
      </c>
      <c r="C17" s="330"/>
      <c r="D17" s="330"/>
      <c r="E17" s="330"/>
      <c r="F17" s="330"/>
    </row>
    <row r="18" spans="1:6">
      <c r="A18" s="1298" t="s">
        <v>8</v>
      </c>
      <c r="B18" s="1299">
        <v>881</v>
      </c>
      <c r="C18" s="330"/>
      <c r="D18" s="330"/>
      <c r="E18" s="330"/>
      <c r="F18" s="330"/>
    </row>
    <row r="19" spans="1:6">
      <c r="A19" s="1298" t="s">
        <v>9</v>
      </c>
      <c r="B19" s="1299">
        <v>915</v>
      </c>
      <c r="C19" s="330"/>
      <c r="D19" s="330"/>
      <c r="E19" s="330"/>
      <c r="F19" s="330"/>
    </row>
    <row r="20" spans="1:6">
      <c r="A20" s="1298" t="s">
        <v>10</v>
      </c>
      <c r="B20" s="1299">
        <v>445</v>
      </c>
      <c r="C20" s="330"/>
      <c r="D20" s="330"/>
      <c r="E20" s="330"/>
      <c r="F20" s="330"/>
    </row>
    <row r="21" spans="1:6">
      <c r="A21" s="1298" t="s">
        <v>11</v>
      </c>
      <c r="B21" s="1299">
        <v>5628</v>
      </c>
      <c r="C21" s="330"/>
      <c r="D21" s="330"/>
      <c r="E21" s="330"/>
      <c r="F21" s="330"/>
    </row>
    <row r="22" spans="1:6">
      <c r="A22" s="1298" t="s">
        <v>12</v>
      </c>
      <c r="B22" s="1299">
        <v>14942</v>
      </c>
      <c r="C22" s="330"/>
      <c r="D22" s="330"/>
      <c r="E22" s="330"/>
      <c r="F22" s="330"/>
    </row>
    <row r="23" spans="1:6">
      <c r="A23" s="1298" t="s">
        <v>13</v>
      </c>
      <c r="B23" s="1299">
        <v>238</v>
      </c>
      <c r="C23" s="330"/>
      <c r="D23" s="330"/>
      <c r="E23" s="330"/>
      <c r="F23" s="330"/>
    </row>
    <row r="24" spans="1:6">
      <c r="A24" s="1298" t="s">
        <v>14</v>
      </c>
      <c r="B24" s="1299">
        <v>15</v>
      </c>
      <c r="C24" s="330"/>
      <c r="D24" s="330"/>
      <c r="E24" s="330"/>
      <c r="F24" s="330"/>
    </row>
    <row r="25" spans="1:6">
      <c r="A25" s="1298" t="s">
        <v>15</v>
      </c>
      <c r="B25" s="1299">
        <v>1612</v>
      </c>
      <c r="C25" s="330"/>
      <c r="D25" s="330"/>
      <c r="E25" s="330"/>
      <c r="F25" s="330"/>
    </row>
    <row r="26" spans="1:6">
      <c r="A26" s="1298" t="s">
        <v>16</v>
      </c>
      <c r="B26" s="1299">
        <v>380</v>
      </c>
      <c r="C26" s="330"/>
      <c r="D26" s="330"/>
      <c r="E26" s="330"/>
      <c r="F26" s="330"/>
    </row>
    <row r="27" spans="1:6">
      <c r="A27" s="1298" t="s">
        <v>17</v>
      </c>
      <c r="B27" s="1299">
        <v>1488</v>
      </c>
      <c r="C27" s="330"/>
      <c r="D27" s="330"/>
      <c r="E27" s="330"/>
      <c r="F27" s="330"/>
    </row>
    <row r="28" spans="1:6" s="43" customFormat="1">
      <c r="A28" s="1300" t="s">
        <v>18</v>
      </c>
      <c r="B28" s="1301">
        <v>51298</v>
      </c>
      <c r="C28" s="336"/>
      <c r="D28" s="336"/>
      <c r="E28" s="336"/>
      <c r="F28" s="336"/>
    </row>
    <row r="29" spans="1:6">
      <c r="A29" s="1300" t="s">
        <v>705</v>
      </c>
      <c r="B29" s="1301">
        <v>143</v>
      </c>
      <c r="C29" s="336"/>
      <c r="D29" s="336"/>
      <c r="E29" s="336"/>
      <c r="F29" s="336"/>
    </row>
    <row r="30" spans="1:6">
      <c r="A30" s="1293" t="s">
        <v>706</v>
      </c>
      <c r="B30" s="1302">
        <v>14</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3681</v>
      </c>
    </row>
    <row r="39" spans="1:6">
      <c r="A39" s="1298" t="s">
        <v>29</v>
      </c>
      <c r="B39" s="1298" t="s">
        <v>30</v>
      </c>
      <c r="C39" s="1299">
        <v>2867</v>
      </c>
      <c r="D39" s="1299">
        <v>50104380.829999998</v>
      </c>
      <c r="E39" s="1299">
        <v>4414</v>
      </c>
      <c r="F39" s="1299">
        <v>15276703.6</v>
      </c>
    </row>
    <row r="40" spans="1:6">
      <c r="A40" s="1298" t="s">
        <v>29</v>
      </c>
      <c r="B40" s="1298" t="s">
        <v>28</v>
      </c>
      <c r="C40" s="1299">
        <v>0</v>
      </c>
      <c r="D40" s="1299">
        <v>0</v>
      </c>
      <c r="E40" s="1299">
        <v>0</v>
      </c>
      <c r="F40" s="1299">
        <v>0</v>
      </c>
    </row>
    <row r="41" spans="1:6">
      <c r="A41" s="1298" t="s">
        <v>31</v>
      </c>
      <c r="B41" s="1298" t="s">
        <v>32</v>
      </c>
      <c r="C41" s="1299">
        <v>41</v>
      </c>
      <c r="D41" s="1299">
        <v>1188616.4509999999</v>
      </c>
      <c r="E41" s="1299">
        <v>91</v>
      </c>
      <c r="F41" s="1299">
        <v>951578.31099999999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38388.419000000002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23</v>
      </c>
      <c r="D48" s="1299">
        <v>658066.73400000005</v>
      </c>
      <c r="E48" s="1299">
        <v>25</v>
      </c>
      <c r="F48" s="1299">
        <v>1497859.4269999999</v>
      </c>
    </row>
    <row r="49" spans="1:6">
      <c r="A49" s="1298" t="s">
        <v>31</v>
      </c>
      <c r="B49" s="1298" t="s">
        <v>39</v>
      </c>
      <c r="C49" s="1299">
        <v>0</v>
      </c>
      <c r="D49" s="1299">
        <v>0</v>
      </c>
      <c r="E49" s="1299">
        <v>0</v>
      </c>
      <c r="F49" s="1299">
        <v>0</v>
      </c>
    </row>
    <row r="50" spans="1:6">
      <c r="A50" s="1298" t="s">
        <v>31</v>
      </c>
      <c r="B50" s="1298" t="s">
        <v>40</v>
      </c>
      <c r="C50" s="1299">
        <v>4</v>
      </c>
      <c r="D50" s="1299">
        <v>342926.44900000002</v>
      </c>
      <c r="E50" s="1299">
        <v>8</v>
      </c>
      <c r="F50" s="1299">
        <v>446353.02600000001</v>
      </c>
    </row>
    <row r="51" spans="1:6">
      <c r="A51" s="1298" t="s">
        <v>41</v>
      </c>
      <c r="B51" s="1298" t="s">
        <v>42</v>
      </c>
      <c r="C51" s="1299">
        <v>6</v>
      </c>
      <c r="D51" s="1299">
        <v>203816.45499999999</v>
      </c>
      <c r="E51" s="1299">
        <v>95</v>
      </c>
      <c r="F51" s="1299">
        <v>1845406.7009999999</v>
      </c>
    </row>
    <row r="52" spans="1:6">
      <c r="A52" s="1298" t="s">
        <v>41</v>
      </c>
      <c r="B52" s="1298" t="s">
        <v>28</v>
      </c>
      <c r="C52" s="1299">
        <v>5</v>
      </c>
      <c r="D52" s="1299">
        <v>205225.288</v>
      </c>
      <c r="E52" s="1299">
        <v>11</v>
      </c>
      <c r="F52" s="1299">
        <v>175856.04</v>
      </c>
    </row>
    <row r="53" spans="1:6">
      <c r="A53" s="1298" t="s">
        <v>43</v>
      </c>
      <c r="B53" s="1298" t="s">
        <v>44</v>
      </c>
      <c r="C53" s="1299">
        <v>66</v>
      </c>
      <c r="D53" s="1299">
        <v>1286884.426</v>
      </c>
      <c r="E53" s="1299">
        <v>182</v>
      </c>
      <c r="F53" s="1299">
        <v>621309.40899999999</v>
      </c>
    </row>
    <row r="54" spans="1:6">
      <c r="A54" s="1298" t="s">
        <v>45</v>
      </c>
      <c r="B54" s="1298" t="s">
        <v>46</v>
      </c>
      <c r="C54" s="1299">
        <v>0</v>
      </c>
      <c r="D54" s="1299">
        <v>0</v>
      </c>
      <c r="E54" s="1299">
        <v>1</v>
      </c>
      <c r="F54" s="1299">
        <v>548917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29</v>
      </c>
      <c r="D57" s="1299">
        <v>1691363.355</v>
      </c>
      <c r="E57" s="1299">
        <v>88</v>
      </c>
      <c r="F57" s="1299">
        <v>1303509.52</v>
      </c>
    </row>
    <row r="58" spans="1:6">
      <c r="A58" s="1298" t="s">
        <v>48</v>
      </c>
      <c r="B58" s="1298" t="s">
        <v>50</v>
      </c>
      <c r="C58" s="1299">
        <v>15</v>
      </c>
      <c r="D58" s="1299">
        <v>488411.989</v>
      </c>
      <c r="E58" s="1299">
        <v>22</v>
      </c>
      <c r="F58" s="1299">
        <v>260304.74299999999</v>
      </c>
    </row>
    <row r="59" spans="1:6">
      <c r="A59" s="1298" t="s">
        <v>48</v>
      </c>
      <c r="B59" s="1298" t="s">
        <v>51</v>
      </c>
      <c r="C59" s="1299">
        <v>40</v>
      </c>
      <c r="D59" s="1299">
        <v>1330977.4040000001</v>
      </c>
      <c r="E59" s="1299">
        <v>97</v>
      </c>
      <c r="F59" s="1299">
        <v>2493981.267</v>
      </c>
    </row>
    <row r="60" spans="1:6">
      <c r="A60" s="1298" t="s">
        <v>48</v>
      </c>
      <c r="B60" s="1298" t="s">
        <v>52</v>
      </c>
      <c r="C60" s="1299">
        <v>43</v>
      </c>
      <c r="D60" s="1299">
        <v>2374200.0660000001</v>
      </c>
      <c r="E60" s="1299">
        <v>58</v>
      </c>
      <c r="F60" s="1299">
        <v>1702674.382</v>
      </c>
    </row>
    <row r="61" spans="1:6">
      <c r="A61" s="1298" t="s">
        <v>48</v>
      </c>
      <c r="B61" s="1298" t="s">
        <v>53</v>
      </c>
      <c r="C61" s="1299">
        <v>91</v>
      </c>
      <c r="D61" s="1299">
        <v>1699129.899</v>
      </c>
      <c r="E61" s="1299">
        <v>142</v>
      </c>
      <c r="F61" s="1299">
        <v>1018431.351</v>
      </c>
    </row>
    <row r="62" spans="1:6">
      <c r="A62" s="1298" t="s">
        <v>48</v>
      </c>
      <c r="B62" s="1298" t="s">
        <v>54</v>
      </c>
      <c r="C62" s="1299">
        <v>5</v>
      </c>
      <c r="D62" s="1299">
        <v>601256.429</v>
      </c>
      <c r="E62" s="1299">
        <v>5</v>
      </c>
      <c r="F62" s="1299">
        <v>77789.876000000004</v>
      </c>
    </row>
    <row r="63" spans="1:6">
      <c r="A63" s="1298" t="s">
        <v>48</v>
      </c>
      <c r="B63" s="1298" t="s">
        <v>28</v>
      </c>
      <c r="C63" s="1299">
        <v>72</v>
      </c>
      <c r="D63" s="1299">
        <v>3929616.5750000002</v>
      </c>
      <c r="E63" s="1299">
        <v>84</v>
      </c>
      <c r="F63" s="1299">
        <v>1861287.7139999999</v>
      </c>
    </row>
    <row r="64" spans="1:6">
      <c r="A64" s="1298" t="s">
        <v>55</v>
      </c>
      <c r="B64" s="1298" t="s">
        <v>56</v>
      </c>
      <c r="C64" s="1299">
        <v>0</v>
      </c>
      <c r="D64" s="1299">
        <v>0</v>
      </c>
      <c r="E64" s="1299">
        <v>0</v>
      </c>
      <c r="F64" s="1299">
        <v>0</v>
      </c>
    </row>
    <row r="65" spans="1:6">
      <c r="A65" s="1298" t="s">
        <v>55</v>
      </c>
      <c r="B65" s="1298" t="s">
        <v>28</v>
      </c>
      <c r="C65" s="1299">
        <v>2</v>
      </c>
      <c r="D65" s="1299">
        <v>52467.894999999997</v>
      </c>
      <c r="E65" s="1299">
        <v>1</v>
      </c>
      <c r="F65" s="1299">
        <v>9489.4030000000002</v>
      </c>
    </row>
    <row r="66" spans="1:6">
      <c r="A66" s="1298" t="s">
        <v>55</v>
      </c>
      <c r="B66" s="1298" t="s">
        <v>57</v>
      </c>
      <c r="C66" s="1299">
        <v>0</v>
      </c>
      <c r="D66" s="1299">
        <v>0</v>
      </c>
      <c r="E66" s="1299">
        <v>7</v>
      </c>
      <c r="F66" s="1299">
        <v>138337.079</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63835.472999999998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78900193</v>
      </c>
      <c r="E73" s="450"/>
      <c r="F73" s="330"/>
    </row>
    <row r="74" spans="1:6">
      <c r="A74" s="1298" t="s">
        <v>63</v>
      </c>
      <c r="B74" s="1298" t="s">
        <v>647</v>
      </c>
      <c r="C74" s="1312" t="s">
        <v>649</v>
      </c>
      <c r="D74" s="1313">
        <v>6316511.5</v>
      </c>
      <c r="E74" s="450"/>
      <c r="F74" s="330"/>
    </row>
    <row r="75" spans="1:6">
      <c r="A75" s="1298" t="s">
        <v>64</v>
      </c>
      <c r="B75" s="1298" t="s">
        <v>646</v>
      </c>
      <c r="C75" s="1312" t="s">
        <v>650</v>
      </c>
      <c r="D75" s="1313">
        <v>14632396</v>
      </c>
      <c r="E75" s="450"/>
      <c r="F75" s="330"/>
    </row>
    <row r="76" spans="1:6">
      <c r="A76" s="1298" t="s">
        <v>64</v>
      </c>
      <c r="B76" s="1298" t="s">
        <v>647</v>
      </c>
      <c r="C76" s="1312" t="s">
        <v>651</v>
      </c>
      <c r="D76" s="1313">
        <v>512435.5</v>
      </c>
      <c r="E76" s="450"/>
      <c r="F76" s="330"/>
    </row>
    <row r="77" spans="1:6">
      <c r="A77" s="1298" t="s">
        <v>65</v>
      </c>
      <c r="B77" s="1298" t="s">
        <v>646</v>
      </c>
      <c r="C77" s="1312" t="s">
        <v>652</v>
      </c>
      <c r="D77" s="1313">
        <v>27002302</v>
      </c>
      <c r="E77" s="450"/>
      <c r="F77" s="330"/>
    </row>
    <row r="78" spans="1:6">
      <c r="A78" s="1293" t="s">
        <v>65</v>
      </c>
      <c r="B78" s="1293" t="s">
        <v>647</v>
      </c>
      <c r="C78" s="1293" t="s">
        <v>653</v>
      </c>
      <c r="D78" s="1314">
        <v>10217778</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178837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4586.5812000165261</v>
      </c>
      <c r="C91" s="330"/>
      <c r="D91" s="330"/>
      <c r="E91" s="330"/>
      <c r="F91" s="330"/>
    </row>
    <row r="92" spans="1:6">
      <c r="A92" s="1293" t="s">
        <v>68</v>
      </c>
      <c r="B92" s="1294">
        <v>680.18833034955799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1341</v>
      </c>
      <c r="C97" s="330"/>
      <c r="D97" s="330"/>
      <c r="E97" s="330"/>
      <c r="F97" s="330"/>
    </row>
    <row r="98" spans="1:6">
      <c r="A98" s="1298" t="s">
        <v>71</v>
      </c>
      <c r="B98" s="1299">
        <v>4</v>
      </c>
      <c r="C98" s="330"/>
      <c r="D98" s="330"/>
      <c r="E98" s="330"/>
      <c r="F98" s="330"/>
    </row>
    <row r="99" spans="1:6">
      <c r="A99" s="1298" t="s">
        <v>72</v>
      </c>
      <c r="B99" s="1299">
        <v>27</v>
      </c>
      <c r="C99" s="330"/>
      <c r="D99" s="330"/>
      <c r="E99" s="330"/>
      <c r="F99" s="330"/>
    </row>
    <row r="100" spans="1:6">
      <c r="A100" s="1298" t="s">
        <v>73</v>
      </c>
      <c r="B100" s="1299">
        <v>137</v>
      </c>
      <c r="C100" s="330"/>
      <c r="D100" s="330"/>
      <c r="E100" s="330"/>
      <c r="F100" s="330"/>
    </row>
    <row r="101" spans="1:6">
      <c r="A101" s="1298" t="s">
        <v>74</v>
      </c>
      <c r="B101" s="1299">
        <v>112</v>
      </c>
      <c r="C101" s="330"/>
      <c r="D101" s="330"/>
      <c r="E101" s="330"/>
      <c r="F101" s="330"/>
    </row>
    <row r="102" spans="1:6">
      <c r="A102" s="1298" t="s">
        <v>75</v>
      </c>
      <c r="B102" s="1299">
        <v>26</v>
      </c>
      <c r="C102" s="330"/>
      <c r="D102" s="330"/>
      <c r="E102" s="330"/>
      <c r="F102" s="330"/>
    </row>
    <row r="103" spans="1:6">
      <c r="A103" s="1298" t="s">
        <v>76</v>
      </c>
      <c r="B103" s="1299">
        <v>61</v>
      </c>
      <c r="C103" s="330"/>
      <c r="D103" s="330"/>
      <c r="E103" s="330"/>
      <c r="F103" s="330"/>
    </row>
    <row r="104" spans="1:6">
      <c r="A104" s="1298" t="s">
        <v>77</v>
      </c>
      <c r="B104" s="1299">
        <v>1935</v>
      </c>
      <c r="C104" s="330"/>
      <c r="D104" s="330"/>
      <c r="E104" s="330"/>
      <c r="F104" s="330"/>
    </row>
    <row r="105" spans="1:6">
      <c r="A105" s="1293" t="s">
        <v>78</v>
      </c>
      <c r="B105" s="1302">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48</v>
      </c>
      <c r="C123" s="1299">
        <v>25</v>
      </c>
      <c r="D123" s="330"/>
      <c r="E123" s="330"/>
      <c r="F123" s="330"/>
    </row>
    <row r="124" spans="1:6" s="43" customFormat="1">
      <c r="A124" s="1300" t="s">
        <v>88</v>
      </c>
      <c r="B124" s="1321">
        <v>1</v>
      </c>
      <c r="C124" s="1321">
        <v>1</v>
      </c>
      <c r="D124" s="336"/>
      <c r="E124" s="336"/>
      <c r="F124" s="336"/>
    </row>
    <row r="125" spans="1:6">
      <c r="A125" s="1293" t="s">
        <v>882</v>
      </c>
      <c r="B125" s="1321">
        <v>1</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191</v>
      </c>
      <c r="C129" s="330"/>
      <c r="D129" s="330"/>
      <c r="E129" s="330"/>
      <c r="F129" s="330"/>
    </row>
    <row r="130" spans="1:6">
      <c r="A130" s="1298" t="s">
        <v>294</v>
      </c>
      <c r="B130" s="1299">
        <v>5</v>
      </c>
      <c r="C130" s="330"/>
      <c r="D130" s="330"/>
      <c r="E130" s="330"/>
      <c r="F130" s="330"/>
    </row>
    <row r="131" spans="1:6">
      <c r="A131" s="1298" t="s">
        <v>295</v>
      </c>
      <c r="B131" s="1299">
        <v>2</v>
      </c>
      <c r="C131" s="330"/>
      <c r="D131" s="330"/>
      <c r="E131" s="330"/>
      <c r="F131" s="330"/>
    </row>
    <row r="132" spans="1:6">
      <c r="A132" s="1293" t="s">
        <v>296</v>
      </c>
      <c r="B132" s="1294">
        <v>41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34775.912485314038</v>
      </c>
      <c r="C3" s="43" t="s">
        <v>169</v>
      </c>
      <c r="D3" s="43"/>
      <c r="E3" s="154"/>
      <c r="F3" s="43"/>
      <c r="G3" s="43"/>
      <c r="H3" s="43"/>
      <c r="I3" s="43"/>
      <c r="J3" s="43"/>
      <c r="K3" s="96"/>
    </row>
    <row r="4" spans="1:11">
      <c r="A4" s="358" t="s">
        <v>170</v>
      </c>
      <c r="B4" s="49">
        <f>IF(ISERROR('SEAP template'!B78+'SEAP template'!C78),0,'SEAP template'!B78+'SEAP template'!C78)</f>
        <v>5278.102863699417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2.5437037037037031</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0.18753094208051643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3.6436836836836832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16.234234234234233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0.22444444444444445</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548.91700000000003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548.91700000000003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0.18753094208051643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102.93892213401084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15276.703599999999</v>
      </c>
      <c r="C5" s="17">
        <f>IF(ISERROR('Eigen informatie GS &amp; warmtenet'!B59),0,'Eigen informatie GS &amp; warmtenet'!B59)</f>
        <v>0</v>
      </c>
      <c r="D5" s="30">
        <f>(SUM(HH_hh_gas_kWh,HH_rest_gas_kWh)/1000)*0.902</f>
        <v>45194.151508659997</v>
      </c>
      <c r="E5" s="17">
        <f>B46*B57</f>
        <v>5237.636724669409</v>
      </c>
      <c r="F5" s="17">
        <f>B51*B62</f>
        <v>11655.377815270984</v>
      </c>
      <c r="G5" s="18"/>
      <c r="H5" s="17"/>
      <c r="I5" s="17"/>
      <c r="J5" s="17">
        <f>B50*B61+C50*C61</f>
        <v>0</v>
      </c>
      <c r="K5" s="17"/>
      <c r="L5" s="17"/>
      <c r="M5" s="17"/>
      <c r="N5" s="17">
        <f>B48*B59+C48*C59</f>
        <v>27108.302618559788</v>
      </c>
      <c r="O5" s="17">
        <f>B69*B70*B71</f>
        <v>430.51893360698591</v>
      </c>
      <c r="P5" s="17">
        <f>B77*B78*B79/1000-B77*B78*B79/1000/B80</f>
        <v>948.05633769165206</v>
      </c>
    </row>
    <row r="6" spans="1:16">
      <c r="A6" s="16" t="s">
        <v>611</v>
      </c>
      <c r="B6" s="783">
        <f>kWh_PV_kleiner_dan_10kW</f>
        <v>4586.5812000165261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19863.284800016525</v>
      </c>
      <c r="C8" s="21">
        <f>C5</f>
        <v>0</v>
      </c>
      <c r="D8" s="21">
        <f>D5</f>
        <v>45194.151508659997</v>
      </c>
      <c r="E8" s="21">
        <f>E5</f>
        <v>5237.636724669409</v>
      </c>
      <c r="F8" s="21">
        <f>F5</f>
        <v>11655.377815270984</v>
      </c>
      <c r="G8" s="21"/>
      <c r="H8" s="21"/>
      <c r="I8" s="21"/>
      <c r="J8" s="21">
        <f>J5</f>
        <v>0</v>
      </c>
      <c r="K8" s="21"/>
      <c r="L8" s="21">
        <f>L5</f>
        <v>0</v>
      </c>
      <c r="M8" s="21">
        <f>M5</f>
        <v>0</v>
      </c>
      <c r="N8" s="21">
        <f>N5</f>
        <v>27108.302618559788</v>
      </c>
      <c r="O8" s="21">
        <f>O5</f>
        <v>430.51893360698591</v>
      </c>
      <c r="P8" s="21">
        <f>P5</f>
        <v>948.05633769165206</v>
      </c>
    </row>
    <row r="9" spans="1:16">
      <c r="B9" s="19"/>
      <c r="C9" s="19"/>
      <c r="D9" s="258"/>
      <c r="E9" s="19"/>
      <c r="F9" s="19"/>
      <c r="G9" s="19"/>
      <c r="H9" s="19"/>
      <c r="I9" s="19"/>
      <c r="J9" s="19"/>
      <c r="K9" s="19"/>
      <c r="L9" s="19"/>
      <c r="M9" s="19"/>
      <c r="N9" s="19"/>
      <c r="O9" s="19"/>
      <c r="P9" s="19"/>
    </row>
    <row r="10" spans="1:16">
      <c r="A10" s="24" t="s">
        <v>213</v>
      </c>
      <c r="B10" s="25">
        <f ca="1">'EF ele_warmte'!B12</f>
        <v>0.18753094208051643</v>
      </c>
      <c r="C10" s="25">
        <f ca="1">'EF ele_warmte'!B22</f>
        <v>0.22444444444444445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3724.9805113607013</v>
      </c>
      <c r="C12" s="23">
        <f ca="1">C10*C8</f>
        <v>0</v>
      </c>
      <c r="D12" s="23">
        <f>D8*D10</f>
        <v>9129.2186047493196</v>
      </c>
      <c r="E12" s="23">
        <f>E10*E8</f>
        <v>1188.9435364999558</v>
      </c>
      <c r="F12" s="23">
        <f>F10*F8</f>
        <v>3111.9858766773527</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1341</v>
      </c>
      <c r="C18" s="166" t="s">
        <v>110</v>
      </c>
      <c r="D18" s="228"/>
      <c r="E18" s="15"/>
    </row>
    <row r="19" spans="1:7">
      <c r="A19" s="171" t="s">
        <v>71</v>
      </c>
      <c r="B19" s="37">
        <f>aantalw2001_ander</f>
        <v>4</v>
      </c>
      <c r="C19" s="166" t="s">
        <v>110</v>
      </c>
      <c r="D19" s="229"/>
      <c r="E19" s="15"/>
    </row>
    <row r="20" spans="1:7">
      <c r="A20" s="171" t="s">
        <v>72</v>
      </c>
      <c r="B20" s="37">
        <f>aantalw2001_propaan</f>
        <v>27</v>
      </c>
      <c r="C20" s="167">
        <f>IF(ISERROR(B20/SUM($B$20,$B$21,$B$22)*100),0,B20/SUM($B$20,$B$21,$B$22)*100)</f>
        <v>9.7826086956521738</v>
      </c>
      <c r="D20" s="229"/>
      <c r="E20" s="15"/>
    </row>
    <row r="21" spans="1:7">
      <c r="A21" s="171" t="s">
        <v>73</v>
      </c>
      <c r="B21" s="37">
        <f>aantalw2001_elektriciteit</f>
        <v>137</v>
      </c>
      <c r="C21" s="167">
        <f>IF(ISERROR(B21/SUM($B$20,$B$21,$B$22)*100),0,B21/SUM($B$20,$B$21,$B$22)*100)</f>
        <v>49.637681159420289</v>
      </c>
      <c r="D21" s="229"/>
      <c r="E21" s="15"/>
    </row>
    <row r="22" spans="1:7">
      <c r="A22" s="171" t="s">
        <v>74</v>
      </c>
      <c r="B22" s="37">
        <f>aantalw2001_hout</f>
        <v>112</v>
      </c>
      <c r="C22" s="167">
        <f>IF(ISERROR(B22/SUM($B$20,$B$21,$B$22)*100),0,B22/SUM($B$20,$B$21,$B$22)*100)</f>
        <v>40.579710144927539</v>
      </c>
      <c r="D22" s="229"/>
      <c r="E22" s="15"/>
    </row>
    <row r="23" spans="1:7">
      <c r="A23" s="171" t="s">
        <v>75</v>
      </c>
      <c r="B23" s="37">
        <f>aantalw2001_niet_gespec</f>
        <v>26</v>
      </c>
      <c r="C23" s="166" t="s">
        <v>110</v>
      </c>
      <c r="D23" s="228"/>
      <c r="E23" s="15"/>
    </row>
    <row r="24" spans="1:7">
      <c r="A24" s="171" t="s">
        <v>76</v>
      </c>
      <c r="B24" s="37">
        <f>aantalw2001_steenkool</f>
        <v>61</v>
      </c>
      <c r="C24" s="166" t="s">
        <v>110</v>
      </c>
      <c r="D24" s="229"/>
      <c r="E24" s="15"/>
    </row>
    <row r="25" spans="1:7">
      <c r="A25" s="171" t="s">
        <v>77</v>
      </c>
      <c r="B25" s="37">
        <f>aantalw2001_stookolie</f>
        <v>1935</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818</v>
      </c>
      <c r="B28" s="37">
        <f>aantalHuishoudens</f>
        <v>4504</v>
      </c>
      <c r="C28" s="36"/>
      <c r="D28" s="228"/>
    </row>
    <row r="29" spans="1:7" s="15" customFormat="1">
      <c r="A29" s="230" t="s">
        <v>819</v>
      </c>
      <c r="B29" s="37">
        <f>SUM(HH_hh_gas_aantal,HH_rest_gas_aantal)</f>
        <v>2867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2867</v>
      </c>
      <c r="C32" s="167">
        <f>IF(ISERROR(B32/SUM($B$32,$B$34,$B$35,$B$36,$B$38,$B$39)*100),0,B32/SUM($B$32,$B$34,$B$35,$B$36,$B$38,$B$39)*100)</f>
        <v>64.952424105120073</v>
      </c>
      <c r="D32" s="233"/>
      <c r="G32" s="15"/>
    </row>
    <row r="33" spans="1:7">
      <c r="A33" s="171" t="s">
        <v>71</v>
      </c>
      <c r="B33" s="34" t="s">
        <v>110</v>
      </c>
      <c r="C33" s="167"/>
      <c r="D33" s="233"/>
      <c r="G33" s="15"/>
    </row>
    <row r="34" spans="1:7">
      <c r="A34" s="171" t="s">
        <v>72</v>
      </c>
      <c r="B34" s="33">
        <f>IF((($B$28-$B$32-$B$39-$B$77-$B$38)*C20/100)&lt;0,0,($B$28-$B$32-$B$39-$B$77-$B$38)*C20/100)</f>
        <v>96.397826086956542</v>
      </c>
      <c r="C34" s="167">
        <f>IF(ISERROR(B34/SUM($B$32,$B$34,$B$35,$B$36,$B$38,$B$39)*100),0,B34/SUM($B$32,$B$34,$B$35,$B$36,$B$38,$B$39)*100)</f>
        <v>2.183910876460275</v>
      </c>
      <c r="D34" s="233"/>
      <c r="G34" s="15"/>
    </row>
    <row r="35" spans="1:7">
      <c r="A35" s="171" t="s">
        <v>73</v>
      </c>
      <c r="B35" s="33">
        <f>IF((($B$28-$B$32-$B$39-$B$77-$B$38)*C21/100)&lt;0,0,($B$28-$B$32-$B$39-$B$77-$B$38)*C21/100)</f>
        <v>489.12971014492757</v>
      </c>
      <c r="C35" s="167">
        <f>IF(ISERROR(B35/SUM($B$32,$B$34,$B$35,$B$36,$B$38,$B$39)*100),0,B35/SUM($B$32,$B$34,$B$35,$B$36,$B$38,$B$39)*100)</f>
        <v>11.081325558335468</v>
      </c>
      <c r="D35" s="233"/>
      <c r="G35" s="15"/>
    </row>
    <row r="36" spans="1:7">
      <c r="A36" s="171" t="s">
        <v>74</v>
      </c>
      <c r="B36" s="33">
        <f>IF((($B$28-$B$32-$B$39-$B$77-$B$38)*C22/100)&lt;0,0,($B$28-$B$32-$B$39-$B$77-$B$38)*C22/100)</f>
        <v>399.87246376811601</v>
      </c>
      <c r="C36" s="167">
        <f>IF(ISERROR(B36/SUM($B$32,$B$34,$B$35,$B$36,$B$38,$B$39)*100),0,B36/SUM($B$32,$B$34,$B$35,$B$36,$B$38,$B$39)*100)</f>
        <v>9.0591858579092879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561.59999999999991</v>
      </c>
      <c r="C39" s="167">
        <f>IF(ISERROR(B39/SUM($B$32,$B$34,$B$35,$B$36,$B$38,$B$39)*100),0,B39/SUM($B$32,$B$34,$B$35,$B$36,$B$38,$B$39)*100)</f>
        <v>12.723153602174897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2867</v>
      </c>
      <c r="C44" s="34" t="s">
        <v>110</v>
      </c>
      <c r="D44" s="174"/>
    </row>
    <row r="45" spans="1:7">
      <c r="A45" s="171" t="s">
        <v>71</v>
      </c>
      <c r="B45" s="33" t="str">
        <f t="shared" si="0"/>
        <v>-</v>
      </c>
      <c r="C45" s="34" t="s">
        <v>110</v>
      </c>
      <c r="D45" s="174"/>
    </row>
    <row r="46" spans="1:7">
      <c r="A46" s="171" t="s">
        <v>72</v>
      </c>
      <c r="B46" s="33">
        <f t="shared" si="0"/>
        <v>96.397826086956542</v>
      </c>
      <c r="C46" s="34" t="s">
        <v>110</v>
      </c>
      <c r="D46" s="174"/>
    </row>
    <row r="47" spans="1:7">
      <c r="A47" s="171" t="s">
        <v>73</v>
      </c>
      <c r="B47" s="33">
        <f t="shared" si="0"/>
        <v>489.12971014492757</v>
      </c>
      <c r="C47" s="34" t="s">
        <v>110</v>
      </c>
      <c r="D47" s="174"/>
    </row>
    <row r="48" spans="1:7">
      <c r="A48" s="171" t="s">
        <v>74</v>
      </c>
      <c r="B48" s="33">
        <f t="shared" si="0"/>
        <v>399.87246376811601</v>
      </c>
      <c r="C48" s="33">
        <f>B48*10</f>
        <v>3998.7246376811599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561.59999999999991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217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90</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8717.9788529999987</v>
      </c>
      <c r="C5" s="17">
        <f>IF(ISERROR('Eigen informatie GS &amp; warmtenet'!B60),0,'Eigen informatie GS &amp; warmtenet'!B60)</f>
        <v>0</v>
      </c>
      <c r="D5" s="30">
        <f>SUM(D6:D12)</f>
        <v>10927.690056734002</v>
      </c>
      <c r="E5" s="17">
        <f>SUM(E6:E12)</f>
        <v>121.91602004072615</v>
      </c>
      <c r="F5" s="17">
        <f>SUM(F6:F12)</f>
        <v>1014.2681256910155</v>
      </c>
      <c r="G5" s="18"/>
      <c r="H5" s="17"/>
      <c r="I5" s="17"/>
      <c r="J5" s="17">
        <f>SUM(J6:J12)</f>
        <v>2.5695508241545793E-2</v>
      </c>
      <c r="K5" s="17"/>
      <c r="L5" s="17"/>
      <c r="M5" s="17"/>
      <c r="N5" s="17">
        <f>SUM(N6:N12)</f>
        <v>1007.2805646944184</v>
      </c>
      <c r="O5" s="17">
        <f>B38*B39*B40</f>
        <v>24.486303829205774</v>
      </c>
      <c r="P5" s="17">
        <f>B46*B47*B48/1000-B46*B47*B48/1000/B49</f>
        <v>157.61741491948504</v>
      </c>
      <c r="R5" s="32"/>
    </row>
    <row r="6" spans="1:18">
      <c r="A6" s="32" t="s">
        <v>53</v>
      </c>
      <c r="B6" s="37">
        <f>B26</f>
        <v>1018.4313510000001</v>
      </c>
      <c r="C6" s="33"/>
      <c r="D6" s="37">
        <f>IF(ISERROR(TER_kantoor_gas_kWh/1000),0,TER_kantoor_gas_kWh/1000)*0.902</f>
        <v>1532.6151688980001</v>
      </c>
      <c r="E6" s="33">
        <f>$C$26*'E Balans VL '!I12/100/3.6*1000000</f>
        <v>8.1949905466806747</v>
      </c>
      <c r="F6" s="33">
        <f>$C$26*('E Balans VL '!L12+'E Balans VL '!N12)/100/3.6*1000000</f>
        <v>124.513946214561</v>
      </c>
      <c r="G6" s="34"/>
      <c r="H6" s="33"/>
      <c r="I6" s="33"/>
      <c r="J6" s="33">
        <f>$C$26*('E Balans VL '!D12+'E Balans VL '!E12)/100/3.6*1000000</f>
        <v>0</v>
      </c>
      <c r="K6" s="33"/>
      <c r="L6" s="33"/>
      <c r="M6" s="33"/>
      <c r="N6" s="33">
        <f>$C$26*'E Balans VL '!Y12/100/3.6*1000000</f>
        <v>0.54735669884667393</v>
      </c>
      <c r="O6" s="33"/>
      <c r="P6" s="33"/>
      <c r="R6" s="32"/>
    </row>
    <row r="7" spans="1:18">
      <c r="A7" s="32" t="s">
        <v>52</v>
      </c>
      <c r="B7" s="37">
        <f t="shared" ref="B7:B12" si="0">B27</f>
        <v>1702.6743819999999</v>
      </c>
      <c r="C7" s="33"/>
      <c r="D7" s="37">
        <f>IF(ISERROR(TER_horeca_gas_kWh/1000),0,TER_horeca_gas_kWh/1000)*0.902</f>
        <v>2141.5284595320004</v>
      </c>
      <c r="E7" s="33">
        <f>$C$27*'E Balans VL '!I9/100/3.6*1000000</f>
        <v>18.282541825361317</v>
      </c>
      <c r="F7" s="33">
        <f>$C$27*('E Balans VL '!L9+'E Balans VL '!N9)/100/3.6*1000000</f>
        <v>204.79044052673342</v>
      </c>
      <c r="G7" s="34"/>
      <c r="H7" s="33"/>
      <c r="I7" s="33"/>
      <c r="J7" s="33">
        <f>$C$27*('E Balans VL '!D9+'E Balans VL '!E9)/100/3.6*1000000</f>
        <v>0</v>
      </c>
      <c r="K7" s="33"/>
      <c r="L7" s="33"/>
      <c r="M7" s="33"/>
      <c r="N7" s="33">
        <f>$C$27*'E Balans VL '!Y9/100/3.6*1000000</f>
        <v>0.25526539906505524</v>
      </c>
      <c r="O7" s="33"/>
      <c r="P7" s="33"/>
      <c r="R7" s="32"/>
    </row>
    <row r="8" spans="1:18">
      <c r="A8" s="6" t="s">
        <v>51</v>
      </c>
      <c r="B8" s="37">
        <f t="shared" si="0"/>
        <v>2493.9812670000001</v>
      </c>
      <c r="C8" s="33"/>
      <c r="D8" s="37">
        <f>IF(ISERROR(TER_handel_gas_kWh/1000),0,TER_handel_gas_kWh/1000)*0.902</f>
        <v>1200.5416184080002</v>
      </c>
      <c r="E8" s="33">
        <f>$C$28*'E Balans VL '!I13/100/3.6*1000000</f>
        <v>66.930821956699063</v>
      </c>
      <c r="F8" s="33">
        <f>$C$28*('E Balans VL '!L13+'E Balans VL '!N13)/100/3.6*1000000</f>
        <v>238.00267935643228</v>
      </c>
      <c r="G8" s="34"/>
      <c r="H8" s="33"/>
      <c r="I8" s="33"/>
      <c r="J8" s="33">
        <f>$C$28*('E Balans VL '!D13+'E Balans VL '!E13)/100/3.6*1000000</f>
        <v>0</v>
      </c>
      <c r="K8" s="33"/>
      <c r="L8" s="33"/>
      <c r="M8" s="33"/>
      <c r="N8" s="33">
        <f>$C$28*'E Balans VL '!Y13/100/3.6*1000000</f>
        <v>0.9886425317671873</v>
      </c>
      <c r="O8" s="33"/>
      <c r="P8" s="33"/>
      <c r="R8" s="32"/>
    </row>
    <row r="9" spans="1:18">
      <c r="A9" s="32" t="s">
        <v>50</v>
      </c>
      <c r="B9" s="37">
        <f t="shared" si="0"/>
        <v>260.30474299999997</v>
      </c>
      <c r="C9" s="33"/>
      <c r="D9" s="37">
        <f>IF(ISERROR(TER_gezond_gas_kWh/1000),0,TER_gezond_gas_kWh/1000)*0.902</f>
        <v>440.54761407800004</v>
      </c>
      <c r="E9" s="33">
        <f>$C$29*'E Balans VL '!I10/100/3.6*1000000</f>
        <v>0.4878958472868743</v>
      </c>
      <c r="F9" s="33">
        <f>$C$29*('E Balans VL '!L10+'E Balans VL '!N10)/100/3.6*1000000</f>
        <v>21.399424972370721</v>
      </c>
      <c r="G9" s="34"/>
      <c r="H9" s="33"/>
      <c r="I9" s="33"/>
      <c r="J9" s="33">
        <f>$C$29*('E Balans VL '!D10+'E Balans VL '!E10)/100/3.6*1000000</f>
        <v>0</v>
      </c>
      <c r="K9" s="33"/>
      <c r="L9" s="33"/>
      <c r="M9" s="33"/>
      <c r="N9" s="33">
        <f>$C$29*'E Balans VL '!Y10/100/3.6*1000000</f>
        <v>2.0253651157844743</v>
      </c>
      <c r="O9" s="33"/>
      <c r="P9" s="33"/>
      <c r="R9" s="32"/>
    </row>
    <row r="10" spans="1:18">
      <c r="A10" s="32" t="s">
        <v>49</v>
      </c>
      <c r="B10" s="37">
        <f t="shared" si="0"/>
        <v>1303.5095200000001</v>
      </c>
      <c r="C10" s="33"/>
      <c r="D10" s="37">
        <f>IF(ISERROR(TER_ander_gas_kWh/1000),0,TER_ander_gas_kWh/1000)*0.902</f>
        <v>1525.6097462099999</v>
      </c>
      <c r="E10" s="33">
        <f>$C$30*'E Balans VL '!I14/100/3.6*1000000</f>
        <v>2.0093731333378813</v>
      </c>
      <c r="F10" s="33">
        <f>$C$30*('E Balans VL '!L14+'E Balans VL '!N14)/100/3.6*1000000</f>
        <v>202.37021283358729</v>
      </c>
      <c r="G10" s="34"/>
      <c r="H10" s="33"/>
      <c r="I10" s="33"/>
      <c r="J10" s="33">
        <f>$C$30*('E Balans VL '!D14+'E Balans VL '!E14)/100/3.6*1000000</f>
        <v>2.2128448815466609E-2</v>
      </c>
      <c r="K10" s="33"/>
      <c r="L10" s="33"/>
      <c r="M10" s="33"/>
      <c r="N10" s="33">
        <f>$C$30*'E Balans VL '!Y14/100/3.6*1000000</f>
        <v>862.36012126547894</v>
      </c>
      <c r="O10" s="33"/>
      <c r="P10" s="33"/>
      <c r="R10" s="32"/>
    </row>
    <row r="11" spans="1:18">
      <c r="A11" s="32" t="s">
        <v>54</v>
      </c>
      <c r="B11" s="37">
        <f t="shared" si="0"/>
        <v>77.789876000000007</v>
      </c>
      <c r="C11" s="33"/>
      <c r="D11" s="37">
        <f>IF(ISERROR(TER_onderwijs_gas_kWh/1000),0,TER_onderwijs_gas_kWh/1000)*0.902</f>
        <v>542.333298958</v>
      </c>
      <c r="E11" s="33">
        <f>$C$31*'E Balans VL '!I11/100/3.6*1000000</f>
        <v>1.9841731472430231</v>
      </c>
      <c r="F11" s="33">
        <f>$C$31*('E Balans VL '!L11+'E Balans VL '!N11)/100/3.6*1000000</f>
        <v>9.3549647751955405</v>
      </c>
      <c r="G11" s="34"/>
      <c r="H11" s="33"/>
      <c r="I11" s="33"/>
      <c r="J11" s="33">
        <f>$C$31*('E Balans VL '!D11+'E Balans VL '!E11)/100/3.6*1000000</f>
        <v>0</v>
      </c>
      <c r="K11" s="33"/>
      <c r="L11" s="33"/>
      <c r="M11" s="33"/>
      <c r="N11" s="33">
        <f>$C$31*'E Balans VL '!Y11/100/3.6*1000000</f>
        <v>0.17300278613467041</v>
      </c>
      <c r="O11" s="33"/>
      <c r="P11" s="33"/>
      <c r="R11" s="32"/>
    </row>
    <row r="12" spans="1:18">
      <c r="A12" s="32" t="s">
        <v>259</v>
      </c>
      <c r="B12" s="37">
        <f t="shared" si="0"/>
        <v>1861.2877139999998</v>
      </c>
      <c r="C12" s="33"/>
      <c r="D12" s="37">
        <f>IF(ISERROR(TER_rest_gas_kWh/1000),0,TER_rest_gas_kWh/1000)*0.902</f>
        <v>3544.5141506499999</v>
      </c>
      <c r="E12" s="33">
        <f>$C$32*'E Balans VL '!I8/100/3.6*1000000</f>
        <v>24.026223584117325</v>
      </c>
      <c r="F12" s="33">
        <f>$C$32*('E Balans VL '!L8+'E Balans VL '!N8)/100/3.6*1000000</f>
        <v>213.83645701213521</v>
      </c>
      <c r="G12" s="34"/>
      <c r="H12" s="33"/>
      <c r="I12" s="33"/>
      <c r="J12" s="33">
        <f>$C$32*('E Balans VL '!D8+'E Balans VL '!E8)/100/3.6*1000000</f>
        <v>3.5670594260791824E-3</v>
      </c>
      <c r="K12" s="33"/>
      <c r="L12" s="33"/>
      <c r="M12" s="33"/>
      <c r="N12" s="33">
        <f>$C$32*'E Balans VL '!Y8/100/3.6*1000000</f>
        <v>140.93081089734144</v>
      </c>
      <c r="O12" s="33"/>
      <c r="P12" s="33"/>
      <c r="R12" s="32"/>
    </row>
    <row r="13" spans="1:18">
      <c r="A13" s="16" t="s">
        <v>478</v>
      </c>
      <c r="B13" s="247">
        <f ca="1">'lokale energieproductie'!N38+'lokale energieproductie'!N31</f>
        <v>11.333333333333332</v>
      </c>
      <c r="C13" s="247">
        <f ca="1">'lokale energieproductie'!O38+'lokale energieproductie'!O31</f>
        <v>16.234234234234233</v>
      </c>
      <c r="D13" s="308">
        <f ca="1">('lokale energieproductie'!P31+'lokale energieproductie'!P38)*(-1)</f>
        <v>-30.630630630630627</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8729.3121863333326</v>
      </c>
      <c r="C16" s="21">
        <f t="shared" ca="1" si="1"/>
        <v>16.234234234234233</v>
      </c>
      <c r="D16" s="21">
        <f t="shared" ca="1" si="1"/>
        <v>10897.059426103371</v>
      </c>
      <c r="E16" s="21">
        <f t="shared" si="1"/>
        <v>121.91602004072615</v>
      </c>
      <c r="F16" s="21">
        <f t="shared" ca="1" si="1"/>
        <v>1014.2681256910155</v>
      </c>
      <c r="G16" s="21">
        <f t="shared" si="1"/>
        <v>0</v>
      </c>
      <c r="H16" s="21">
        <f t="shared" si="1"/>
        <v>0</v>
      </c>
      <c r="I16" s="21">
        <f t="shared" si="1"/>
        <v>0</v>
      </c>
      <c r="J16" s="21">
        <f t="shared" si="1"/>
        <v>2.5695508241545793E-2</v>
      </c>
      <c r="K16" s="21">
        <f t="shared" si="1"/>
        <v>0</v>
      </c>
      <c r="L16" s="21">
        <f t="shared" ca="1" si="1"/>
        <v>0</v>
      </c>
      <c r="M16" s="21">
        <f t="shared" si="1"/>
        <v>0</v>
      </c>
      <c r="N16" s="21">
        <f t="shared" ca="1" si="1"/>
        <v>1007.2805646944184</v>
      </c>
      <c r="O16" s="21">
        <f>O5</f>
        <v>24.486303829205774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0.18753094208051643</v>
      </c>
      <c r="C18" s="25">
        <f ca="1">'EF ele_warmte'!B22</f>
        <v>0.22444444444444445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1637.0161380180225</v>
      </c>
      <c r="C20" s="23">
        <f t="shared" ref="C20:P20" ca="1" si="2">C16*C18</f>
        <v>3.6436836836836832</v>
      </c>
      <c r="D20" s="23">
        <f t="shared" ca="1" si="2"/>
        <v>2201.2060040728811</v>
      </c>
      <c r="E20" s="23">
        <f t="shared" si="2"/>
        <v>27.674936549244837</v>
      </c>
      <c r="F20" s="23">
        <f t="shared" ca="1" si="2"/>
        <v>270.80958955950115</v>
      </c>
      <c r="G20" s="23">
        <f t="shared" si="2"/>
        <v>0</v>
      </c>
      <c r="H20" s="23">
        <f t="shared" si="2"/>
        <v>0</v>
      </c>
      <c r="I20" s="23">
        <f t="shared" si="2"/>
        <v>0</v>
      </c>
      <c r="J20" s="23">
        <f t="shared" si="2"/>
        <v>9.09620991750721E-3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1018.4313510000001</v>
      </c>
      <c r="C26" s="39">
        <f>IF(ISERROR(B26*3.6/1000000/'E Balans VL '!Z12*100),0,B26*3.6/1000000/'E Balans VL '!Z12*100)</f>
        <v>2.1605089353775985E-2</v>
      </c>
      <c r="D26" s="237" t="s">
        <v>708</v>
      </c>
      <c r="F26" s="6"/>
    </row>
    <row r="27" spans="1:18">
      <c r="A27" s="231" t="s">
        <v>52</v>
      </c>
      <c r="B27" s="33">
        <f>IF(ISERROR(TER_horeca_ele_kWh/1000),0,TER_horeca_ele_kWh/1000)</f>
        <v>1702.6743819999999</v>
      </c>
      <c r="C27" s="39">
        <f>IF(ISERROR(B27*3.6/1000000/'E Balans VL '!Z9*100),0,B27*3.6/1000000/'E Balans VL '!Z9*100)</f>
        <v>0.12822646411677838</v>
      </c>
      <c r="D27" s="237" t="s">
        <v>708</v>
      </c>
      <c r="F27" s="6"/>
    </row>
    <row r="28" spans="1:18">
      <c r="A28" s="171" t="s">
        <v>51</v>
      </c>
      <c r="B28" s="33">
        <f>IF(ISERROR(TER_handel_ele_kWh/1000),0,TER_handel_ele_kWh/1000)</f>
        <v>2493.9812670000001</v>
      </c>
      <c r="C28" s="39">
        <f>IF(ISERROR(B28*3.6/1000000/'E Balans VL '!Z13*100),0,B28*3.6/1000000/'E Balans VL '!Z13*100)</f>
        <v>7.2391439315912867E-2</v>
      </c>
      <c r="D28" s="237" t="s">
        <v>708</v>
      </c>
      <c r="F28" s="6"/>
    </row>
    <row r="29" spans="1:18">
      <c r="A29" s="231" t="s">
        <v>50</v>
      </c>
      <c r="B29" s="33">
        <f>IF(ISERROR(TER_gezond_ele_kWh/1000),0,TER_gezond_ele_kWh/1000)</f>
        <v>260.30474299999997</v>
      </c>
      <c r="C29" s="39">
        <f>IF(ISERROR(B29*3.6/1000000/'E Balans VL '!Z10*100),0,B29*3.6/1000000/'E Balans VL '!Z10*100)</f>
        <v>2.6252043757599403E-2</v>
      </c>
      <c r="D29" s="237" t="s">
        <v>708</v>
      </c>
      <c r="F29" s="6"/>
    </row>
    <row r="30" spans="1:18">
      <c r="A30" s="231" t="s">
        <v>49</v>
      </c>
      <c r="B30" s="33">
        <f>IF(ISERROR(TER_ander_ele_kWh/1000),0,TER_ander_ele_kWh/1000)</f>
        <v>1303.5095200000001</v>
      </c>
      <c r="C30" s="39">
        <f>IF(ISERROR(B30*3.6/1000000/'E Balans VL '!Z14*100),0,B30*3.6/1000000/'E Balans VL '!Z14*100)</f>
        <v>9.4587398806480177E-2</v>
      </c>
      <c r="D30" s="237" t="s">
        <v>708</v>
      </c>
      <c r="F30" s="6"/>
    </row>
    <row r="31" spans="1:18">
      <c r="A31" s="231" t="s">
        <v>54</v>
      </c>
      <c r="B31" s="33">
        <f>IF(ISERROR(TER_onderwijs_ele_kWh/1000),0,TER_onderwijs_ele_kWh/1000)</f>
        <v>77.789876000000007</v>
      </c>
      <c r="C31" s="39">
        <f>IF(ISERROR(B31*3.6/1000000/'E Balans VL '!Z11*100),0,B31*3.6/1000000/'E Balans VL '!Z11*100)</f>
        <v>2.2173282411252708E-2</v>
      </c>
      <c r="D31" s="237" t="s">
        <v>708</v>
      </c>
    </row>
    <row r="32" spans="1:18">
      <c r="A32" s="231" t="s">
        <v>259</v>
      </c>
      <c r="B32" s="33">
        <f>IF(ISERROR(TER_rest_ele_kWh/1000),0,TER_rest_ele_kWh/1000)</f>
        <v>1861.2877139999998</v>
      </c>
      <c r="C32" s="39">
        <f>IF(ISERROR(B32*3.6/1000000/'E Balans VL '!Z8*100),0,B32*3.6/1000000/'E Balans VL '!Z8*100)</f>
        <v>1.5247289826530546E-2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2934.1791829999997</v>
      </c>
      <c r="C5" s="17">
        <f>IF(ISERROR('Eigen informatie GS &amp; warmtenet'!B61),0,'Eigen informatie GS &amp; warmtenet'!B61)</f>
        <v>0</v>
      </c>
      <c r="D5" s="30">
        <f>SUM(D6:D15)</f>
        <v>1975.0278898679999</v>
      </c>
      <c r="E5" s="17">
        <f>SUM(E6:E15)</f>
        <v>335.55192160373804</v>
      </c>
      <c r="F5" s="17">
        <f>SUM(F6:F15)</f>
        <v>1082.711705596138</v>
      </c>
      <c r="G5" s="18"/>
      <c r="H5" s="17"/>
      <c r="I5" s="17"/>
      <c r="J5" s="17">
        <f>SUM(J6:J15)</f>
        <v>12.412747820362668</v>
      </c>
      <c r="K5" s="17"/>
      <c r="L5" s="17"/>
      <c r="M5" s="17"/>
      <c r="N5" s="17">
        <f>SUM(N6:N15)</f>
        <v>154.35735404326772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38.388418999999999</v>
      </c>
      <c r="C8" s="33"/>
      <c r="D8" s="37">
        <f>IF( ISERROR(IND_metaal_Gas_kWH/1000),0,IND_metaal_Gas_kWH/1000)*0.902</f>
        <v>0</v>
      </c>
      <c r="E8" s="33">
        <f>C30*'E Balans VL '!I18/100/3.6*1000000</f>
        <v>0.27694549957441705</v>
      </c>
      <c r="F8" s="33">
        <f>C30*'E Balans VL '!L18/100/3.6*1000000+C30*'E Balans VL '!N18/100/3.6*1000000</f>
        <v>3.6308366045374827</v>
      </c>
      <c r="G8" s="34"/>
      <c r="H8" s="33"/>
      <c r="I8" s="33"/>
      <c r="J8" s="40">
        <f>C30*'E Balans VL '!D18/100/3.6*1000000+C30*'E Balans VL '!E18/100/3.6*1000000</f>
        <v>3.8611294912908205E-2</v>
      </c>
      <c r="K8" s="33"/>
      <c r="L8" s="33"/>
      <c r="M8" s="33"/>
      <c r="N8" s="33">
        <f>C30*'E Balans VL '!Y18/100/3.6*1000000</f>
        <v>0.4853311818894499</v>
      </c>
      <c r="O8" s="33"/>
      <c r="P8" s="33"/>
      <c r="R8" s="32"/>
    </row>
    <row r="9" spans="1:18">
      <c r="A9" s="6" t="s">
        <v>32</v>
      </c>
      <c r="B9" s="37">
        <f t="shared" si="0"/>
        <v>951.57831099999999</v>
      </c>
      <c r="C9" s="33"/>
      <c r="D9" s="37">
        <f>IF( ISERROR(IND_andere_gas_kWh/1000),0,IND_andere_gas_kWh/1000)*0.902</f>
        <v>1072.1320388019999</v>
      </c>
      <c r="E9" s="33">
        <f>C31*'E Balans VL '!I19/100/3.6*1000000</f>
        <v>263.69507417423381</v>
      </c>
      <c r="F9" s="33">
        <f>C31*'E Balans VL '!L19/100/3.6*1000000+C31*'E Balans VL '!N19/100/3.6*1000000</f>
        <v>788.67016053337852</v>
      </c>
      <c r="G9" s="34"/>
      <c r="H9" s="33"/>
      <c r="I9" s="33"/>
      <c r="J9" s="40">
        <f>C31*'E Balans VL '!D19/100/3.6*1000000+C31*'E Balans VL '!E19/100/3.6*1000000</f>
        <v>0</v>
      </c>
      <c r="K9" s="33"/>
      <c r="L9" s="33"/>
      <c r="M9" s="33"/>
      <c r="N9" s="33">
        <f>C31*'E Balans VL '!Y19/100/3.6*1000000</f>
        <v>69.072946315831757</v>
      </c>
      <c r="O9" s="33"/>
      <c r="P9" s="33"/>
      <c r="R9" s="32"/>
    </row>
    <row r="10" spans="1:18">
      <c r="A10" s="6" t="s">
        <v>40</v>
      </c>
      <c r="B10" s="37">
        <f t="shared" si="0"/>
        <v>446.353026</v>
      </c>
      <c r="C10" s="33"/>
      <c r="D10" s="37">
        <f>IF( ISERROR(IND_voed_gas_kWh/1000),0,IND_voed_gas_kWh/1000)*0.902</f>
        <v>309.31965699800003</v>
      </c>
      <c r="E10" s="33">
        <f>C32*'E Balans VL '!I20/100/3.6*1000000</f>
        <v>0.79019604548309574</v>
      </c>
      <c r="F10" s="33">
        <f>C32*'E Balans VL '!L20/100/3.6*1000000+C32*'E Balans VL '!N20/100/3.6*1000000</f>
        <v>24.107019395383613</v>
      </c>
      <c r="G10" s="34"/>
      <c r="H10" s="33"/>
      <c r="I10" s="33"/>
      <c r="J10" s="40">
        <f>C32*'E Balans VL '!D20/100/3.6*1000000+C32*'E Balans VL '!E20/100/3.6*1000000</f>
        <v>0</v>
      </c>
      <c r="K10" s="33"/>
      <c r="L10" s="33"/>
      <c r="M10" s="33"/>
      <c r="N10" s="33">
        <f>C32*'E Balans VL '!Y20/100/3.6*1000000</f>
        <v>25.936519651136745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1497.8594269999999</v>
      </c>
      <c r="C15" s="33"/>
      <c r="D15" s="37">
        <f>IF( ISERROR(IND_rest_gas_kWh/1000),0,IND_rest_gas_kWh/1000)*0.902</f>
        <v>593.57619406800006</v>
      </c>
      <c r="E15" s="33">
        <f>C37*'E Balans VL '!I15/100/3.6*1000000</f>
        <v>70.789705884446747</v>
      </c>
      <c r="F15" s="33">
        <f>C37*'E Balans VL '!L15/100/3.6*1000000+C37*'E Balans VL '!N15/100/3.6*1000000</f>
        <v>266.30368906283832</v>
      </c>
      <c r="G15" s="34"/>
      <c r="H15" s="33"/>
      <c r="I15" s="33"/>
      <c r="J15" s="40">
        <f>C37*'E Balans VL '!D15/100/3.6*1000000+C37*'E Balans VL '!E15/100/3.6*1000000</f>
        <v>12.37413652544976</v>
      </c>
      <c r="K15" s="33"/>
      <c r="L15" s="33"/>
      <c r="M15" s="33"/>
      <c r="N15" s="33">
        <f>C37*'E Balans VL '!Y15/100/3.6*1000000</f>
        <v>58.862556894409778</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2934.1791829999997</v>
      </c>
      <c r="C18" s="21">
        <f>C5+C16</f>
        <v>0</v>
      </c>
      <c r="D18" s="21">
        <f>MAX((D5+D16),0)</f>
        <v>1975.0278898679999</v>
      </c>
      <c r="E18" s="21">
        <f>MAX((E5+E16),0)</f>
        <v>335.55192160373804</v>
      </c>
      <c r="F18" s="21">
        <f>MAX((F5+F16),0)</f>
        <v>1082.711705596138</v>
      </c>
      <c r="G18" s="21"/>
      <c r="H18" s="21"/>
      <c r="I18" s="21"/>
      <c r="J18" s="21">
        <f>MAX((J5+J16),0)</f>
        <v>12.412747820362668</v>
      </c>
      <c r="K18" s="21"/>
      <c r="L18" s="21">
        <f>MAX((L5+L16),0)</f>
        <v>0</v>
      </c>
      <c r="M18" s="21"/>
      <c r="N18" s="21">
        <f>MAX((N5+N16),0)</f>
        <v>154.35735404326772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0.18753094208051643</v>
      </c>
      <c r="C20" s="25">
        <f ca="1">'EF ele_warmte'!B22</f>
        <v>0.22444444444444445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550.24938642102995</v>
      </c>
      <c r="C22" s="23">
        <f ca="1">C18*C20</f>
        <v>0</v>
      </c>
      <c r="D22" s="23">
        <f>D18*D20</f>
        <v>398.95563375333597</v>
      </c>
      <c r="E22" s="23">
        <f>E18*E20</f>
        <v>76.170286204048537</v>
      </c>
      <c r="F22" s="23">
        <f>F18*F20</f>
        <v>289.08402539416886</v>
      </c>
      <c r="G22" s="23"/>
      <c r="H22" s="23"/>
      <c r="I22" s="23"/>
      <c r="J22" s="23">
        <f>J18*J20</f>
        <v>4.3941127284083841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38.388418999999999</v>
      </c>
      <c r="C30" s="39">
        <f>IF(ISERROR(B30*3.6/1000000/'E Balans VL '!Z18*100),0,B30*3.6/1000000/'E Balans VL '!Z18*100)</f>
        <v>2.2161035295899427E-3</v>
      </c>
      <c r="D30" s="237" t="s">
        <v>708</v>
      </c>
    </row>
    <row r="31" spans="1:18">
      <c r="A31" s="6" t="s">
        <v>32</v>
      </c>
      <c r="B31" s="37">
        <f>IF( ISERROR(IND_ander_ele_kWh/1000),0,IND_ander_ele_kWh/1000)</f>
        <v>951.57831099999999</v>
      </c>
      <c r="C31" s="39">
        <f>IF(ISERROR(B31*3.6/1000000/'E Balans VL '!Z19*100),0,B31*3.6/1000000/'E Balans VL '!Z19*100)</f>
        <v>4.7861304621636715E-2</v>
      </c>
      <c r="D31" s="237" t="s">
        <v>708</v>
      </c>
    </row>
    <row r="32" spans="1:18">
      <c r="A32" s="171" t="s">
        <v>40</v>
      </c>
      <c r="B32" s="37">
        <f>IF( ISERROR(IND_voed_ele_kWh/1000),0,IND_voed_ele_kWh/1000)</f>
        <v>446.353026</v>
      </c>
      <c r="C32" s="39">
        <f>IF(ISERROR(B32*3.6/1000000/'E Balans VL '!Z20*100),0,B32*3.6/1000000/'E Balans VL '!Z20*100)</f>
        <v>1.4866206320802043E-2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1497.8594269999999</v>
      </c>
      <c r="C37" s="39">
        <f>IF(ISERROR(B37*3.6/1000000/'E Balans VL '!Z15*100),0,B37*3.6/1000000/'E Balans VL '!Z15*100)</f>
        <v>1.1687399623711969E-2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2021.262741</v>
      </c>
      <c r="C5" s="17">
        <f>'Eigen informatie GS &amp; warmtenet'!B62</f>
        <v>0</v>
      </c>
      <c r="D5" s="30">
        <f>IF(ISERROR(SUM(LB_lb_gas_kWh,LB_rest_gas_kWh)/1000),0,SUM(LB_lb_gas_kWh,LB_rest_gas_kWh)/1000)*0.902</f>
        <v>368.95565218600001</v>
      </c>
      <c r="E5" s="17">
        <f>B17*'E Balans VL '!I25/3.6*1000000/100</f>
        <v>63.082943616386444</v>
      </c>
      <c r="F5" s="17">
        <f>B17*('E Balans VL '!L25/3.6*1000000+'E Balans VL '!N25/3.6*1000000)/100</f>
        <v>7143.3664361402671</v>
      </c>
      <c r="G5" s="18"/>
      <c r="H5" s="17"/>
      <c r="I5" s="17"/>
      <c r="J5" s="17">
        <f>('E Balans VL '!D25+'E Balans VL '!E25)/3.6*1000000*landbouw!B17/100</f>
        <v>556.87190247976173</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2021.262741</v>
      </c>
      <c r="C8" s="21">
        <f>C5+C6</f>
        <v>0</v>
      </c>
      <c r="D8" s="21">
        <f>MAX((D5+D6),0)</f>
        <v>368.95565218600001</v>
      </c>
      <c r="E8" s="21">
        <f>MAX((E5+E6),0)</f>
        <v>63.082943616386444</v>
      </c>
      <c r="F8" s="21">
        <f>MAX((F5+F6),0)</f>
        <v>7143.3664361402671</v>
      </c>
      <c r="G8" s="21"/>
      <c r="H8" s="21"/>
      <c r="I8" s="21"/>
      <c r="J8" s="21">
        <f>MAX((J5+J6),0)</f>
        <v>556.87190247976173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0.18753094208051643</v>
      </c>
      <c r="C10" s="31">
        <f ca="1">'EF ele_warmte'!B22</f>
        <v>0.22444444444444445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379.04930601197691</v>
      </c>
      <c r="C12" s="23">
        <f ca="1">C8*C10</f>
        <v>0</v>
      </c>
      <c r="D12" s="23">
        <f>D8*D10</f>
        <v>74.529041741572001</v>
      </c>
      <c r="E12" s="23">
        <f>E8*E10</f>
        <v>14.319828200919723</v>
      </c>
      <c r="F12" s="23">
        <f>F8*F10</f>
        <v>1907.2788384494513</v>
      </c>
      <c r="G12" s="23"/>
      <c r="H12" s="23"/>
      <c r="I12" s="23"/>
      <c r="J12" s="23">
        <f>J8*J10</f>
        <v>197.13265347783565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0.30047519623348135</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486.73208803444163</v>
      </c>
      <c r="C26" s="247">
        <f>B26*'GWP N2O_CH4'!B5</f>
        <v>10221.373848723275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231.15473619797646</v>
      </c>
      <c r="C27" s="247">
        <f>B27*'GWP N2O_CH4'!B5</f>
        <v>4854.2494601575054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14.719604506591933</v>
      </c>
      <c r="C28" s="247">
        <f>B28*'GWP N2O_CH4'!B4</f>
        <v>4563.0773970434993</v>
      </c>
      <c r="D28" s="50"/>
    </row>
    <row r="29" spans="1:4">
      <c r="A29" s="41" t="s">
        <v>276</v>
      </c>
      <c r="B29" s="247">
        <f>B34*'ha_N2O bodem landbouw'!B4</f>
        <v>18.777594036655685</v>
      </c>
      <c r="C29" s="247">
        <f>B29*'GWP N2O_CH4'!B4</f>
        <v>5821.0541513632625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4.1175882892596953E-3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2.0752979747104097E-4</v>
      </c>
      <c r="C5" s="437" t="s">
        <v>210</v>
      </c>
      <c r="D5" s="422">
        <f>SUM(D6:D11)</f>
        <v>7.252370510293202E-4</v>
      </c>
      <c r="E5" s="422">
        <f>SUM(E6:E11)</f>
        <v>6.4593322514528578E-4</v>
      </c>
      <c r="F5" s="435" t="s">
        <v>210</v>
      </c>
      <c r="G5" s="422">
        <f>SUM(G6:G11)</f>
        <v>0.35887213836320675</v>
      </c>
      <c r="H5" s="422">
        <f>SUM(H6:H11)</f>
        <v>6.8337520603802826E-2</v>
      </c>
      <c r="I5" s="437" t="s">
        <v>210</v>
      </c>
      <c r="J5" s="437" t="s">
        <v>210</v>
      </c>
      <c r="K5" s="437" t="s">
        <v>210</v>
      </c>
      <c r="L5" s="437" t="s">
        <v>210</v>
      </c>
      <c r="M5" s="422">
        <f>SUM(M6:M11)</f>
        <v>2.5210660651525892E-2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1.3584565380090686E-4</v>
      </c>
      <c r="C6" s="423"/>
      <c r="D6" s="890">
        <f>vkm_GW_PW*SUMIFS(TableVerdeelsleutelVkm[CNG],TableVerdeelsleutelVkm[Voertuigtype],"Lichte voertuigen")*SUMIFS(TableECFTransport[EnergieConsumptieFactor (PJ per km)],TableECFTransport[Index],CONCATENATE($A6,"_CNG_CNG"))</f>
        <v>4.3761351579867336E-4</v>
      </c>
      <c r="E6" s="890">
        <f>vkm_GW_PW*SUMIFS(TableVerdeelsleutelVkm[LPG],TableVerdeelsleutelVkm[Voertuigtype],"Lichte voertuigen")*SUMIFS(TableECFTransport[EnergieConsumptieFactor (PJ per km)],TableECFTransport[Index],CONCATENATE($A6,"_LPG_LPG"))</f>
        <v>3.7423684178945841E-4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0.12089700192195769</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4.099543188896082E-2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9.6830589185904169E-3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5.9964956073627909E-2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8.5744503009644255E-7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3.4565243625842425E-3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2.5193188073618203E-5</v>
      </c>
      <c r="C8" s="423"/>
      <c r="D8" s="425">
        <f>vkm_NGW_PW*SUMIFS(TableVerdeelsleutelVkm[CNG],TableVerdeelsleutelVkm[Voertuigtype],"Lichte voertuigen")*SUMIFS(TableECFTransport[EnergieConsumptieFactor (PJ per km)],TableECFTransport[Index],CONCATENATE($A8,"_CNG_CNG"))</f>
        <v>1.3750356025993111E-4</v>
      </c>
      <c r="E8" s="425">
        <f>vkm_NGW_PW*SUMIFS(TableVerdeelsleutelVkm[LPG],TableVerdeelsleutelVkm[Voertuigtype],"Lichte voertuigen")*SUMIFS(TableECFTransport[EnergieConsumptieFactor (PJ per km)],TableECFTransport[Index],CONCATENATE($A8,"_LPG_LPG"))</f>
        <v>1.1172973822489833E-4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3.3727868591878069E-2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1.2665981251917847E-2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2.7827603527527103E-3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6.2624148361661519E-3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1.1353668526966538E-7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3.6098224889680186E-4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4.6490955596515902E-5</v>
      </c>
      <c r="C10" s="423"/>
      <c r="D10" s="425">
        <f>vkm_SW_PW*SUMIFS(TableVerdeelsleutelVkm[CNG],TableVerdeelsleutelVkm[Voertuigtype],"Lichte voertuigen")*SUMIFS(TableECFTransport[EnergieConsumptieFactor (PJ per km)],TableECFTransport[Index],CONCATENATE($A10,"_CNG_CNG"))</f>
        <v>1.5011997497071575E-4</v>
      </c>
      <c r="E10" s="425">
        <f>vkm_SW_PW*SUMIFS(TableVerdeelsleutelVkm[LPG],TableVerdeelsleutelVkm[Voertuigtype],"Lichte voertuigen")*SUMIFS(TableECFTransport[EnergieConsumptieFactor (PJ per km)],TableECFTransport[Index],CONCATENATE($A10,"_LPG_LPG"))</f>
        <v>1.5996664513092903E-4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4.6043993531691439E-2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1.46737312160891E-2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3.6256164082192587E-3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9.1975903407885501E-2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1.4052651196829967E-6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5.3017183604824594E-3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57.647165964178051</v>
      </c>
      <c r="C14" s="21"/>
      <c r="D14" s="21">
        <f t="shared" ref="D14:M14" si="0">((D5)*10^9/3600)+D12</f>
        <v>201.4547363970334</v>
      </c>
      <c r="E14" s="21">
        <f t="shared" si="0"/>
        <v>179.42589587369051</v>
      </c>
      <c r="F14" s="21"/>
      <c r="G14" s="21">
        <f t="shared" si="0"/>
        <v>99686.705100890758</v>
      </c>
      <c r="H14" s="21">
        <f t="shared" si="0"/>
        <v>18982.644612167453</v>
      </c>
      <c r="I14" s="21"/>
      <c r="J14" s="21"/>
      <c r="K14" s="21"/>
      <c r="L14" s="21"/>
      <c r="M14" s="21">
        <f t="shared" si="0"/>
        <v>7002.9612920905256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0.18753094208051643</v>
      </c>
      <c r="C16" s="56">
        <f ca="1">'EF ele_warmte'!B22</f>
        <v>0.22444444444444445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10.810627341534191</v>
      </c>
      <c r="C18" s="23"/>
      <c r="D18" s="23">
        <f t="shared" ref="D18:M18" si="1">D14*D16</f>
        <v>40.693856752200752</v>
      </c>
      <c r="E18" s="23">
        <f t="shared" si="1"/>
        <v>40.72967836332775</v>
      </c>
      <c r="F18" s="23"/>
      <c r="G18" s="23">
        <f t="shared" si="1"/>
        <v>26616.350261937834</v>
      </c>
      <c r="H18" s="23">
        <f t="shared" si="1"/>
        <v>4726.6785084296953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2.221862857324515E-3</v>
      </c>
      <c r="H50" s="319">
        <f t="shared" si="2"/>
        <v>0</v>
      </c>
      <c r="I50" s="319">
        <f t="shared" si="2"/>
        <v>0</v>
      </c>
      <c r="J50" s="319">
        <f t="shared" si="2"/>
        <v>0</v>
      </c>
      <c r="K50" s="319">
        <f t="shared" si="2"/>
        <v>0</v>
      </c>
      <c r="L50" s="319">
        <f t="shared" si="2"/>
        <v>0</v>
      </c>
      <c r="M50" s="319">
        <f t="shared" si="2"/>
        <v>1.2347195459131561E-4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2.221862857324515E-3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1.2347195459131561E-4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617.1841270345875</v>
      </c>
      <c r="H54" s="21">
        <f t="shared" si="3"/>
        <v>0</v>
      </c>
      <c r="I54" s="21">
        <f t="shared" si="3"/>
        <v>0</v>
      </c>
      <c r="J54" s="21">
        <f t="shared" si="3"/>
        <v>0</v>
      </c>
      <c r="K54" s="21">
        <f t="shared" si="3"/>
        <v>0</v>
      </c>
      <c r="L54" s="21">
        <f t="shared" si="3"/>
        <v>0</v>
      </c>
      <c r="M54" s="21">
        <f t="shared" si="3"/>
        <v>34.297765164254336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0.18753094208051643</v>
      </c>
      <c r="C56" s="56">
        <f ca="1">'EF ele_warmte'!B22</f>
        <v>0.22444444444444445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164.78816191823486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5266.7695303660839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11.333333333333332</v>
      </c>
      <c r="C8" s="548">
        <f>B48</f>
        <v>12.59259259259259</v>
      </c>
      <c r="D8" s="549"/>
      <c r="E8" s="549">
        <f>E48</f>
        <v>0</v>
      </c>
      <c r="F8" s="550"/>
      <c r="G8" s="551"/>
      <c r="H8" s="549">
        <f>I48</f>
        <v>0</v>
      </c>
      <c r="I8" s="549">
        <f>G48+F48</f>
        <v>0</v>
      </c>
      <c r="J8" s="549">
        <f>H48+D48+C48</f>
        <v>0</v>
      </c>
      <c r="K8" s="549"/>
      <c r="L8" s="549"/>
      <c r="M8" s="549"/>
      <c r="N8" s="552"/>
      <c r="O8" s="553">
        <f>C8*$C$12+D8*$D$12+E8*$E$12+F8*$F$12+G8*$G$12+H8*$H$12+I8*$I$12+J8*$J$12</f>
        <v>2.5437037037037031</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5278.102863699417</v>
      </c>
      <c r="C10" s="563">
        <f t="shared" ref="C10:L10" si="0">SUM(C8:C9)</f>
        <v>12.59259259259259</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2.5437037037037031</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16.234234234234233</v>
      </c>
      <c r="C17" s="579">
        <f>B49</f>
        <v>18.038038038038035</v>
      </c>
      <c r="D17" s="580"/>
      <c r="E17" s="580">
        <f>E49</f>
        <v>0</v>
      </c>
      <c r="F17" s="581"/>
      <c r="G17" s="582"/>
      <c r="H17" s="579">
        <f>I49</f>
        <v>0</v>
      </c>
      <c r="I17" s="580">
        <f>G49+F49</f>
        <v>0</v>
      </c>
      <c r="J17" s="580">
        <f>H49+D49+C49</f>
        <v>0</v>
      </c>
      <c r="K17" s="580"/>
      <c r="L17" s="580"/>
      <c r="M17" s="580"/>
      <c r="N17" s="972"/>
      <c r="O17" s="583">
        <f>C17*$C$22+E17*$E$22+H17*$H$22+I17*$I$22+J17*$J$22+D17*$D$22+F17*$F$22+G17*$G$22+K17*$K$22+L17*$L$22</f>
        <v>3.6436836836836832</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16.234234234234233</v>
      </c>
      <c r="C20" s="562">
        <f>SUM(C17:C19)</f>
        <v>18.038038038038035</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3.6436836836836832</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v>13036</v>
      </c>
      <c r="C28" s="791">
        <v>2470</v>
      </c>
      <c r="D28" s="640" t="s">
        <v>888</v>
      </c>
      <c r="E28" s="639"/>
      <c r="F28" s="639" t="s">
        <v>889</v>
      </c>
      <c r="G28" s="639" t="s">
        <v>890</v>
      </c>
      <c r="H28" s="639" t="s">
        <v>891</v>
      </c>
      <c r="I28" s="639" t="s">
        <v>892</v>
      </c>
      <c r="J28" s="790">
        <v>42830</v>
      </c>
      <c r="K28" s="790">
        <v>42830</v>
      </c>
      <c r="L28" s="639" t="s">
        <v>893</v>
      </c>
      <c r="M28" s="639">
        <v>3.4</v>
      </c>
      <c r="N28" s="639">
        <v>11.333333333333332</v>
      </c>
      <c r="O28" s="639">
        <v>16.234234234234233</v>
      </c>
      <c r="P28" s="639">
        <v>30.630630630630627</v>
      </c>
      <c r="Q28" s="639">
        <v>0</v>
      </c>
      <c r="R28" s="639">
        <v>0</v>
      </c>
      <c r="S28" s="639">
        <v>0</v>
      </c>
      <c r="T28" s="639">
        <v>0</v>
      </c>
      <c r="U28" s="639">
        <v>0</v>
      </c>
      <c r="V28" s="639">
        <v>0</v>
      </c>
      <c r="W28" s="639">
        <v>0</v>
      </c>
      <c r="X28" s="639">
        <v>1100</v>
      </c>
      <c r="Y28" s="639" t="s">
        <v>160</v>
      </c>
      <c r="Z28" s="641" t="s">
        <v>155</v>
      </c>
    </row>
    <row r="29" spans="1:26" s="573" customFormat="1">
      <c r="A29" s="595" t="s">
        <v>279</v>
      </c>
      <c r="B29" s="596"/>
      <c r="C29" s="596"/>
      <c r="D29" s="596"/>
      <c r="E29" s="596"/>
      <c r="F29" s="596"/>
      <c r="G29" s="596"/>
      <c r="H29" s="596"/>
      <c r="I29" s="596"/>
      <c r="J29" s="596"/>
      <c r="K29" s="596"/>
      <c r="L29" s="597"/>
      <c r="M29" s="597">
        <f>SUM(M28:M28)</f>
        <v>3.4</v>
      </c>
      <c r="N29" s="597">
        <f>SUM(N28:N28)</f>
        <v>11.333333333333332</v>
      </c>
      <c r="O29" s="597">
        <f>SUM(O28:O28)</f>
        <v>16.234234234234233</v>
      </c>
      <c r="P29" s="597">
        <f>SUM(P28:P28)</f>
        <v>30.630630630630627</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3.4</v>
      </c>
      <c r="N31" s="597">
        <f ca="1">SUMIF($Z$28:AD28,"tertiair",N28:N28)</f>
        <v>11.333333333333332</v>
      </c>
      <c r="O31" s="597">
        <f ca="1">SUMIF($Z$28:AE28,"tertiair",O28:O28)</f>
        <v>16.234234234234233</v>
      </c>
      <c r="P31" s="597">
        <f ca="1">SUMIF($Z$28:AF28,"tertiair",P28:P28)</f>
        <v>30.630630630630627</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0.58888888888888891</v>
      </c>
      <c r="C45" s="622">
        <f>IF(ISERROR(N29/(O29+N29)),0,N29/(N29+O29))</f>
        <v>0.41111111111111109</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12.59259259259259</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18.038038038038035</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2020-06-20T15:29:49Z</dcterms:modified>
</cp:coreProperties>
</file>