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48"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57" i="18" l="1"/>
  <c r="V57" i="18"/>
  <c r="U57" i="18"/>
  <c r="T57" i="18"/>
  <c r="S57" i="18"/>
  <c r="R57" i="18"/>
  <c r="Q57" i="18"/>
  <c r="P57" i="18"/>
  <c r="O57" i="18"/>
  <c r="N57" i="18"/>
  <c r="M57" i="18"/>
  <c r="W56" i="18"/>
  <c r="V56" i="18"/>
  <c r="U56" i="18"/>
  <c r="T56" i="18"/>
  <c r="S56" i="18"/>
  <c r="R56" i="18"/>
  <c r="Q56" i="18"/>
  <c r="P56" i="18"/>
  <c r="O56" i="18"/>
  <c r="N56" i="18"/>
  <c r="M56" i="18"/>
  <c r="W55" i="18"/>
  <c r="V55" i="18"/>
  <c r="U55" i="18"/>
  <c r="T55" i="18"/>
  <c r="S55" i="18"/>
  <c r="R55" i="18"/>
  <c r="Q55" i="18"/>
  <c r="P55" i="18"/>
  <c r="O55" i="18"/>
  <c r="N55" i="18"/>
  <c r="M55" i="18"/>
  <c r="W54" i="18"/>
  <c r="H9" i="18" s="1"/>
  <c r="M77" i="14" s="1"/>
  <c r="M9" i="59" s="1"/>
  <c r="V54" i="18"/>
  <c r="U54" i="18"/>
  <c r="T54" i="18"/>
  <c r="S54" i="18"/>
  <c r="E9" i="18" s="1"/>
  <c r="F77" i="14" s="1"/>
  <c r="F9" i="59" s="1"/>
  <c r="R54" i="18"/>
  <c r="Q54" i="18"/>
  <c r="P54" i="18"/>
  <c r="O54" i="18"/>
  <c r="N54" i="18"/>
  <c r="B9" i="18" s="1"/>
  <c r="M54" i="18"/>
  <c r="W50" i="18"/>
  <c r="V50" i="18"/>
  <c r="U50" i="18"/>
  <c r="T50" i="18"/>
  <c r="L6" i="17" s="1"/>
  <c r="L5" i="17" s="1"/>
  <c r="S50" i="18"/>
  <c r="R50" i="18"/>
  <c r="Q50" i="18"/>
  <c r="P50" i="18"/>
  <c r="O50" i="18"/>
  <c r="N50" i="18"/>
  <c r="M50" i="18"/>
  <c r="W49" i="18"/>
  <c r="V49" i="18"/>
  <c r="U49" i="18"/>
  <c r="T49" i="18"/>
  <c r="S49" i="18"/>
  <c r="R49" i="18"/>
  <c r="Q49" i="18"/>
  <c r="P49" i="18"/>
  <c r="O49" i="18"/>
  <c r="C13" i="15" s="1"/>
  <c r="N49" i="18"/>
  <c r="M49" i="18"/>
  <c r="W48" i="18"/>
  <c r="V48" i="18"/>
  <c r="U48" i="18"/>
  <c r="T48" i="18"/>
  <c r="S48" i="18"/>
  <c r="F16" i="16" s="1"/>
  <c r="R48" i="18"/>
  <c r="Q48" i="18"/>
  <c r="P48" i="18"/>
  <c r="D16" i="16" s="1"/>
  <c r="O48" i="18"/>
  <c r="N48" i="18"/>
  <c r="W47" i="18"/>
  <c r="V47" i="18"/>
  <c r="U47" i="18"/>
  <c r="T47" i="18"/>
  <c r="S47" i="18"/>
  <c r="R47" i="18"/>
  <c r="Q47" i="18"/>
  <c r="P47" i="18"/>
  <c r="O47" i="18"/>
  <c r="B17" i="18" s="1"/>
  <c r="N47" i="18"/>
  <c r="B8" i="18" s="1"/>
  <c r="M47"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63" i="18"/>
  <c r="B67" i="18" s="1"/>
  <c r="B16" i="16"/>
  <c r="K9" i="14"/>
  <c r="H77" i="14"/>
  <c r="J11" i="48"/>
  <c r="J29" i="48" s="1"/>
  <c r="M9" i="14"/>
  <c r="L11" i="48"/>
  <c r="O19" i="14"/>
  <c r="O22" i="14" s="1"/>
  <c r="N10" i="48"/>
  <c r="N28" i="48" s="1"/>
  <c r="J19" i="14"/>
  <c r="J22" i="14" s="1"/>
  <c r="J27" i="14" s="1"/>
  <c r="I10" i="48"/>
  <c r="I28" i="48" s="1"/>
  <c r="J19" i="19"/>
  <c r="K39" i="14" s="1"/>
  <c r="N19" i="19"/>
  <c r="O39" i="14" s="1"/>
  <c r="C63" i="18"/>
  <c r="I66"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66" i="18"/>
  <c r="E8" i="18" s="1"/>
  <c r="F76" i="14" s="1"/>
  <c r="F7" i="48"/>
  <c r="F25" i="48" s="1"/>
  <c r="D66" i="18"/>
  <c r="O9" i="18"/>
  <c r="M29" i="48"/>
  <c r="F12" i="17"/>
  <c r="G54" i="14" s="1"/>
  <c r="G56" i="14" s="1"/>
  <c r="C67" i="18"/>
  <c r="C66" i="18"/>
  <c r="B10" i="18"/>
  <c r="E67" i="18"/>
  <c r="E17" i="18" s="1"/>
  <c r="F87" i="14" s="1"/>
  <c r="G67" i="18"/>
  <c r="D7" i="48"/>
  <c r="D25" i="48" s="1"/>
  <c r="H66" i="18"/>
  <c r="G66" i="18"/>
  <c r="D67" i="18"/>
  <c r="L28" i="48"/>
  <c r="H67" i="18"/>
  <c r="I67" i="18"/>
  <c r="H17" i="18" s="1"/>
  <c r="F67" i="18"/>
  <c r="F66" i="18"/>
  <c r="H10" i="18"/>
  <c r="M78" i="14"/>
  <c r="B66"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16" i="22"/>
  <c r="C56" i="22"/>
  <c r="C58" i="22" s="1"/>
  <c r="D49" i="14" s="1"/>
  <c r="D52" i="14" s="1"/>
  <c r="C20" i="16"/>
  <c r="C22" i="16" s="1"/>
  <c r="D43" i="14" s="1"/>
  <c r="C10" i="17"/>
  <c r="C12" i="17" s="1"/>
  <c r="D54" i="14" s="1"/>
  <c r="D56" i="14" s="1"/>
  <c r="C17" i="49"/>
  <c r="C10" i="13"/>
  <c r="C12" i="13" s="1"/>
  <c r="D41" i="14" s="1"/>
  <c r="D46" i="14" s="1"/>
  <c r="D61" i="14" s="1"/>
  <c r="D63" i="14" s="1"/>
  <c r="C22" i="59"/>
  <c r="C18" i="15"/>
  <c r="C20" i="15" s="1"/>
  <c r="D40"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<sst xmlns="http://schemas.openxmlformats.org/spreadsheetml/2006/main" count="2577" uniqueCount="954">
  <si>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</si>
  <si>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</si>
  <si>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</si>
  <si>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</si>
  <si>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</si>
  <si>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</si>
  <si>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</si>
  <si>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</si>
  <si>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</si>
  <si>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</si>
  <si>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</si>
  <si>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</si>
  <si>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</si>
  <si>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</si>
  <si>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</si>
  <si>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</si>
  <si>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</si>
  <si>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</si>
  <si>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</si>
  <si>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</si>
  <si>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</si>
  <si>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</si>
  <si>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</si>
  <si>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</si>
  <si>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</si>
  <si>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</si>
  <si>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</si>
  <si>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</si>
  <si>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</si>
  <si>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</si>
  <si>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</si>
  <si>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</si>
  <si>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</si>
  <si>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</si>
  <si>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</si>
  <si>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</si>
  <si>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</si>
  <si>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</si>
  <si>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</si>
  <si>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</si>
  <si>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</si>
  <si>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</si>
  <si>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</si>
  <si>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</si>
  <si>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</si>
  <si>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</si>
  <si>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</si>
  <si>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</si>
  <si>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</si>
  <si>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</si>
  <si>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</si>
  <si>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</si>
  <si>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</si>
  <si>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</si>
  <si>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</si>
  <si>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</si>
  <si>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</si>
  <si>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</si>
  <si>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</si>
  <si>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</si>
  <si>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</si>
  <si>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</si>
  <si>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</si>
  <si>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</si>
  <si>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</si>
  <si>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</si>
  <si>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</si>
  <si>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</si>
  <si>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</si>
  <si>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</si>
  <si>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</si>
  <si>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</si>
  <si>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</si>
  <si>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</si>
  <si>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</si>
  <si>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</si>
  <si>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</si>
  <si>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</si>
  <si>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</si>
  <si>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</si>
  <si>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</si>
  <si>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</si>
  <si>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</si>
  <si>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</si>
  <si>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</si>
  <si>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</si>
  <si>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</si>
  <si>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</si>
  <si>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</si>
  <si>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</si>
  <si>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</si>
  <si>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</si>
  <si>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</si>
  <si>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</si>
  <si>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</si>
  <si>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</si>
  <si>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</si>
  <si>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</si>
  <si>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</si>
  <si>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</si>
  <si>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</si>
  <si>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</si>
  <si>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</si>
  <si>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</si>
  <si>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</si>
  <si>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</si>
  <si>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</si>
  <si>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</si>
  <si>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</si>
  <si>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</si>
  <si>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</si>
  <si>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</si>
  <si>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</si>
  <si>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</si>
  <si>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</si>
  <si>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</si>
  <si>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</si>
  <si>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</si>
  <si>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</si>
  <si>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</si>
  <si>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</si>
  <si>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</si>
  <si>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</si>
  <si>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</si>
  <si>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</si>
  <si>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</si>
  <si>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</si>
  <si>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</si>
  <si>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</si>
  <si>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</si>
  <si>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</si>
  <si>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</si>
  <si>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</si>
  <si>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</si>
  <si>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</si>
  <si>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</si>
  <si>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</si>
  <si>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</si>
  <si>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</si>
  <si>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</si>
  <si>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</si>
  <si>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</si>
  <si>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</si>
  <si>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</si>
  <si>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</si>
  <si>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</si>
  <si>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</si>
  <si>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</si>
  <si>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</si>
  <si>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</si>
  <si>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</si>
  <si>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</si>
  <si>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</si>
  <si>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</si>
  <si>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</si>
  <si>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</si>
  <si>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</si>
  <si>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</si>
  <si>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</si>
  <si>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</si>
  <si>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</si>
  <si>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</si>
  <si>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</si>
  <si>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</si>
  <si>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</si>
  <si>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</si>
  <si>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</si>
  <si>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</si>
  <si>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</si>
  <si>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</si>
  <si>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</si>
  <si>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</si>
  <si>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</si>
  <si>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</si>
  <si>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</si>
  <si>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</si>
  <si>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</si>
  <si>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</si>
  <si>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</si>
  <si>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</si>
  <si>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</si>
  <si>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</si>
  <si>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</si>
  <si>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</si>
  <si>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</si>
  <si>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</si>
  <si>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</si>
  <si>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</si>
  <si>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</si>
  <si>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</si>
  <si>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</si>
  <si>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</si>
  <si>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</si>
  <si>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</si>
  <si>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</si>
  <si>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</si>
  <si>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</si>
  <si>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</si>
  <si>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</si>
  <si>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</si>
  <si>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</si>
  <si>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</si>
  <si>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</si>
  <si>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</si>
  <si>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</si>
  <si>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</si>
  <si>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</si>
  <si>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</si>
  <si>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</si>
  <si>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</si>
  <si>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</si>
  <si>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</si>
  <si>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</si>
  <si>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</si>
  <si>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</si>
  <si>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</si>
  <si>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</si>
  <si>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</si>
  <si>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</si>
  <si>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</si>
  <si>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</si>
  <si>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</si>
  <si>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</si>
  <si>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</si>
  <si>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</si>
  <si>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</si>
  <si>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</si>
  <si>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</si>
  <si>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</si>
  <si>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</si>
  <si>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</si>
  <si>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</si>
  <si>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</si>
  <si>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</si>
  <si>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</si>
  <si>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</si>
  <si>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</si>
  <si>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</si>
  <si>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</si>
  <si>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</si>
  <si>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</si>
  <si>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</si>
  <si>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</si>
  <si>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</si>
  <si>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</si>
  <si>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</si>
  <si>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</si>
  <si>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</si>
  <si>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</si>
  <si>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</si>
  <si>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</si>
  <si>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</si>
  <si>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</si>
  <si>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</si>
  <si>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</si>
  <si>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</si>
  <si>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</si>
  <si>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</si>
  <si>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</si>
  <si>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</si>
  <si>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</si>
  <si>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</si>
  <si>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</si>
  <si>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</si>
  <si>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</si>
  <si>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</si>
  <si>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</si>
  <si>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</si>
  <si>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</si>
  <si>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</si>
  <si>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</si>
  <si>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</si>
  <si>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</si>
  <si>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</si>
  <si>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</si>
  <si>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</si>
  <si>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</si>
  <si>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</si>
  <si>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</si>
  <si>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</si>
  <si>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</si>
  <si>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</si>
  <si>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</si>
  <si>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</si>
  <si>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</si>
  <si>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</si>
  <si>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</si>
  <si>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</si>
  <si>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</si>
  <si>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</si>
  <si>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</si>
  <si>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</si>
  <si>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</si>
  <si>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</si>
  <si>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</si>
  <si>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</si>
  <si>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</si>
  <si>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</si>
  <si>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</si>
  <si>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</si>
  <si>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</si>
  <si>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</si>
  <si>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</si>
  <si>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</si>
  <si>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</si>
  <si>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</si>
  <si>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</si>
  <si>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</si>
  <si>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</si>
  <si>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</si>
  <si>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</si>
  <si>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</si>
  <si>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</si>
  <si>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</si>
  <si>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</si>
  <si>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</si>
  <si>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</si>
  <si>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</si>
  <si>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</si>
  <si>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</si>
  <si>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</si>
  <si>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</si>
  <si>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</si>
  <si>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</si>
  <si>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</si>
  <si>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</si>
  <si>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</si>
  <si>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</si>
  <si>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</si>
  <si>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</si>
  <si>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</si>
  <si>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</si>
  <si>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</si>
  <si>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</si>
  <si>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</si>
  <si>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</si>
  <si>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</si>
  <si>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</si>
  <si>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</si>
  <si>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</si>
  <si>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</si>
  <si>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</si>
  <si>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</si>
  <si>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</si>
  <si>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</si>
  <si>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</si>
  <si>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</si>
  <si>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</si>
  <si>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</si>
  <si>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</si>
  <si>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</si>
  <si>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</si>
  <si>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</si>
  <si>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</si>
  <si>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</si>
  <si>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</si>
  <si>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</si>
  <si>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</si>
  <si>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</si>
  <si>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</si>
  <si>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</si>
  <si>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</si>
  <si>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</si>
  <si>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</si>
  <si>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</si>
  <si>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</si>
  <si>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</si>
  <si>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</si>
  <si>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</si>
  <si>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</si>
  <si>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</si>
  <si>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</si>
  <si>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</si>
  <si>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</si>
  <si>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</si>
  <si>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</si>
  <si>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</si>
  <si>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</si>
  <si>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</si>
  <si>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</si>
  <si>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</si>
  <si>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</si>
  <si>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</si>
  <si>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</si>
  <si>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</si>
  <si>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</si>
  <si>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</si>
  <si>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</si>
  <si>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</si>
  <si>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</si>
  <si>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</si>
  <si>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</si>
  <si>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</si>
  <si>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</si>
  <si>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</si>
  <si>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</si>
  <si>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</si>
  <si>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</si>
  <si>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</si>
  <si>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</si>
  <si>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</si>
  <si>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</si>
  <si>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</si>
  <si>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</si>
  <si>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</si>
  <si>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</si>
  <si>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</si>
  <si>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</si>
  <si>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</si>
  <si>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</si>
  <si>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</si>
  <si>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</si>
  <si>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</si>
  <si>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</si>
  <si>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</si>
  <si>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</si>
  <si>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</si>
  <si>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</si>
  <si>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</si>
  <si>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</si>
  <si>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</si>
  <si>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</si>
  <si>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</si>
  <si>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</si>
  <si>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</si>
  <si>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</si>
  <si>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</si>
  <si>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</si>
  <si>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</si>
  <si>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</si>
  <si>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</si>
  <si>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</si>
  <si>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</si>
  <si>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</si>
  <si>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</si>
  <si>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</si>
  <si>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</si>
  <si>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</si>
  <si>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</si>
  <si>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</si>
  <si>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</si>
  <si>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</si>
  <si>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</si>
  <si>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</si>
  <si>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</si>
  <si>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</si>
  <si>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</si>
  <si>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</si>
  <si>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</si>
  <si>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</si>
  <si>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</si>
  <si>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</si>
  <si>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</si>
  <si>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</si>
  <si>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</si>
  <si>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</si>
  <si>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</si>
  <si>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</si>
  <si>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</si>
  <si>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</si>
  <si>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</si>
  <si>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</si>
  <si>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</si>
  <si>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</si>
  <si>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</si>
  <si>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</si>
  <si>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</si>
  <si>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</si>
  <si>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</si>
  <si>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</si>
  <si>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</si>
  <si>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</si>
  <si>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</si>
  <si>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</si>
  <si>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</si>
  <si>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</si>
  <si>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</si>
  <si>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</si>
  <si>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</si>
  <si>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</si>
  <si>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</si>
  <si>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</si>
  <si>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</si>
  <si>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</si>
  <si>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</si>
  <si>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</si>
  <si>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</si>
  <si>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</si>
  <si>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</si>
  <si>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</si>
  <si>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</si>
  <si>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</si>
  <si>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</si>
  <si>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</si>
  <si>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</si>
  <si>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</si>
  <si>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</si>
  <si>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</si>
  <si>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</si>
  <si>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</si>
  <si>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</si>
  <si>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</si>
  <si>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</si>
  <si>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</si>
  <si>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</si>
  <si>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</si>
  <si>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</si>
  <si>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</si>
  <si>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</si>
  <si>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</si>
  <si>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</si>
  <si>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</si>
  <si>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</si>
  <si>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</si>
  <si>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</si>
  <si>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</si>
  <si>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</si>
  <si>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</si>
  <si>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</si>
  <si>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</si>
  <si>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</si>
  <si>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</si>
  <si>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</si>
  <si>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</si>
  <si>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</si>
  <si>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</si>
  <si>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</si>
  <si>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</si>
  <si>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</si>
  <si>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</si>
  <si>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</si>
  <si>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</si>
  <si>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</si>
  <si>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</si>
  <si>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</si>
  <si>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</si>
  <si>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</si>
  <si>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</si>
  <si>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</si>
  <si>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</si>
  <si>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</si>
  <si>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</si>
  <si>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</si>
  <si>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</si>
  <si>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</si>
  <si>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</si>
  <si>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</si>
  <si>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</si>
  <si>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</si>
  <si>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</si>
  <si>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</si>
  <si>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</si>
  <si>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</si>
  <si>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</si>
  <si>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</si>
  <si>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</si>
  <si>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</si>
  <si>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</si>
  <si>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</si>
  <si>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</si>
  <si>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</si>
  <si>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</si>
  <si>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</si>
  <si>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</si>
  <si>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</si>
  <si>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</si>
  <si>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</si>
  <si>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</si>
  <si>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</si>
  <si>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</si>
  <si>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</si>
  <si>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</si>
  <si>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</si>
  <si>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</si>
  <si>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</si>
  <si>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</si>
  <si>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</si>
  <si>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</si>
  <si>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</si>
  <si>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</si>
  <si>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</si>
  <si>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</si>
  <si>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</si>
  <si>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</si>
  <si>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</si>
  <si>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</si>
  <si>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</si>
  <si>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</si>
  <si>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</si>
  <si>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</si>
  <si>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</si>
  <si>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</si>
  <si>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</si>
  <si>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</si>
  <si>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</si>
  <si>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</si>
  <si>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</si>
  <si>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</si>
  <si>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</si>
  <si>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</si>
  <si>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</si>
  <si>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</si>
  <si>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</si>
  <si>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</si>
  <si>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</si>
  <si>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</si>
  <si>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</si>
  <si>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</si>
  <si>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</si>
  <si>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</si>
  <si>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</si>
  <si>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</si>
  <si>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</si>
  <si>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</si>
  <si>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</si>
  <si>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</si>
  <si>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</si>
  <si>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</si>
  <si>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</si>
  <si>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</si>
  <si>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</si>
  <si>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</si>
  <si>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</si>
  <si>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</si>
  <si>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</si>
  <si>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</si>
  <si>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</si>
  <si>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</si>
  <si>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</si>
  <si>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</si>
  <si>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</si>
  <si>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</si>
  <si>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</si>
  <si>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</si>
  <si>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</si>
  <si>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</si>
  <si>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</si>
  <si>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</si>
  <si>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</si>
  <si>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</si>
  <si>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</si>
  <si>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</si>
  <si>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</si>
  <si>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</si>
  <si>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</si>
  <si>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</si>
  <si>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</si>
  <si>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</si>
  <si>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</si>
  <si>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</si>
  <si>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</si>
  <si>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</si>
  <si>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</si>
  <si>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</si>
  <si>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</si>
  <si>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</si>
  <si>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</si>
  <si>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</si>
  <si>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</si>
  <si>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</si>
  <si>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</si>
  <si>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</si>
  <si>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</si>
  <si>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</si>
  <si>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</si>
  <si>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</si>
  <si>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</si>
  <si>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</si>
  <si>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</si>
  <si>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</si>
  <si>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</si>
  <si>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</si>
  <si>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</si>
  <si>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</si>
  <si>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</si>
  <si>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</si>
  <si>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</si>
  <si>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</si>
  <si>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</si>
  <si>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</si>
  <si>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</si>
  <si>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</si>
  <si>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</si>
  <si>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</si>
  <si>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</si>
  <si>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</si>
  <si>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</si>
  <si>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</si>
  <si>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</si>
  <si>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</si>
  <si>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</si>
  <si>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</si>
  <si>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</si>
  <si>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</si>
  <si>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</si>
  <si>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</si>
  <si>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</si>
  <si>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</si>
  <si>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</si>
  <si>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</si>
  <si>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</si>
  <si>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</si>
  <si>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</si>
  <si>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</si>
  <si>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</si>
  <si>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</si>
  <si>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</si>
  <si>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</si>
  <si>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</si>
  <si>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</si>
  <si>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</si>
  <si>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</si>
  <si>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</si>
  <si>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</si>
  <si>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</si>
  <si>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</si>
  <si>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</si>
  <si>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</si>
  <si>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</si>
  <si>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</si>
  <si>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</si>
  <si>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</si>
  <si>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</si>
  <si>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</si>
  <si>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</si>
  <si>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</si>
  <si>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</si>
  <si>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</si>
  <si>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</si>
  <si>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</si>
  <si>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</si>
  <si>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</si>
  <si>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</si>
  <si>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</si>
  <si>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</si>
  <si>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</si>
  <si>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</si>
  <si>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</si>
  <si>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</si>
  <si>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</si>
  <si>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</si>
  <si>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</si>
  <si>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</si>
  <si>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</si>
  <si>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</si>
  <si>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</si>
  <si>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</si>
  <si>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</si>
  <si>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</si>
  <si>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</si>
  <si>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</si>
  <si>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</si>
  <si>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</si>
  <si>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</si>
  <si>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</si>
  <si>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</si>
  <si>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</si>
  <si>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</si>
  <si>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</si>
  <si>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</si>
  <si>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</si>
  <si>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</si>
  <si>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</si>
  <si>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</si>
  <si>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</si>
  <si>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</si>
  <si>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</si>
  <si>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</si>
  <si>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</si>
  <si>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</si>
  <si>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</si>
  <si>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</si>
  <si>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</si>
  <si>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</si>
  <si>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</si>
  <si>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</si>
  <si>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</si>
  <si>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</si>
  <si>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</si>
  <si>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</si>
  <si>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</si>
  <si>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</si>
  <si>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</si>
  <si>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</si>
  <si>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</si>
  <si>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</si>
  <si>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</si>
  <si>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</si>
  <si>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</si>
  <si>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</si>
  <si>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</si>
  <si>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</si>
  <si>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</si>
  <si>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</si>
  <si>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</si>
  <si>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</si>
  <si>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</si>
  <si>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</si>
  <si>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</si>
  <si>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</si>
  <si>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</si>
  <si>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</si>
  <si>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</si>
  <si>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</si>
  <si>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</si>
  <si>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</si>
  <si>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</si>
  <si>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</si>
  <si>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</si>
  <si>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</si>
  <si>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</si>
  <si>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</si>
  <si>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</si>
  <si>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</si>
  <si>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</si>
  <si>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</si>
  <si>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</si>
  <si>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</si>
  <si>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</si>
  <si>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</si>
  <si>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</si>
  <si>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</si>
  <si>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</si>
  <si>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</si>
  <si>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</si>
  <si>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</si>
  <si>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</si>
  <si>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</si>
  <si>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</si>
  <si>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</si>
  <si>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</si>
  <si>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</si>
  <si>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</si>
  <si>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</si>
  <si>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</si>
  <si>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</si>
  <si>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</si>
  <si>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</si>
  <si>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</si>
  <si>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</si>
  <si>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</si>
  <si>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</si>
  <si>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</si>
  <si>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</si>
  <si>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</si>
  <si>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</si>
  <si>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</si>
  <si>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</si>
  <si>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</si>
  <si>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</si>
  <si>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</si>
  <si>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</si>
  <si>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</si>
  <si>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</si>
  <si>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</si>
  <si>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</si>
  <si>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</si>
  <si>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</si>
  <si>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</si>
  <si>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</si>
  <si>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</si>
  <si>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</si>
  <si>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</si>
  <si>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</si>
  <si>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</si>
  <si>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</si>
  <si>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</si>
  <si>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</si>
  <si>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</si>
  <si>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</si>
  <si>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</si>
  <si>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</si>
  <si>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</si>
  <si>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</si>
  <si>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</si>
  <si>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</si>
  <si>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</si>
  <si>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</si>
  <si>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</si>
  <si>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</si>
  <si>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</si>
  <si>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</si>
  <si>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</si>
  <si>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</si>
  <si>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</si>
  <si>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13014</t>
  </si>
  <si>
    <t>HOOGSTRATEN</t>
  </si>
  <si>
    <t>referentietaak LNE (2017); Jaarverslag De Lijn</t>
  </si>
  <si>
    <t>Meer Fresh Products bvba</t>
  </si>
  <si>
    <t>Kettingdreef 3, 2321 Meer</t>
  </si>
  <si>
    <t>WKK-0120 Meer Fresh products</t>
  </si>
  <si>
    <t>interne verbrandingsmotor</t>
  </si>
  <si>
    <t>WKK interne verbrandinsgmotor (gas)</t>
  </si>
  <si>
    <t>IVEKA</t>
  </si>
  <si>
    <t>Vergo Energie</t>
  </si>
  <si>
    <t>Maxburghdreef 6A, 2321 Meer</t>
  </si>
  <si>
    <t>WKK-0122 Vergo Energie</t>
  </si>
  <si>
    <t>Groeikracht Rielbro NV</t>
  </si>
  <si>
    <t>Eindsestraat 1d, 2321 Meer</t>
  </si>
  <si>
    <t>WKK-0141 Groeikracht Rielbro</t>
  </si>
  <si>
    <t>Pafa bvba</t>
  </si>
  <si>
    <t>Maxburgdreef 36A, 2321 Meer</t>
  </si>
  <si>
    <t>WKK-0164 Pafa</t>
  </si>
  <si>
    <t>Rovak bvba</t>
  </si>
  <si>
    <t>Gaarshof 12 , 2321 Meer</t>
  </si>
  <si>
    <t>WKK-0180 Rovak bvba</t>
  </si>
  <si>
    <t>Desta NV</t>
  </si>
  <si>
    <t>Heerle 11 , 2320 Hoogstraten</t>
  </si>
  <si>
    <t>WKK-0233 Desta NV</t>
  </si>
  <si>
    <t>Willy Jacobs</t>
  </si>
  <si>
    <t>Oosteneind 2 A, 2328 Meerle</t>
  </si>
  <si>
    <t>WKK-0312 Willy Jacobs</t>
  </si>
  <si>
    <t>WKK interne verbrandinsgmotor (vloeibaar)</t>
  </si>
  <si>
    <t>eilandwerking</t>
  </si>
  <si>
    <t>Malve NV</t>
  </si>
  <si>
    <t>John Lijsenstraat 49 , 2321 Meer</t>
  </si>
  <si>
    <t>WKK-0403 Malve</t>
  </si>
  <si>
    <t>Biolectric nv</t>
  </si>
  <si>
    <t>Jan de Malschelaan 4 B, 9140 Temse</t>
  </si>
  <si>
    <t>WKK-0479 Peter Vermeiren</t>
  </si>
  <si>
    <t>Hal 19 , 2322 Minderhout</t>
  </si>
  <si>
    <t>WKK-0510 Jan Vermeiren</t>
  </si>
  <si>
    <t>Beemden 18 , 2322 Minderhout</t>
  </si>
  <si>
    <t>Adams Herman BVBA</t>
  </si>
  <si>
    <t>Eindsestraat 14 , 2321 Meer</t>
  </si>
  <si>
    <t>WKK-0578 Adams Herman</t>
  </si>
  <si>
    <t>WKK-0581 Vergo II</t>
  </si>
  <si>
    <t>Maxburgdreef 6A , 2321 Meer</t>
  </si>
  <si>
    <t>Boeren Frank bvba</t>
  </si>
  <si>
    <t>Langstraat 8 a, 2328 Meerle</t>
  </si>
  <si>
    <t>WKK-0544 Frank Boeren</t>
  </si>
  <si>
    <t>Jacobs-Braspenning bvba</t>
  </si>
  <si>
    <t>Slikgat 4 , 2328 Meerle</t>
  </si>
  <si>
    <t>WKK-0590 Jacobs-Braspenning</t>
  </si>
  <si>
    <t>WKK-0543 Meer Fresh Products II</t>
  </si>
  <si>
    <t>Kettingdreef 3 , 2321 Meer</t>
  </si>
  <si>
    <t>WKK-0686 Rovak II</t>
  </si>
  <si>
    <t>VW Tuinderijen I</t>
  </si>
  <si>
    <t>WKK-0734</t>
  </si>
  <si>
    <t>Interne verbrandingsmotor</t>
  </si>
  <si>
    <t>Kettingdreef 7</t>
  </si>
  <si>
    <t>IVEKA (via EANDIS)</t>
  </si>
  <si>
    <t>VW Tuinderijen II</t>
  </si>
  <si>
    <t>WKK-0735</t>
  </si>
  <si>
    <t>Proefcentrum Hoogstraten</t>
  </si>
  <si>
    <t>WKK-0749</t>
  </si>
  <si>
    <t>Voort 71</t>
  </si>
  <si>
    <t>Aquafin NV</t>
  </si>
  <si>
    <t>Dijkstraat 8 , 2630 Aartselaar</t>
  </si>
  <si>
    <t>BGS-0044 RWZI Hoogstraten</t>
  </si>
  <si>
    <t>biogas - RWZI</t>
  </si>
  <si>
    <t>niet WKK interne verbrandingsmotor (gas)</t>
  </si>
  <si>
    <t>Rollekens 4 , 2320 Hoogstraten</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</si>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</sst>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188992.31942342996</c:v>
                </c:pt>
                <c:pt idx="1">
                  <c:v>128149.94269313334</c:v>
                </c:pt>
                <c:pt idx="2">
                  <c:v>1440.163</c:v>
                </c:pt>
                <c:pt idx="3">
                  <c:v>335929.56386621716</c:v>
                </c:pt>
                <c:pt idx="4">
                  <c:v>219193.20604507028</c:v>
                </c:pt>
                <c:pt idx="5">
                  <c:v>310942.72998739535</c:v>
                </c:pt>
                <c:pt idx="6">
                  <c:v>1745.1694544331081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188992.31942342996</c:v>
                </c:pt>
                <c:pt idx="1">
                  <c:v>128149.94269313334</c:v>
                </c:pt>
                <c:pt idx="2">
                  <c:v>1440.163</c:v>
                </c:pt>
                <c:pt idx="3">
                  <c:v>335929.56386621716</c:v>
                </c:pt>
                <c:pt idx="4">
                  <c:v>219193.20604507028</c:v>
                </c:pt>
                <c:pt idx="5">
                  <c:v>310942.72998739535</c:v>
                </c:pt>
                <c:pt idx="6">
                  <c:v>1745.1694544331081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30563.711085118288</c:v>
                </c:pt>
                <c:pt idx="1">
                  <c:v>23820.634607146709</c:v>
                </c:pt>
                <c:pt idx="2">
                  <c:v>225.63856285713382</c:v>
                </c:pt>
                <c:pt idx="3">
                  <c:v>80424.718969707799</c:v>
                </c:pt>
                <c:pt idx="4">
                  <c:v>41336.703858943249</c:v>
                </c:pt>
                <c:pt idx="5">
                  <c:v>77588.277870541264</c:v>
                </c:pt>
                <c:pt idx="6">
                  <c:v>441.4294089759689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30563.711085118288</c:v>
                </c:pt>
                <c:pt idx="1">
                  <c:v>23820.634607146709</c:v>
                </c:pt>
                <c:pt idx="2">
                  <c:v>225.63856285713382</c:v>
                </c:pt>
                <c:pt idx="3">
                  <c:v>80424.718969707799</c:v>
                </c:pt>
                <c:pt idx="4">
                  <c:v>41336.703858943249</c:v>
                </c:pt>
                <c:pt idx="5">
                  <c:v>77588.277870541264</c:v>
                </c:pt>
                <c:pt idx="6">
                  <c:v>441.4294089759689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13014</v>
      </c>
      <c r="B6" s="390"/>
      <c r="C6" s="391"/>
    </row>
    <row r="7" spans="1:7" s="388" customFormat="1" ht="15.75" customHeight="1">
      <c r="A7" s="392" t="str">
        <f>txtMunicipality</f>
        <v>HOOGSTRATEN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0.15667571160843169</v>
      </c>
      <c r="C17" s="501">
        <f ca="1">'EF ele_warmte'!B22</f>
        <v>0.23418464858378765</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0.15667571160843169</v>
      </c>
      <c r="C29" s="502">
        <f ca="1">'EF ele_warmte'!B22</f>
        <v>0.23418464858378765</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8590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6306.59</v>
      </c>
      <c r="C14" s="330"/>
      <c r="D14" s="330"/>
      <c r="E14" s="330"/>
      <c r="F14" s="330"/>
    </row>
    <row r="15" spans="1:6">
      <c r="A15" s="1298" t="s">
        <v>183</v>
      </c>
      <c r="B15" s="1299">
        <v>2798</v>
      </c>
      <c r="C15" s="330"/>
      <c r="D15" s="330"/>
      <c r="E15" s="330"/>
      <c r="F15" s="330"/>
    </row>
    <row r="16" spans="1:6">
      <c r="A16" s="1298" t="s">
        <v>6</v>
      </c>
      <c r="B16" s="1299">
        <v>7178</v>
      </c>
      <c r="C16" s="330"/>
      <c r="D16" s="330"/>
      <c r="E16" s="330"/>
      <c r="F16" s="330"/>
    </row>
    <row r="17" spans="1:6">
      <c r="A17" s="1298" t="s">
        <v>7</v>
      </c>
      <c r="B17" s="1299">
        <v>755</v>
      </c>
      <c r="C17" s="330"/>
      <c r="D17" s="330"/>
      <c r="E17" s="330"/>
      <c r="F17" s="330"/>
    </row>
    <row r="18" spans="1:6">
      <c r="A18" s="1298" t="s">
        <v>8</v>
      </c>
      <c r="B18" s="1299">
        <v>3795</v>
      </c>
      <c r="C18" s="330"/>
      <c r="D18" s="330"/>
      <c r="E18" s="330"/>
      <c r="F18" s="330"/>
    </row>
    <row r="19" spans="1:6">
      <c r="A19" s="1298" t="s">
        <v>9</v>
      </c>
      <c r="B19" s="1299">
        <v>3637</v>
      </c>
      <c r="C19" s="330"/>
      <c r="D19" s="330"/>
      <c r="E19" s="330"/>
      <c r="F19" s="330"/>
    </row>
    <row r="20" spans="1:6">
      <c r="A20" s="1298" t="s">
        <v>10</v>
      </c>
      <c r="B20" s="1299">
        <v>1778</v>
      </c>
      <c r="C20" s="330"/>
      <c r="D20" s="330"/>
      <c r="E20" s="330"/>
      <c r="F20" s="330"/>
    </row>
    <row r="21" spans="1:6">
      <c r="A21" s="1298" t="s">
        <v>11</v>
      </c>
      <c r="B21" s="1299">
        <v>77607</v>
      </c>
      <c r="C21" s="330"/>
      <c r="D21" s="330"/>
      <c r="E21" s="330"/>
      <c r="F21" s="330"/>
    </row>
    <row r="22" spans="1:6">
      <c r="A22" s="1298" t="s">
        <v>12</v>
      </c>
      <c r="B22" s="1299">
        <v>171365</v>
      </c>
      <c r="C22" s="330"/>
      <c r="D22" s="330"/>
      <c r="E22" s="330"/>
      <c r="F22" s="330"/>
    </row>
    <row r="23" spans="1:6">
      <c r="A23" s="1298" t="s">
        <v>13</v>
      </c>
      <c r="B23" s="1299">
        <v>3968</v>
      </c>
      <c r="C23" s="330"/>
      <c r="D23" s="330"/>
      <c r="E23" s="330"/>
      <c r="F23" s="330"/>
    </row>
    <row r="24" spans="1:6">
      <c r="A24" s="1298" t="s">
        <v>14</v>
      </c>
      <c r="B24" s="1299">
        <v>205</v>
      </c>
      <c r="C24" s="330"/>
      <c r="D24" s="330"/>
      <c r="E24" s="330"/>
      <c r="F24" s="330"/>
    </row>
    <row r="25" spans="1:6">
      <c r="A25" s="1298" t="s">
        <v>15</v>
      </c>
      <c r="B25" s="1299">
        <v>14689</v>
      </c>
      <c r="C25" s="330"/>
      <c r="D25" s="330"/>
      <c r="E25" s="330"/>
      <c r="F25" s="330"/>
    </row>
    <row r="26" spans="1:6">
      <c r="A26" s="1298" t="s">
        <v>16</v>
      </c>
      <c r="B26" s="1299">
        <v>597</v>
      </c>
      <c r="C26" s="330"/>
      <c r="D26" s="330"/>
      <c r="E26" s="330"/>
      <c r="F26" s="330"/>
    </row>
    <row r="27" spans="1:6">
      <c r="A27" s="1298" t="s">
        <v>17</v>
      </c>
      <c r="B27" s="1299">
        <v>2141</v>
      </c>
      <c r="C27" s="330"/>
      <c r="D27" s="330"/>
      <c r="E27" s="330"/>
      <c r="F27" s="330"/>
    </row>
    <row r="28" spans="1:6" s="43" customFormat="1">
      <c r="A28" s="1300" t="s">
        <v>18</v>
      </c>
      <c r="B28" s="1301">
        <v>1521193</v>
      </c>
      <c r="C28" s="336"/>
      <c r="D28" s="336"/>
      <c r="E28" s="336"/>
      <c r="F28" s="336"/>
    </row>
    <row r="29" spans="1:6">
      <c r="A29" s="1300" t="s">
        <v>705</v>
      </c>
      <c r="B29" s="1301">
        <v>348</v>
      </c>
      <c r="C29" s="336"/>
      <c r="D29" s="336"/>
      <c r="E29" s="336"/>
      <c r="F29" s="336"/>
    </row>
    <row r="30" spans="1:6">
      <c r="A30" s="1293" t="s">
        <v>706</v>
      </c>
      <c r="B30" s="1302">
        <v>101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4</v>
      </c>
      <c r="F35" s="1299">
        <v>351247.33100000001</v>
      </c>
    </row>
    <row r="36" spans="1:6">
      <c r="A36" s="1298" t="s">
        <v>24</v>
      </c>
      <c r="B36" s="1298" t="s">
        <v>26</v>
      </c>
      <c r="C36" s="1299">
        <v>0</v>
      </c>
      <c r="D36" s="1299">
        <v>0</v>
      </c>
      <c r="E36" s="1299">
        <v>7</v>
      </c>
      <c r="F36" s="1299">
        <v>454303.00300000003</v>
      </c>
    </row>
    <row r="37" spans="1:6">
      <c r="A37" s="1298" t="s">
        <v>24</v>
      </c>
      <c r="B37" s="1298" t="s">
        <v>27</v>
      </c>
      <c r="C37" s="1299">
        <v>0</v>
      </c>
      <c r="D37" s="1299">
        <v>0</v>
      </c>
      <c r="E37" s="1299">
        <v>0</v>
      </c>
      <c r="F37" s="1299">
        <v>0</v>
      </c>
    </row>
    <row r="38" spans="1:6">
      <c r="A38" s="1298" t="s">
        <v>24</v>
      </c>
      <c r="B38" s="1298" t="s">
        <v>28</v>
      </c>
      <c r="C38" s="1299">
        <v>3</v>
      </c>
      <c r="D38" s="1299">
        <v>74756934.620000005</v>
      </c>
      <c r="E38" s="1299">
        <v>9</v>
      </c>
      <c r="F38" s="1299">
        <v>215574.20300000001</v>
      </c>
    </row>
    <row r="39" spans="1:6">
      <c r="A39" s="1298" t="s">
        <v>29</v>
      </c>
      <c r="B39" s="1298" t="s">
        <v>30</v>
      </c>
      <c r="C39" s="1299">
        <v>5941</v>
      </c>
      <c r="D39" s="1299">
        <v>100046022.40000001</v>
      </c>
      <c r="E39" s="1299">
        <v>8131</v>
      </c>
      <c r="F39" s="1299">
        <v>31152577.640000001</v>
      </c>
    </row>
    <row r="40" spans="1:6">
      <c r="A40" s="1298" t="s">
        <v>29</v>
      </c>
      <c r="B40" s="1298" t="s">
        <v>28</v>
      </c>
      <c r="C40" s="1299">
        <v>1</v>
      </c>
      <c r="D40" s="1299">
        <v>28356.030999999999</v>
      </c>
      <c r="E40" s="1299">
        <v>1</v>
      </c>
      <c r="F40" s="1299">
        <v>3717.877</v>
      </c>
    </row>
    <row r="41" spans="1:6">
      <c r="A41" s="1298" t="s">
        <v>31</v>
      </c>
      <c r="B41" s="1298" t="s">
        <v>32</v>
      </c>
      <c r="C41" s="1299">
        <v>42</v>
      </c>
      <c r="D41" s="1299">
        <v>3395408.3620000002</v>
      </c>
      <c r="E41" s="1299">
        <v>167</v>
      </c>
      <c r="F41" s="1299">
        <v>25464747.309999999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6</v>
      </c>
      <c r="D44" s="1299">
        <v>783717.53200000001</v>
      </c>
      <c r="E44" s="1299">
        <v>13</v>
      </c>
      <c r="F44" s="1299">
        <v>894534.53300000005</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7</v>
      </c>
      <c r="D47" s="1299">
        <v>1420536.4779999999</v>
      </c>
      <c r="E47" s="1299">
        <v>10</v>
      </c>
      <c r="F47" s="1299">
        <v>3281588.2370000002</v>
      </c>
    </row>
    <row r="48" spans="1:6">
      <c r="A48" s="1298" t="s">
        <v>31</v>
      </c>
      <c r="B48" s="1298" t="s">
        <v>28</v>
      </c>
      <c r="C48" s="1299">
        <v>92</v>
      </c>
      <c r="D48" s="1299">
        <v>68871339.879999995</v>
      </c>
      <c r="E48" s="1299">
        <v>138</v>
      </c>
      <c r="F48" s="1299">
        <v>71839051.650000006</v>
      </c>
    </row>
    <row r="49" spans="1:6">
      <c r="A49" s="1298" t="s">
        <v>31</v>
      </c>
      <c r="B49" s="1298" t="s">
        <v>39</v>
      </c>
      <c r="C49" s="1299">
        <v>0</v>
      </c>
      <c r="D49" s="1299">
        <v>0</v>
      </c>
      <c r="E49" s="1299">
        <v>0</v>
      </c>
      <c r="F49" s="1299">
        <v>0</v>
      </c>
    </row>
    <row r="50" spans="1:6">
      <c r="A50" s="1298" t="s">
        <v>31</v>
      </c>
      <c r="B50" s="1298" t="s">
        <v>40</v>
      </c>
      <c r="C50" s="1299">
        <v>7</v>
      </c>
      <c r="D50" s="1299">
        <v>486355.71</v>
      </c>
      <c r="E50" s="1299">
        <v>8</v>
      </c>
      <c r="F50" s="1299">
        <v>215917.64199999999</v>
      </c>
    </row>
    <row r="51" spans="1:6">
      <c r="A51" s="1298" t="s">
        <v>41</v>
      </c>
      <c r="B51" s="1298" t="s">
        <v>42</v>
      </c>
      <c r="C51" s="1299">
        <v>33</v>
      </c>
      <c r="D51" s="1299">
        <v>377095250.60000002</v>
      </c>
      <c r="E51" s="1299">
        <v>441</v>
      </c>
      <c r="F51" s="1299">
        <v>24411647.350000001</v>
      </c>
    </row>
    <row r="52" spans="1:6">
      <c r="A52" s="1298" t="s">
        <v>41</v>
      </c>
      <c r="B52" s="1298" t="s">
        <v>28</v>
      </c>
      <c r="C52" s="1299">
        <v>30</v>
      </c>
      <c r="D52" s="1299">
        <v>34343273.600000001</v>
      </c>
      <c r="E52" s="1299">
        <v>38</v>
      </c>
      <c r="F52" s="1299">
        <v>1300115.7220000001</v>
      </c>
    </row>
    <row r="53" spans="1:6">
      <c r="A53" s="1298" t="s">
        <v>43</v>
      </c>
      <c r="B53" s="1298" t="s">
        <v>44</v>
      </c>
      <c r="C53" s="1299">
        <v>143</v>
      </c>
      <c r="D53" s="1299">
        <v>2657528.6970000002</v>
      </c>
      <c r="E53" s="1299">
        <v>311</v>
      </c>
      <c r="F53" s="1299">
        <v>1657171.175</v>
      </c>
    </row>
    <row r="54" spans="1:6">
      <c r="A54" s="1298" t="s">
        <v>45</v>
      </c>
      <c r="B54" s="1298" t="s">
        <v>46</v>
      </c>
      <c r="C54" s="1299">
        <v>0</v>
      </c>
      <c r="D54" s="1299">
        <v>0</v>
      </c>
      <c r="E54" s="1299">
        <v>3</v>
      </c>
      <c r="F54" s="1299">
        <v>1440163</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39</v>
      </c>
      <c r="D57" s="1299">
        <v>1371319.047</v>
      </c>
      <c r="E57" s="1299">
        <v>110</v>
      </c>
      <c r="F57" s="1299">
        <v>2651655.1340000001</v>
      </c>
    </row>
    <row r="58" spans="1:6">
      <c r="A58" s="1298" t="s">
        <v>48</v>
      </c>
      <c r="B58" s="1298" t="s">
        <v>50</v>
      </c>
      <c r="C58" s="1299">
        <v>25</v>
      </c>
      <c r="D58" s="1299">
        <v>650288.53500000003</v>
      </c>
      <c r="E58" s="1299">
        <v>36</v>
      </c>
      <c r="F58" s="1299">
        <v>250597.80499999999</v>
      </c>
    </row>
    <row r="59" spans="1:6">
      <c r="A59" s="1298" t="s">
        <v>48</v>
      </c>
      <c r="B59" s="1298" t="s">
        <v>51</v>
      </c>
      <c r="C59" s="1299">
        <v>69</v>
      </c>
      <c r="D59" s="1299">
        <v>3101173.1490000002</v>
      </c>
      <c r="E59" s="1299">
        <v>191</v>
      </c>
      <c r="F59" s="1299">
        <v>11670077.869999999</v>
      </c>
    </row>
    <row r="60" spans="1:6">
      <c r="A60" s="1298" t="s">
        <v>48</v>
      </c>
      <c r="B60" s="1298" t="s">
        <v>52</v>
      </c>
      <c r="C60" s="1299">
        <v>77</v>
      </c>
      <c r="D60" s="1299">
        <v>4171383.7370000002</v>
      </c>
      <c r="E60" s="1299">
        <v>102</v>
      </c>
      <c r="F60" s="1299">
        <v>3362863.1910000001</v>
      </c>
    </row>
    <row r="61" spans="1:6">
      <c r="A61" s="1298" t="s">
        <v>48</v>
      </c>
      <c r="B61" s="1298" t="s">
        <v>53</v>
      </c>
      <c r="C61" s="1299">
        <v>200</v>
      </c>
      <c r="D61" s="1299">
        <v>11037256.76</v>
      </c>
      <c r="E61" s="1299">
        <v>467</v>
      </c>
      <c r="F61" s="1299">
        <v>11525462.76</v>
      </c>
    </row>
    <row r="62" spans="1:6">
      <c r="A62" s="1298" t="s">
        <v>48</v>
      </c>
      <c r="B62" s="1298" t="s">
        <v>54</v>
      </c>
      <c r="C62" s="1299">
        <v>12</v>
      </c>
      <c r="D62" s="1299">
        <v>3035018.1529999999</v>
      </c>
      <c r="E62" s="1299">
        <v>7</v>
      </c>
      <c r="F62" s="1299">
        <v>1122160.6540000001</v>
      </c>
    </row>
    <row r="63" spans="1:6">
      <c r="A63" s="1298" t="s">
        <v>48</v>
      </c>
      <c r="B63" s="1298" t="s">
        <v>28</v>
      </c>
      <c r="C63" s="1299">
        <v>209</v>
      </c>
      <c r="D63" s="1299">
        <v>56329118.740000002</v>
      </c>
      <c r="E63" s="1299">
        <v>298</v>
      </c>
      <c r="F63" s="1299">
        <v>21181480.460000001</v>
      </c>
    </row>
    <row r="64" spans="1:6">
      <c r="A64" s="1298" t="s">
        <v>55</v>
      </c>
      <c r="B64" s="1298" t="s">
        <v>56</v>
      </c>
      <c r="C64" s="1299">
        <v>0</v>
      </c>
      <c r="D64" s="1299">
        <v>0</v>
      </c>
      <c r="E64" s="1299">
        <v>0</v>
      </c>
      <c r="F64" s="1299">
        <v>0</v>
      </c>
    </row>
    <row r="65" spans="1:6">
      <c r="A65" s="1298" t="s">
        <v>55</v>
      </c>
      <c r="B65" s="1298" t="s">
        <v>28</v>
      </c>
      <c r="C65" s="1299">
        <v>5</v>
      </c>
      <c r="D65" s="1299">
        <v>174354.52799999999</v>
      </c>
      <c r="E65" s="1299">
        <v>5</v>
      </c>
      <c r="F65" s="1299">
        <v>119122.558</v>
      </c>
    </row>
    <row r="66" spans="1:6">
      <c r="A66" s="1298" t="s">
        <v>55</v>
      </c>
      <c r="B66" s="1298" t="s">
        <v>57</v>
      </c>
      <c r="C66" s="1299">
        <v>0</v>
      </c>
      <c r="D66" s="1299">
        <v>0</v>
      </c>
      <c r="E66" s="1299">
        <v>14</v>
      </c>
      <c r="F66" s="1299">
        <v>689577.90300000005</v>
      </c>
    </row>
    <row r="67" spans="1:6">
      <c r="A67" s="1300" t="s">
        <v>55</v>
      </c>
      <c r="B67" s="1300" t="s">
        <v>58</v>
      </c>
      <c r="C67" s="1299">
        <v>0</v>
      </c>
      <c r="D67" s="1299">
        <v>0</v>
      </c>
      <c r="E67" s="1299">
        <v>0</v>
      </c>
      <c r="F67" s="1299">
        <v>0</v>
      </c>
    </row>
    <row r="68" spans="1:6">
      <c r="A68" s="1293" t="s">
        <v>55</v>
      </c>
      <c r="B68" s="1293" t="s">
        <v>59</v>
      </c>
      <c r="C68" s="1302">
        <v>0</v>
      </c>
      <c r="D68" s="1302">
        <v>0</v>
      </c>
      <c r="E68" s="1302">
        <v>23</v>
      </c>
      <c r="F68" s="1302">
        <v>628937.68599999999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83256300</v>
      </c>
      <c r="E73" s="450"/>
      <c r="F73" s="330"/>
    </row>
    <row r="74" spans="1:6">
      <c r="A74" s="1298" t="s">
        <v>63</v>
      </c>
      <c r="B74" s="1298" t="s">
        <v>647</v>
      </c>
      <c r="C74" s="1312" t="s">
        <v>649</v>
      </c>
      <c r="D74" s="1313">
        <v>9528478.5</v>
      </c>
      <c r="E74" s="450"/>
      <c r="F74" s="330"/>
    </row>
    <row r="75" spans="1:6">
      <c r="A75" s="1298" t="s">
        <v>64</v>
      </c>
      <c r="B75" s="1298" t="s">
        <v>646</v>
      </c>
      <c r="C75" s="1312" t="s">
        <v>650</v>
      </c>
      <c r="D75" s="1313">
        <v>40134092</v>
      </c>
      <c r="E75" s="450"/>
      <c r="F75" s="330"/>
    </row>
    <row r="76" spans="1:6">
      <c r="A76" s="1298" t="s">
        <v>64</v>
      </c>
      <c r="B76" s="1298" t="s">
        <v>647</v>
      </c>
      <c r="C76" s="1312" t="s">
        <v>651</v>
      </c>
      <c r="D76" s="1313">
        <v>543173.5</v>
      </c>
      <c r="E76" s="450"/>
      <c r="F76" s="330"/>
    </row>
    <row r="77" spans="1:6">
      <c r="A77" s="1298" t="s">
        <v>65</v>
      </c>
      <c r="B77" s="1298" t="s">
        <v>646</v>
      </c>
      <c r="C77" s="1312" t="s">
        <v>652</v>
      </c>
      <c r="D77" s="1313">
        <v>140052313</v>
      </c>
      <c r="E77" s="450"/>
      <c r="F77" s="330"/>
    </row>
    <row r="78" spans="1:6">
      <c r="A78" s="1293" t="s">
        <v>65</v>
      </c>
      <c r="B78" s="1293" t="s">
        <v>647</v>
      </c>
      <c r="C78" s="1293" t="s">
        <v>653</v>
      </c>
      <c r="D78" s="1314">
        <v>38174059</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479063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67571.266451211399</v>
      </c>
      <c r="C90" s="330"/>
      <c r="D90" s="330"/>
      <c r="E90" s="330"/>
      <c r="F90" s="330"/>
    </row>
    <row r="91" spans="1:6">
      <c r="A91" s="1298" t="s">
        <v>67</v>
      </c>
      <c r="B91" s="1299">
        <v>5572.8180250431415</v>
      </c>
      <c r="C91" s="330"/>
      <c r="D91" s="330"/>
      <c r="E91" s="330"/>
      <c r="F91" s="330"/>
    </row>
    <row r="92" spans="1:6">
      <c r="A92" s="1293" t="s">
        <v>68</v>
      </c>
      <c r="B92" s="1294">
        <v>4671.8472258606989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2912</v>
      </c>
      <c r="C97" s="330"/>
      <c r="D97" s="330"/>
      <c r="E97" s="330"/>
      <c r="F97" s="330"/>
    </row>
    <row r="98" spans="1:6">
      <c r="A98" s="1298" t="s">
        <v>71</v>
      </c>
      <c r="B98" s="1299">
        <v>9</v>
      </c>
      <c r="C98" s="330"/>
      <c r="D98" s="330"/>
      <c r="E98" s="330"/>
      <c r="F98" s="330"/>
    </row>
    <row r="99" spans="1:6">
      <c r="A99" s="1298" t="s">
        <v>72</v>
      </c>
      <c r="B99" s="1299">
        <v>149</v>
      </c>
      <c r="C99" s="330"/>
      <c r="D99" s="330"/>
      <c r="E99" s="330"/>
      <c r="F99" s="330"/>
    </row>
    <row r="100" spans="1:6">
      <c r="A100" s="1298" t="s">
        <v>73</v>
      </c>
      <c r="B100" s="1299">
        <v>429</v>
      </c>
      <c r="C100" s="330"/>
      <c r="D100" s="330"/>
      <c r="E100" s="330"/>
      <c r="F100" s="330"/>
    </row>
    <row r="101" spans="1:6">
      <c r="A101" s="1298" t="s">
        <v>74</v>
      </c>
      <c r="B101" s="1299">
        <v>128</v>
      </c>
      <c r="C101" s="330"/>
      <c r="D101" s="330"/>
      <c r="E101" s="330"/>
      <c r="F101" s="330"/>
    </row>
    <row r="102" spans="1:6">
      <c r="A102" s="1298" t="s">
        <v>75</v>
      </c>
      <c r="B102" s="1299">
        <v>67</v>
      </c>
      <c r="C102" s="330"/>
      <c r="D102" s="330"/>
      <c r="E102" s="330"/>
      <c r="F102" s="330"/>
    </row>
    <row r="103" spans="1:6">
      <c r="A103" s="1298" t="s">
        <v>76</v>
      </c>
      <c r="B103" s="1299">
        <v>104</v>
      </c>
      <c r="C103" s="330"/>
      <c r="D103" s="330"/>
      <c r="E103" s="330"/>
      <c r="F103" s="330"/>
    </row>
    <row r="104" spans="1:6">
      <c r="A104" s="1298" t="s">
        <v>77</v>
      </c>
      <c r="B104" s="1299">
        <v>2695</v>
      </c>
      <c r="C104" s="330"/>
      <c r="D104" s="330"/>
      <c r="E104" s="330"/>
      <c r="F104" s="330"/>
    </row>
    <row r="105" spans="1:6">
      <c r="A105" s="1293" t="s">
        <v>78</v>
      </c>
      <c r="B105" s="1302">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2</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72</v>
      </c>
      <c r="C123" s="1299">
        <v>58</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293</v>
      </c>
      <c r="C129" s="330"/>
      <c r="D129" s="330"/>
      <c r="E129" s="330"/>
      <c r="F129" s="330"/>
    </row>
    <row r="130" spans="1:6">
      <c r="A130" s="1298" t="s">
        <v>294</v>
      </c>
      <c r="B130" s="1299">
        <v>5</v>
      </c>
      <c r="C130" s="330"/>
      <c r="D130" s="330"/>
      <c r="E130" s="330"/>
      <c r="F130" s="330"/>
    </row>
    <row r="131" spans="1:6">
      <c r="A131" s="1298" t="s">
        <v>295</v>
      </c>
      <c r="B131" s="1299">
        <v>5</v>
      </c>
      <c r="C131" s="330"/>
      <c r="D131" s="330"/>
      <c r="E131" s="330"/>
      <c r="F131" s="330"/>
    </row>
    <row r="132" spans="1:6">
      <c r="A132" s="1293" t="s">
        <v>296</v>
      </c>
      <c r="B132" s="1294">
        <v>49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230014.3424687809</v>
      </c>
      <c r="C3" s="43" t="s">
        <v>169</v>
      </c>
      <c r="D3" s="43"/>
      <c r="E3" s="154"/>
      <c r="F3" s="43"/>
      <c r="G3" s="43"/>
      <c r="H3" s="43"/>
      <c r="I3" s="43"/>
      <c r="J3" s="43"/>
      <c r="K3" s="96"/>
    </row>
    <row r="4" spans="1:11">
      <c r="A4" s="358" t="s">
        <v>170</v>
      </c>
      <c r="B4" s="49">
        <f>IF(ISERROR('SEAP template'!B78+'SEAP template'!C78),0,'SEAP template'!B78+'SEAP template'!C78)</f>
        <v>239163.88170211526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37471.171356713683</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0.15667571160843169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53264.077214714889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227444.78571428574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0.23418464858378765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1440.163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1440.163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0.15667571160843169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225.63856285713382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31156.295517000002</v>
      </c>
      <c r="C5" s="17">
        <f>IF(ISERROR('Eigen informatie GS &amp; warmtenet'!B59),0,'Eigen informatie GS &amp; warmtenet'!B59)</f>
        <v>0</v>
      </c>
      <c r="D5" s="30">
        <f>(SUM(HH_hh_gas_kWh,HH_rest_gas_kWh)/1000)*0.902</f>
        <v>90267.089344762004</v>
      </c>
      <c r="E5" s="17">
        <f>B46*B57</f>
        <v>28965.634522158001</v>
      </c>
      <c r="F5" s="17">
        <f>B51*B62</f>
        <v>0</v>
      </c>
      <c r="G5" s="18"/>
      <c r="H5" s="17"/>
      <c r="I5" s="17"/>
      <c r="J5" s="17">
        <f>B50*B61+C50*C61</f>
        <v>0</v>
      </c>
      <c r="K5" s="17"/>
      <c r="L5" s="17"/>
      <c r="M5" s="17"/>
      <c r="N5" s="17">
        <f>B48*B59+C48*C59</f>
        <v>31046.985685705</v>
      </c>
      <c r="O5" s="17">
        <f>B69*B70*B71</f>
        <v>698.35329322423524</v>
      </c>
      <c r="P5" s="17">
        <f>B77*B78*B79/1000-B77*B78*B79/1000/B80</f>
        <v>1285.1430355375728</v>
      </c>
    </row>
    <row r="6" spans="1:16">
      <c r="A6" s="16" t="s">
        <v>611</v>
      </c>
      <c r="B6" s="783">
        <f>kWh_PV_kleiner_dan_10kW</f>
        <v>5572.8180250431415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36729.113542043146</v>
      </c>
      <c r="C8" s="21">
        <f>C5</f>
        <v>0</v>
      </c>
      <c r="D8" s="21">
        <f>D5</f>
        <v>90267.089344762004</v>
      </c>
      <c r="E8" s="21">
        <f>E5</f>
        <v>28965.634522158001</v>
      </c>
      <c r="F8" s="21">
        <f>F5</f>
        <v>0</v>
      </c>
      <c r="G8" s="21"/>
      <c r="H8" s="21"/>
      <c r="I8" s="21"/>
      <c r="J8" s="21">
        <f>J5</f>
        <v>0</v>
      </c>
      <c r="K8" s="21"/>
      <c r="L8" s="21">
        <f>L5</f>
        <v>0</v>
      </c>
      <c r="M8" s="21">
        <f>M5</f>
        <v>0</v>
      </c>
      <c r="N8" s="21">
        <f>N5</f>
        <v>31046.985685705</v>
      </c>
      <c r="O8" s="21">
        <f>O5</f>
        <v>698.35329322423524</v>
      </c>
      <c r="P8" s="21">
        <f>P5</f>
        <v>1285.1430355375728</v>
      </c>
    </row>
    <row r="9" spans="1:16">
      <c r="B9" s="19"/>
      <c r="C9" s="19"/>
      <c r="D9" s="258"/>
      <c r="E9" s="19"/>
      <c r="F9" s="19"/>
      <c r="G9" s="19"/>
      <c r="H9" s="19"/>
      <c r="I9" s="19"/>
      <c r="J9" s="19"/>
      <c r="K9" s="19"/>
      <c r="L9" s="19"/>
      <c r="M9" s="19"/>
      <c r="N9" s="19"/>
      <c r="O9" s="19"/>
      <c r="P9" s="19"/>
    </row>
    <row r="10" spans="1:16">
      <c r="A10" s="24" t="s">
        <v>213</v>
      </c>
      <c r="B10" s="25">
        <f ca="1">'EF ele_warmte'!B12</f>
        <v>0.15667571160843169</v>
      </c>
      <c r="C10" s="25">
        <f ca="1">'EF ele_warmte'!B22</f>
        <v>0.23418464858378765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5754.5600009464952</v>
      </c>
      <c r="C12" s="23">
        <f ca="1">C10*C8</f>
        <v>0</v>
      </c>
      <c r="D12" s="23">
        <f>D8*D10</f>
        <v>18233.952047641927</v>
      </c>
      <c r="E12" s="23">
        <f>E10*E8</f>
        <v>6575.1990365298661</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2912</v>
      </c>
      <c r="C18" s="166" t="s">
        <v>110</v>
      </c>
      <c r="D18" s="228"/>
      <c r="E18" s="15"/>
    </row>
    <row r="19" spans="1:7">
      <c r="A19" s="171" t="s">
        <v>71</v>
      </c>
      <c r="B19" s="37">
        <f>aantalw2001_ander</f>
        <v>9</v>
      </c>
      <c r="C19" s="166" t="s">
        <v>110</v>
      </c>
      <c r="D19" s="229"/>
      <c r="E19" s="15"/>
    </row>
    <row r="20" spans="1:7">
      <c r="A20" s="171" t="s">
        <v>72</v>
      </c>
      <c r="B20" s="37">
        <f>aantalw2001_propaan</f>
        <v>149</v>
      </c>
      <c r="C20" s="167">
        <f>IF(ISERROR(B20/SUM($B$20,$B$21,$B$22)*100),0,B20/SUM($B$20,$B$21,$B$22)*100)</f>
        <v>21.104815864022662</v>
      </c>
      <c r="D20" s="229"/>
      <c r="E20" s="15"/>
    </row>
    <row r="21" spans="1:7">
      <c r="A21" s="171" t="s">
        <v>73</v>
      </c>
      <c r="B21" s="37">
        <f>aantalw2001_elektriciteit</f>
        <v>429</v>
      </c>
      <c r="C21" s="167">
        <f>IF(ISERROR(B21/SUM($B$20,$B$21,$B$22)*100),0,B21/SUM($B$20,$B$21,$B$22)*100)</f>
        <v>60.76487252124646</v>
      </c>
      <c r="D21" s="229"/>
      <c r="E21" s="15"/>
    </row>
    <row r="22" spans="1:7">
      <c r="A22" s="171" t="s">
        <v>74</v>
      </c>
      <c r="B22" s="37">
        <f>aantalw2001_hout</f>
        <v>128</v>
      </c>
      <c r="C22" s="167">
        <f>IF(ISERROR(B22/SUM($B$20,$B$21,$B$22)*100),0,B22/SUM($B$20,$B$21,$B$22)*100)</f>
        <v>18.130311614730878</v>
      </c>
      <c r="D22" s="229"/>
      <c r="E22" s="15"/>
    </row>
    <row r="23" spans="1:7">
      <c r="A23" s="171" t="s">
        <v>75</v>
      </c>
      <c r="B23" s="37">
        <f>aantalw2001_niet_gespec</f>
        <v>67</v>
      </c>
      <c r="C23" s="166" t="s">
        <v>110</v>
      </c>
      <c r="D23" s="228"/>
      <c r="E23" s="15"/>
    </row>
    <row r="24" spans="1:7">
      <c r="A24" s="171" t="s">
        <v>76</v>
      </c>
      <c r="B24" s="37">
        <f>aantalw2001_steenkool</f>
        <v>104</v>
      </c>
      <c r="C24" s="166" t="s">
        <v>110</v>
      </c>
      <c r="D24" s="229"/>
      <c r="E24" s="15"/>
    </row>
    <row r="25" spans="1:7">
      <c r="A25" s="171" t="s">
        <v>77</v>
      </c>
      <c r="B25" s="37">
        <f>aantalw2001_stookolie</f>
        <v>2695</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818</v>
      </c>
      <c r="B28" s="37">
        <f>aantalHuishoudens</f>
        <v>8590</v>
      </c>
      <c r="C28" s="36"/>
      <c r="D28" s="228"/>
    </row>
    <row r="29" spans="1:7" s="15" customFormat="1">
      <c r="A29" s="230" t="s">
        <v>819</v>
      </c>
      <c r="B29" s="37">
        <f>SUM(HH_hh_gas_aantal,HH_rest_gas_aantal)</f>
        <v>5942</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5942</v>
      </c>
      <c r="C32" s="167">
        <f>IF(ISERROR(B32/SUM($B$32,$B$34,$B$35,$B$36,$B$38,$B$39)*100),0,B32/SUM($B$32,$B$34,$B$35,$B$36,$B$38,$B$39)*100)</f>
        <v>70.170051960321217</v>
      </c>
      <c r="D32" s="233"/>
      <c r="G32" s="15"/>
    </row>
    <row r="33" spans="1:7">
      <c r="A33" s="171" t="s">
        <v>71</v>
      </c>
      <c r="B33" s="34" t="s">
        <v>110</v>
      </c>
      <c r="C33" s="167"/>
      <c r="D33" s="233"/>
      <c r="G33" s="15"/>
    </row>
    <row r="34" spans="1:7">
      <c r="A34" s="171" t="s">
        <v>72</v>
      </c>
      <c r="B34" s="33">
        <f>IF((($B$28-$B$32-$B$39-$B$77-$B$38)*C20/100)&lt;0,0,($B$28-$B$32-$B$39-$B$77-$B$38)*C20/100)</f>
        <v>533.10764872521247</v>
      </c>
      <c r="C34" s="167">
        <f>IF(ISERROR(B34/SUM($B$32,$B$34,$B$35,$B$36,$B$38,$B$39)*100),0,B34/SUM($B$32,$B$34,$B$35,$B$36,$B$38,$B$39)*100)</f>
        <v>6.2955556061078468</v>
      </c>
      <c r="D34" s="233"/>
      <c r="G34" s="15"/>
    </row>
    <row r="35" spans="1:7">
      <c r="A35" s="171" t="s">
        <v>73</v>
      </c>
      <c r="B35" s="33">
        <f>IF((($B$28-$B$32-$B$39-$B$77-$B$38)*C21/100)&lt;0,0,($B$28-$B$32-$B$39-$B$77-$B$38)*C21/100)</f>
        <v>1534.9206798866858</v>
      </c>
      <c r="C35" s="167">
        <f>IF(ISERROR(B35/SUM($B$32,$B$34,$B$35,$B$36,$B$38,$B$39)*100),0,B35/SUM($B$32,$B$34,$B$35,$B$36,$B$38,$B$39)*100)</f>
        <v>18.126129899464878</v>
      </c>
      <c r="D35" s="233"/>
      <c r="G35" s="15"/>
    </row>
    <row r="36" spans="1:7">
      <c r="A36" s="171" t="s">
        <v>74</v>
      </c>
      <c r="B36" s="33">
        <f>IF((($B$28-$B$32-$B$39-$B$77-$B$38)*C22/100)&lt;0,0,($B$28-$B$32-$B$39-$B$77-$B$38)*C22/100)</f>
        <v>457.97167138810198</v>
      </c>
      <c r="C36" s="167">
        <f>IF(ISERROR(B36/SUM($B$32,$B$34,$B$35,$B$36,$B$38,$B$39)*100),0,B36/SUM($B$32,$B$34,$B$35,$B$36,$B$38,$B$39)*100)</f>
        <v>5.4082625341060693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5942</v>
      </c>
      <c r="C44" s="34" t="s">
        <v>110</v>
      </c>
      <c r="D44" s="174"/>
    </row>
    <row r="45" spans="1:7">
      <c r="A45" s="171" t="s">
        <v>71</v>
      </c>
      <c r="B45" s="33" t="str">
        <f t="shared" si="0"/>
        <v>-</v>
      </c>
      <c r="C45" s="34" t="s">
        <v>110</v>
      </c>
      <c r="D45" s="174"/>
    </row>
    <row r="46" spans="1:7">
      <c r="A46" s="171" t="s">
        <v>72</v>
      </c>
      <c r="B46" s="33">
        <f t="shared" si="0"/>
        <v>533.10764872521247</v>
      </c>
      <c r="C46" s="34" t="s">
        <v>110</v>
      </c>
      <c r="D46" s="174"/>
    </row>
    <row r="47" spans="1:7">
      <c r="A47" s="171" t="s">
        <v>73</v>
      </c>
      <c r="B47" s="33">
        <f t="shared" si="0"/>
        <v>1534.9206798866858</v>
      </c>
      <c r="C47" s="34" t="s">
        <v>110</v>
      </c>
      <c r="D47" s="174"/>
    </row>
    <row r="48" spans="1:7">
      <c r="A48" s="171" t="s">
        <v>74</v>
      </c>
      <c r="B48" s="33">
        <f t="shared" si="0"/>
        <v>457.97167138810198</v>
      </c>
      <c r="C48" s="33">
        <f>B48*10</f>
        <v>4579.71671388102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352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51764.297874000004</v>
      </c>
      <c r="C5" s="17">
        <f>IF(ISERROR('Eigen informatie GS &amp; warmtenet'!B60),0,'Eigen informatie GS &amp; warmtenet'!B60)</f>
        <v>0</v>
      </c>
      <c r="D5" s="30">
        <f>SUM(D6:D12)</f>
        <v>71885.393425142014</v>
      </c>
      <c r="E5" s="17">
        <f>SUM(E6:E12)</f>
        <v>748.63853862348151</v>
      </c>
      <c r="F5" s="17">
        <f>SUM(F6:F12)</f>
        <v>5927.9489710135149</v>
      </c>
      <c r="G5" s="18"/>
      <c r="H5" s="17"/>
      <c r="I5" s="17"/>
      <c r="J5" s="17">
        <f>SUM(J6:J12)</f>
        <v>8.5607829023730098E-2</v>
      </c>
      <c r="K5" s="17"/>
      <c r="L5" s="17"/>
      <c r="M5" s="17"/>
      <c r="N5" s="17">
        <f>SUM(N6:N12)</f>
        <v>3373.8148465783506</v>
      </c>
      <c r="O5" s="17">
        <f>B38*B39*B40</f>
        <v>24.486303829205774</v>
      </c>
      <c r="P5" s="17">
        <f>B46*B47*B48/1000-B46*B47*B48/1000/B49</f>
        <v>315.23482983897009</v>
      </c>
      <c r="R5" s="32"/>
    </row>
    <row r="6" spans="1:18">
      <c r="A6" s="32" t="s">
        <v>53</v>
      </c>
      <c r="B6" s="37">
        <f>B26</f>
        <v>11525.46276</v>
      </c>
      <c r="C6" s="33"/>
      <c r="D6" s="37">
        <f>IF(ISERROR(TER_kantoor_gas_kWh/1000),0,TER_kantoor_gas_kWh/1000)*0.902</f>
        <v>9955.6055975199997</v>
      </c>
      <c r="E6" s="33">
        <f>$C$26*'E Balans VL '!I12/100/3.6*1000000</f>
        <v>92.741703475230267</v>
      </c>
      <c r="F6" s="33">
        <f>$C$26*('E Balans VL '!L12+'E Balans VL '!N12)/100/3.6*1000000</f>
        <v>1409.1090663965292</v>
      </c>
      <c r="G6" s="34"/>
      <c r="H6" s="33"/>
      <c r="I6" s="33"/>
      <c r="J6" s="33">
        <f>$C$26*('E Balans VL '!D12+'E Balans VL '!E12)/100/3.6*1000000</f>
        <v>0</v>
      </c>
      <c r="K6" s="33"/>
      <c r="L6" s="33"/>
      <c r="M6" s="33"/>
      <c r="N6" s="33">
        <f>$C$26*'E Balans VL '!Y12/100/3.6*1000000</f>
        <v>6.1943686658894643</v>
      </c>
      <c r="O6" s="33"/>
      <c r="P6" s="33"/>
      <c r="R6" s="32"/>
    </row>
    <row r="7" spans="1:18">
      <c r="A7" s="32" t="s">
        <v>52</v>
      </c>
      <c r="B7" s="37">
        <f t="shared" ref="B7:B12" si="0">B27</f>
        <v>3362.8631909999999</v>
      </c>
      <c r="C7" s="33"/>
      <c r="D7" s="37">
        <f>IF(ISERROR(TER_horeca_gas_kWh/1000),0,TER_horeca_gas_kWh/1000)*0.902</f>
        <v>3762.5881307740001</v>
      </c>
      <c r="E7" s="33">
        <f>$C$27*'E Balans VL '!I9/100/3.6*1000000</f>
        <v>36.108892923030737</v>
      </c>
      <c r="F7" s="33">
        <f>$C$27*('E Balans VL '!L9+'E Balans VL '!N9)/100/3.6*1000000</f>
        <v>404.47089684117088</v>
      </c>
      <c r="G7" s="34"/>
      <c r="H7" s="33"/>
      <c r="I7" s="33"/>
      <c r="J7" s="33">
        <f>$C$27*('E Balans VL '!D9+'E Balans VL '!E9)/100/3.6*1000000</f>
        <v>0</v>
      </c>
      <c r="K7" s="33"/>
      <c r="L7" s="33"/>
      <c r="M7" s="33"/>
      <c r="N7" s="33">
        <f>$C$27*'E Balans VL '!Y9/100/3.6*1000000</f>
        <v>0.50416134965481607</v>
      </c>
      <c r="O7" s="33"/>
      <c r="P7" s="33"/>
      <c r="R7" s="32"/>
    </row>
    <row r="8" spans="1:18">
      <c r="A8" s="6" t="s">
        <v>51</v>
      </c>
      <c r="B8" s="37">
        <f t="shared" si="0"/>
        <v>11670.077869999999</v>
      </c>
      <c r="C8" s="33"/>
      <c r="D8" s="37">
        <f>IF(ISERROR(TER_handel_gas_kWh/1000),0,TER_handel_gas_kWh/1000)*0.902</f>
        <v>2797.2581803980001</v>
      </c>
      <c r="E8" s="33">
        <f>$C$28*'E Balans VL '!I13/100/3.6*1000000</f>
        <v>313.18916243398701</v>
      </c>
      <c r="F8" s="33">
        <f>$C$28*('E Balans VL '!L13+'E Balans VL '!N13)/100/3.6*1000000</f>
        <v>1113.6851098722409</v>
      </c>
      <c r="G8" s="34"/>
      <c r="H8" s="33"/>
      <c r="I8" s="33"/>
      <c r="J8" s="33">
        <f>$C$28*('E Balans VL '!D13+'E Balans VL '!E13)/100/3.6*1000000</f>
        <v>0</v>
      </c>
      <c r="K8" s="33"/>
      <c r="L8" s="33"/>
      <c r="M8" s="33"/>
      <c r="N8" s="33">
        <f>$C$28*'E Balans VL '!Y13/100/3.6*1000000</f>
        <v>4.6261515609519712</v>
      </c>
      <c r="O8" s="33"/>
      <c r="P8" s="33"/>
      <c r="R8" s="32"/>
    </row>
    <row r="9" spans="1:18">
      <c r="A9" s="32" t="s">
        <v>50</v>
      </c>
      <c r="B9" s="37">
        <f t="shared" si="0"/>
        <v>250.59780499999999</v>
      </c>
      <c r="C9" s="33"/>
      <c r="D9" s="37">
        <f>IF(ISERROR(TER_gezond_gas_kWh/1000),0,TER_gezond_gas_kWh/1000)*0.902</f>
        <v>586.56025857000009</v>
      </c>
      <c r="E9" s="33">
        <f>$C$29*'E Balans VL '!I10/100/3.6*1000000</f>
        <v>0.46970188475861119</v>
      </c>
      <c r="F9" s="33">
        <f>$C$29*('E Balans VL '!L10+'E Balans VL '!N10)/100/3.6*1000000</f>
        <v>20.601426099786003</v>
      </c>
      <c r="G9" s="34"/>
      <c r="H9" s="33"/>
      <c r="I9" s="33"/>
      <c r="J9" s="33">
        <f>$C$29*('E Balans VL '!D10+'E Balans VL '!E10)/100/3.6*1000000</f>
        <v>0</v>
      </c>
      <c r="K9" s="33"/>
      <c r="L9" s="33"/>
      <c r="M9" s="33"/>
      <c r="N9" s="33">
        <f>$C$29*'E Balans VL '!Y10/100/3.6*1000000</f>
        <v>1.9498378957280862</v>
      </c>
      <c r="O9" s="33"/>
      <c r="P9" s="33"/>
      <c r="R9" s="32"/>
    </row>
    <row r="10" spans="1:18">
      <c r="A10" s="32" t="s">
        <v>49</v>
      </c>
      <c r="B10" s="37">
        <f t="shared" si="0"/>
        <v>2651.6551340000001</v>
      </c>
      <c r="C10" s="33"/>
      <c r="D10" s="37">
        <f>IF(ISERROR(TER_ander_gas_kWh/1000),0,TER_ander_gas_kWh/1000)*0.902</f>
        <v>1236.9297803940001</v>
      </c>
      <c r="E10" s="33">
        <f>$C$30*'E Balans VL '!I14/100/3.6*1000000</f>
        <v>4.0875532578673157</v>
      </c>
      <c r="F10" s="33">
        <f>$C$30*('E Balans VL '!L14+'E Balans VL '!N14)/100/3.6*1000000</f>
        <v>411.67019158314588</v>
      </c>
      <c r="G10" s="34"/>
      <c r="H10" s="33"/>
      <c r="I10" s="33"/>
      <c r="J10" s="33">
        <f>$C$30*('E Balans VL '!D14+'E Balans VL '!E14)/100/3.6*1000000</f>
        <v>4.5014642400914927E-2</v>
      </c>
      <c r="K10" s="33"/>
      <c r="L10" s="33"/>
      <c r="M10" s="33"/>
      <c r="N10" s="33">
        <f>$C$30*'E Balans VL '!Y14/100/3.6*1000000</f>
        <v>1754.2500517452836</v>
      </c>
      <c r="O10" s="33"/>
      <c r="P10" s="33"/>
      <c r="R10" s="32"/>
    </row>
    <row r="11" spans="1:18">
      <c r="A11" s="32" t="s">
        <v>54</v>
      </c>
      <c r="B11" s="37">
        <f t="shared" si="0"/>
        <v>1122.160654</v>
      </c>
      <c r="C11" s="33"/>
      <c r="D11" s="37">
        <f>IF(ISERROR(TER_onderwijs_gas_kWh/1000),0,TER_onderwijs_gas_kWh/1000)*0.902</f>
        <v>2737.5863740059999</v>
      </c>
      <c r="E11" s="33">
        <f>$C$31*'E Balans VL '!I11/100/3.6*1000000</f>
        <v>28.622761097594108</v>
      </c>
      <c r="F11" s="33">
        <f>$C$31*('E Balans VL '!L11+'E Balans VL '!N11)/100/3.6*1000000</f>
        <v>134.9503808217973</v>
      </c>
      <c r="G11" s="34"/>
      <c r="H11" s="33"/>
      <c r="I11" s="33"/>
      <c r="J11" s="33">
        <f>$C$31*('E Balans VL '!D11+'E Balans VL '!E11)/100/3.6*1000000</f>
        <v>0</v>
      </c>
      <c r="K11" s="33"/>
      <c r="L11" s="33"/>
      <c r="M11" s="33"/>
      <c r="N11" s="33">
        <f>$C$31*'E Balans VL '!Y11/100/3.6*1000000</f>
        <v>2.4956579135401098</v>
      </c>
      <c r="O11" s="33"/>
      <c r="P11" s="33"/>
      <c r="R11" s="32"/>
    </row>
    <row r="12" spans="1:18">
      <c r="A12" s="32" t="s">
        <v>259</v>
      </c>
      <c r="B12" s="37">
        <f t="shared" si="0"/>
        <v>21181.480460000002</v>
      </c>
      <c r="C12" s="33"/>
      <c r="D12" s="37">
        <f>IF(ISERROR(TER_rest_gas_kWh/1000),0,TER_rest_gas_kWh/1000)*0.902</f>
        <v>50808.865103480006</v>
      </c>
      <c r="E12" s="33">
        <f>$C$32*'E Balans VL '!I8/100/3.6*1000000</f>
        <v>273.41876355101351</v>
      </c>
      <c r="F12" s="33">
        <f>$C$32*('E Balans VL '!L8+'E Balans VL '!N8)/100/3.6*1000000</f>
        <v>2433.4618993988452</v>
      </c>
      <c r="G12" s="34"/>
      <c r="H12" s="33"/>
      <c r="I12" s="33"/>
      <c r="J12" s="33">
        <f>$C$32*('E Balans VL '!D8+'E Balans VL '!E8)/100/3.6*1000000</f>
        <v>4.0593186622815178E-2</v>
      </c>
      <c r="K12" s="33"/>
      <c r="L12" s="33"/>
      <c r="M12" s="33"/>
      <c r="N12" s="33">
        <f>$C$32*'E Balans VL '!Y8/100/3.6*1000000</f>
        <v>1603.7946174473025</v>
      </c>
      <c r="O12" s="33"/>
      <c r="P12" s="33"/>
      <c r="R12" s="32"/>
    </row>
    <row r="13" spans="1:18">
      <c r="A13" s="16" t="s">
        <v>478</v>
      </c>
      <c r="B13" s="247">
        <f ca="1">'lokale energieproductie'!N56+'lokale energieproductie'!N49</f>
        <v>10341</v>
      </c>
      <c r="C13" s="247">
        <f ca="1">'lokale energieproductie'!O56+'lokale energieproductie'!O49</f>
        <v>12857.142857142857</v>
      </c>
      <c r="D13" s="308">
        <f ca="1">('lokale energieproductie'!P49+'lokale energieproductie'!P56)*(-1)</f>
        <v>-25714.285714285717</v>
      </c>
      <c r="E13" s="248"/>
      <c r="F13" s="308">
        <f ca="1">('lokale energieproductie'!S49+'lokale energieproductie'!S56)*(-1)</f>
        <v>0</v>
      </c>
      <c r="G13" s="249"/>
      <c r="H13" s="248"/>
      <c r="I13" s="248"/>
      <c r="J13" s="248"/>
      <c r="K13" s="248"/>
      <c r="L13" s="308">
        <f ca="1">('lokale energieproductie'!U49+'lokale energieproductie'!T49+'lokale energieproductie'!U56+'lokale energieproductie'!T56)*(-1)</f>
        <v>0</v>
      </c>
      <c r="M13" s="248"/>
      <c r="N13" s="308">
        <f ca="1">('lokale energieproductie'!Q49+'lokale energieproductie'!R49+'lokale energieproductie'!V49+'lokale energieproductie'!Q56+'lokale energieproductie'!R56+'lokale energieproductie'!V56)*(-1)</f>
        <v>-3831.4285714285716</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62105.297874000004</v>
      </c>
      <c r="C16" s="21">
        <f t="shared" ca="1" si="1"/>
        <v>12857.142857142857</v>
      </c>
      <c r="D16" s="21">
        <f t="shared" ca="1" si="1"/>
        <v>46171.107710856297</v>
      </c>
      <c r="E16" s="21">
        <f t="shared" si="1"/>
        <v>748.63853862348151</v>
      </c>
      <c r="F16" s="21">
        <f t="shared" ca="1" si="1"/>
        <v>5927.9489710135149</v>
      </c>
      <c r="G16" s="21">
        <f t="shared" si="1"/>
        <v>0</v>
      </c>
      <c r="H16" s="21">
        <f t="shared" si="1"/>
        <v>0</v>
      </c>
      <c r="I16" s="21">
        <f t="shared" si="1"/>
        <v>0</v>
      </c>
      <c r="J16" s="21">
        <f t="shared" si="1"/>
        <v>8.5607829023730098E-2</v>
      </c>
      <c r="K16" s="21">
        <f t="shared" si="1"/>
        <v>0</v>
      </c>
      <c r="L16" s="21">
        <f t="shared" ca="1" si="1"/>
        <v>0</v>
      </c>
      <c r="M16" s="21">
        <f t="shared" si="1"/>
        <v>0</v>
      </c>
      <c r="N16" s="21">
        <f t="shared" ca="1" si="1"/>
        <v>0</v>
      </c>
      <c r="O16" s="21">
        <f>O5</f>
        <v>24.486303829205774</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0.15667571160843169</v>
      </c>
      <c r="C18" s="25">
        <f ca="1">'EF ele_warmte'!B22</f>
        <v>0.23418464858378765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9730.3917390625702</v>
      </c>
      <c r="C20" s="23">
        <f t="shared" ref="C20:P20" ca="1" si="2">C16*C18</f>
        <v>3010.9454817915553</v>
      </c>
      <c r="D20" s="23">
        <f t="shared" ca="1" si="2"/>
        <v>9326.5637575929723</v>
      </c>
      <c r="E20" s="23">
        <f t="shared" si="2"/>
        <v>169.9409482675303</v>
      </c>
      <c r="F20" s="23">
        <f t="shared" ca="1" si="2"/>
        <v>1582.7623752606087</v>
      </c>
      <c r="G20" s="23">
        <f t="shared" si="2"/>
        <v>0</v>
      </c>
      <c r="H20" s="23">
        <f t="shared" si="2"/>
        <v>0</v>
      </c>
      <c r="I20" s="23">
        <f t="shared" si="2"/>
        <v>0</v>
      </c>
      <c r="J20" s="23">
        <f t="shared" si="2"/>
        <v>3.0305171474400452E-2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11525.46276</v>
      </c>
      <c r="C26" s="39">
        <f>IF(ISERROR(B26*3.6/1000000/'E Balans VL '!Z12*100),0,B26*3.6/1000000/'E Balans VL '!Z12*100)</f>
        <v>0.24450214786584826</v>
      </c>
      <c r="D26" s="237" t="s">
        <v>708</v>
      </c>
      <c r="F26" s="6"/>
    </row>
    <row r="27" spans="1:18">
      <c r="A27" s="231" t="s">
        <v>52</v>
      </c>
      <c r="B27" s="33">
        <f>IF(ISERROR(TER_horeca_ele_kWh/1000),0,TER_horeca_ele_kWh/1000)</f>
        <v>3362.8631909999999</v>
      </c>
      <c r="C27" s="39">
        <f>IF(ISERROR(B27*3.6/1000000/'E Balans VL '!Z9*100),0,B27*3.6/1000000/'E Balans VL '!Z9*100)</f>
        <v>0.2532533882279297</v>
      </c>
      <c r="D27" s="237" t="s">
        <v>708</v>
      </c>
      <c r="F27" s="6"/>
    </row>
    <row r="28" spans="1:18">
      <c r="A28" s="171" t="s">
        <v>51</v>
      </c>
      <c r="B28" s="33">
        <f>IF(ISERROR(TER_handel_ele_kWh/1000),0,TER_handel_ele_kWh/1000)</f>
        <v>11670.077869999999</v>
      </c>
      <c r="C28" s="39">
        <f>IF(ISERROR(B28*3.6/1000000/'E Balans VL '!Z13*100),0,B28*3.6/1000000/'E Balans VL '!Z13*100)</f>
        <v>0.33874101025398062</v>
      </c>
      <c r="D28" s="237" t="s">
        <v>708</v>
      </c>
      <c r="F28" s="6"/>
    </row>
    <row r="29" spans="1:18">
      <c r="A29" s="231" t="s">
        <v>50</v>
      </c>
      <c r="B29" s="33">
        <f>IF(ISERROR(TER_gezond_ele_kWh/1000),0,TER_gezond_ele_kWh/1000)</f>
        <v>250.59780499999999</v>
      </c>
      <c r="C29" s="39">
        <f>IF(ISERROR(B29*3.6/1000000/'E Balans VL '!Z10*100),0,B29*3.6/1000000/'E Balans VL '!Z10*100)</f>
        <v>2.527308748430436E-2</v>
      </c>
      <c r="D29" s="237" t="s">
        <v>708</v>
      </c>
      <c r="F29" s="6"/>
    </row>
    <row r="30" spans="1:18">
      <c r="A30" s="231" t="s">
        <v>49</v>
      </c>
      <c r="B30" s="33">
        <f>IF(ISERROR(TER_ander_ele_kWh/1000),0,TER_ander_ele_kWh/1000)</f>
        <v>2651.6551340000001</v>
      </c>
      <c r="C30" s="39">
        <f>IF(ISERROR(B30*3.6/1000000/'E Balans VL '!Z14*100),0,B30*3.6/1000000/'E Balans VL '!Z14*100)</f>
        <v>0.19241375518063625</v>
      </c>
      <c r="D30" s="237" t="s">
        <v>708</v>
      </c>
      <c r="F30" s="6"/>
    </row>
    <row r="31" spans="1:18">
      <c r="A31" s="231" t="s">
        <v>54</v>
      </c>
      <c r="B31" s="33">
        <f>IF(ISERROR(TER_onderwijs_ele_kWh/1000),0,TER_onderwijs_ele_kWh/1000)</f>
        <v>1122.160654</v>
      </c>
      <c r="C31" s="39">
        <f>IF(ISERROR(B31*3.6/1000000/'E Balans VL '!Z11*100),0,B31*3.6/1000000/'E Balans VL '!Z11*100)</f>
        <v>0.31986148289962613</v>
      </c>
      <c r="D31" s="237" t="s">
        <v>708</v>
      </c>
    </row>
    <row r="32" spans="1:18">
      <c r="A32" s="231" t="s">
        <v>259</v>
      </c>
      <c r="B32" s="33">
        <f>IF(ISERROR(TER_rest_ele_kWh/1000),0,TER_rest_ele_kWh/1000)</f>
        <v>21181.480460000002</v>
      </c>
      <c r="C32" s="39">
        <f>IF(ISERROR(B32*3.6/1000000/'E Balans VL '!Z8*100),0,B32*3.6/1000000/'E Balans VL '!Z8*100)</f>
        <v>0.17351437346274434</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6</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101695.839372</v>
      </c>
      <c r="C5" s="17">
        <f>IF(ISERROR('Eigen informatie GS &amp; warmtenet'!B61),0,'Eigen informatie GS &amp; warmtenet'!B61)</f>
        <v>0</v>
      </c>
      <c r="D5" s="30">
        <f>SUM(D6:D15)</f>
        <v>67611.536881724009</v>
      </c>
      <c r="E5" s="17">
        <f>SUM(E6:E15)</f>
        <v>10463.441291927265</v>
      </c>
      <c r="F5" s="17">
        <f>SUM(F6:F15)</f>
        <v>34008.872085810784</v>
      </c>
      <c r="G5" s="18"/>
      <c r="H5" s="17"/>
      <c r="I5" s="17"/>
      <c r="J5" s="17">
        <f>SUM(J6:J15)</f>
        <v>953.40162694993933</v>
      </c>
      <c r="K5" s="17"/>
      <c r="L5" s="17"/>
      <c r="M5" s="17"/>
      <c r="N5" s="17">
        <f>SUM(N6:N15)</f>
        <v>4695.4005009439961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894.53453300000001</v>
      </c>
      <c r="C8" s="33"/>
      <c r="D8" s="37">
        <f>IF( ISERROR(IND_metaal_Gas_kWH/1000),0,IND_metaal_Gas_kWH/1000)*0.902</f>
        <v>706.913213864</v>
      </c>
      <c r="E8" s="33">
        <f>C30*'E Balans VL '!I18/100/3.6*1000000</f>
        <v>6.4534388125818065</v>
      </c>
      <c r="F8" s="33">
        <f>C30*'E Balans VL '!L18/100/3.6*1000000+C30*'E Balans VL '!N18/100/3.6*1000000</f>
        <v>84.606472760423969</v>
      </c>
      <c r="G8" s="34"/>
      <c r="H8" s="33"/>
      <c r="I8" s="33"/>
      <c r="J8" s="40">
        <f>C30*'E Balans VL '!D18/100/3.6*1000000+C30*'E Balans VL '!E18/100/3.6*1000000</f>
        <v>0.89972803160879355</v>
      </c>
      <c r="K8" s="33"/>
      <c r="L8" s="33"/>
      <c r="M8" s="33"/>
      <c r="N8" s="33">
        <f>C30*'E Balans VL '!Y18/100/3.6*1000000</f>
        <v>11.309283201837957</v>
      </c>
      <c r="O8" s="33"/>
      <c r="P8" s="33"/>
      <c r="R8" s="32"/>
    </row>
    <row r="9" spans="1:18">
      <c r="A9" s="6" t="s">
        <v>32</v>
      </c>
      <c r="B9" s="37">
        <f t="shared" si="0"/>
        <v>25464.747309999999</v>
      </c>
      <c r="C9" s="33"/>
      <c r="D9" s="37">
        <f>IF( ISERROR(IND_andere_gas_kWh/1000),0,IND_andere_gas_kWh/1000)*0.902</f>
        <v>3062.6583425240001</v>
      </c>
      <c r="E9" s="33">
        <f>C31*'E Balans VL '!I19/100/3.6*1000000</f>
        <v>7056.6219859319272</v>
      </c>
      <c r="F9" s="33">
        <f>C31*'E Balans VL '!L19/100/3.6*1000000+C31*'E Balans VL '!N19/100/3.6*1000000</f>
        <v>21105.237600271044</v>
      </c>
      <c r="G9" s="34"/>
      <c r="H9" s="33"/>
      <c r="I9" s="33"/>
      <c r="J9" s="40">
        <f>C31*'E Balans VL '!D19/100/3.6*1000000+C31*'E Balans VL '!E19/100/3.6*1000000</f>
        <v>0</v>
      </c>
      <c r="K9" s="33"/>
      <c r="L9" s="33"/>
      <c r="M9" s="33"/>
      <c r="N9" s="33">
        <f>C31*'E Balans VL '!Y19/100/3.6*1000000</f>
        <v>1848.4291871274597</v>
      </c>
      <c r="O9" s="33"/>
      <c r="P9" s="33"/>
      <c r="R9" s="32"/>
    </row>
    <row r="10" spans="1:18">
      <c r="A10" s="6" t="s">
        <v>40</v>
      </c>
      <c r="B10" s="37">
        <f t="shared" si="0"/>
        <v>215.917642</v>
      </c>
      <c r="C10" s="33"/>
      <c r="D10" s="37">
        <f>IF( ISERROR(IND_voed_gas_kWh/1000),0,IND_voed_gas_kWh/1000)*0.902</f>
        <v>438.69285042000007</v>
      </c>
      <c r="E10" s="33">
        <f>C32*'E Balans VL '!I20/100/3.6*1000000</f>
        <v>0.3822473623343034</v>
      </c>
      <c r="F10" s="33">
        <f>C32*'E Balans VL '!L20/100/3.6*1000000+C32*'E Balans VL '!N20/100/3.6*1000000</f>
        <v>11.661466328895226</v>
      </c>
      <c r="G10" s="34"/>
      <c r="H10" s="33"/>
      <c r="I10" s="33"/>
      <c r="J10" s="40">
        <f>C32*'E Balans VL '!D20/100/3.6*1000000+C32*'E Balans VL '!E20/100/3.6*1000000</f>
        <v>0</v>
      </c>
      <c r="K10" s="33"/>
      <c r="L10" s="33"/>
      <c r="M10" s="33"/>
      <c r="N10" s="33">
        <f>C32*'E Balans VL '!Y20/100/3.6*1000000</f>
        <v>12.546463983779754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3281.5882370000004</v>
      </c>
      <c r="C13" s="33"/>
      <c r="D13" s="37">
        <f>IF( ISERROR(IND_papier_gas_kWh/1000),0,IND_papier_gas_kWh/1000)*0.902</f>
        <v>1281.3239031559999</v>
      </c>
      <c r="E13" s="33">
        <f>C35*'E Balans VL '!I23/100/3.6*1000000</f>
        <v>4.8283431289736578</v>
      </c>
      <c r="F13" s="33">
        <f>C35*'E Balans VL '!L23/100/3.6*1000000+C35*'E Balans VL '!N23/100/3.6*1000000</f>
        <v>35.136971150770535</v>
      </c>
      <c r="G13" s="34"/>
      <c r="H13" s="33"/>
      <c r="I13" s="33"/>
      <c r="J13" s="40">
        <f>C35*'E Balans VL '!D23/100/3.6*1000000+C35*'E Balans VL '!E23/100/3.6*1000000</f>
        <v>359.02415531166235</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71839.051650000009</v>
      </c>
      <c r="C15" s="33"/>
      <c r="D15" s="37">
        <f>IF( ISERROR(IND_rest_gas_kWh/1000),0,IND_rest_gas_kWh/1000)*0.902</f>
        <v>62121.948571760004</v>
      </c>
      <c r="E15" s="33">
        <f>C37*'E Balans VL '!I15/100/3.6*1000000</f>
        <v>3395.1552766914483</v>
      </c>
      <c r="F15" s="33">
        <f>C37*'E Balans VL '!L15/100/3.6*1000000+C37*'E Balans VL '!N15/100/3.6*1000000</f>
        <v>12772.229575299649</v>
      </c>
      <c r="G15" s="34"/>
      <c r="H15" s="33"/>
      <c r="I15" s="33"/>
      <c r="J15" s="40">
        <f>C37*'E Balans VL '!D15/100/3.6*1000000+C37*'E Balans VL '!E15/100/3.6*1000000</f>
        <v>593.47774360666813</v>
      </c>
      <c r="K15" s="33"/>
      <c r="L15" s="33"/>
      <c r="M15" s="33"/>
      <c r="N15" s="33">
        <f>C37*'E Balans VL '!Y15/100/3.6*1000000</f>
        <v>2823.1155666309182</v>
      </c>
      <c r="O15" s="33"/>
      <c r="P15" s="33"/>
      <c r="R15" s="32"/>
    </row>
    <row r="16" spans="1:18">
      <c r="A16" s="16" t="s">
        <v>478</v>
      </c>
      <c r="B16" s="247">
        <f>'lokale energieproductie'!N55+'lokale energieproductie'!N48</f>
        <v>549</v>
      </c>
      <c r="C16" s="247">
        <f>'lokale energieproductie'!O55+'lokale energieproductie'!O48</f>
        <v>784.28571428571433</v>
      </c>
      <c r="D16" s="308">
        <f>('lokale energieproductie'!P48+'lokale energieproductie'!P55)*(-1)</f>
        <v>-1568.5714285714287</v>
      </c>
      <c r="E16" s="248"/>
      <c r="F16" s="308">
        <f>('lokale energieproductie'!S48+'lokale energieproductie'!S55)*(-1)</f>
        <v>0</v>
      </c>
      <c r="G16" s="249"/>
      <c r="H16" s="248"/>
      <c r="I16" s="248"/>
      <c r="J16" s="248"/>
      <c r="K16" s="248"/>
      <c r="L16" s="308">
        <f>('lokale energieproductie'!T48+'lokale energieproductie'!U48+'lokale energieproductie'!T55+'lokale energieproductie'!U55)*(-1)</f>
        <v>0</v>
      </c>
      <c r="M16" s="248"/>
      <c r="N16" s="308">
        <f>('lokale energieproductie'!Q48+'lokale energieproductie'!R48+'lokale energieproductie'!V48+'lokale energieproductie'!Q55+'lokale energieproductie'!R55+'lokale energieproductie'!V55)*(-1)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102244.839372</v>
      </c>
      <c r="C18" s="21">
        <f>C5+C16</f>
        <v>784.28571428571433</v>
      </c>
      <c r="D18" s="21">
        <f>MAX((D5+D16),0)</f>
        <v>66042.965453152574</v>
      </c>
      <c r="E18" s="21">
        <f>MAX((E5+E16),0)</f>
        <v>10463.441291927265</v>
      </c>
      <c r="F18" s="21">
        <f>MAX((F5+F16),0)</f>
        <v>34008.872085810784</v>
      </c>
      <c r="G18" s="21"/>
      <c r="H18" s="21"/>
      <c r="I18" s="21"/>
      <c r="J18" s="21">
        <f>MAX((J5+J16),0)</f>
        <v>953.40162694993933</v>
      </c>
      <c r="K18" s="21"/>
      <c r="L18" s="21">
        <f>MAX((L5+L16),0)</f>
        <v>0</v>
      </c>
      <c r="M18" s="21"/>
      <c r="N18" s="21">
        <f>MAX((N5+N16),0)</f>
        <v>4695.4005009439961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0.15667571160843169</v>
      </c>
      <c r="C20" s="25">
        <f ca="1">'EF ele_warmte'!B22</f>
        <v>0.23418464858378765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16019.282966897894</v>
      </c>
      <c r="C22" s="23">
        <f ca="1">C18*C20</f>
        <v>183.66767438928491</v>
      </c>
      <c r="D22" s="23">
        <f>D18*D20</f>
        <v>13340.67902153682</v>
      </c>
      <c r="E22" s="23">
        <f>E18*E20</f>
        <v>2375.2011732674891</v>
      </c>
      <c r="F22" s="23">
        <f>F18*F20</f>
        <v>9080.3688469114804</v>
      </c>
      <c r="G22" s="23"/>
      <c r="H22" s="23"/>
      <c r="I22" s="23"/>
      <c r="J22" s="23">
        <f>J18*J20</f>
        <v>337.50417594027851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894.53453300000001</v>
      </c>
      <c r="C30" s="39">
        <f>IF(ISERROR(B30*3.6/1000000/'E Balans VL '!Z18*100),0,B30*3.6/1000000/'E Balans VL '!Z18*100)</f>
        <v>5.164008280521766E-2</v>
      </c>
      <c r="D30" s="237" t="s">
        <v>708</v>
      </c>
    </row>
    <row r="31" spans="1:18">
      <c r="A31" s="6" t="s">
        <v>32</v>
      </c>
      <c r="B31" s="37">
        <f>IF( ISERROR(IND_ander_ele_kWh/1000),0,IND_ander_ele_kWh/1000)</f>
        <v>25464.747309999999</v>
      </c>
      <c r="C31" s="39">
        <f>IF(ISERROR(B31*3.6/1000000/'E Balans VL '!Z19*100),0,B31*3.6/1000000/'E Balans VL '!Z19*100)</f>
        <v>1.2807942489106543</v>
      </c>
      <c r="D31" s="237" t="s">
        <v>708</v>
      </c>
    </row>
    <row r="32" spans="1:18">
      <c r="A32" s="171" t="s">
        <v>40</v>
      </c>
      <c r="B32" s="37">
        <f>IF( ISERROR(IND_voed_ele_kWh/1000),0,IND_voed_ele_kWh/1000)</f>
        <v>215.917642</v>
      </c>
      <c r="C32" s="39">
        <f>IF(ISERROR(B32*3.6/1000000/'E Balans VL '!Z20*100),0,B32*3.6/1000000/'E Balans VL '!Z20*100)</f>
        <v>7.1913396511242038E-3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3281.5882370000004</v>
      </c>
      <c r="C35" s="39">
        <f>IF(ISERROR(B35*3.6/1000000/'E Balans VL '!Z22*100),0,B35*3.6/1000000/'E Balans VL '!Z22*100)</f>
        <v>0.61212704630049741</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71839.051650000009</v>
      </c>
      <c r="C37" s="39">
        <f>IF(ISERROR(B37*3.6/1000000/'E Balans VL '!Z15*100),0,B37*3.6/1000000/'E Balans VL '!Z15*100)</f>
        <v>0.56054105618152561</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25711.763072000002</v>
      </c>
      <c r="C5" s="17">
        <f>'Eigen informatie GS &amp; warmtenet'!B62</f>
        <v>0</v>
      </c>
      <c r="D5" s="30">
        <f>IF(ISERROR(SUM(LB_lb_gas_kWh,LB_rest_gas_kWh)/1000),0,SUM(LB_lb_gas_kWh,LB_rest_gas_kWh)/1000)*0.902</f>
        <v>371117.54882840003</v>
      </c>
      <c r="E5" s="17">
        <f>B17*'E Balans VL '!I25/3.6*1000000/100</f>
        <v>802.45564678365724</v>
      </c>
      <c r="F5" s="17">
        <f>B17*('E Balans VL '!L25/3.6*1000000+'E Balans VL '!N25/3.6*1000000)/100</f>
        <v>90868.218968726142</v>
      </c>
      <c r="G5" s="18"/>
      <c r="H5" s="17"/>
      <c r="I5" s="17"/>
      <c r="J5" s="17">
        <f>('E Balans VL '!D25+'E Balans VL '!E25)/3.6*1000000*landbouw!B17/100</f>
        <v>7083.7690358502105</v>
      </c>
      <c r="K5" s="17"/>
      <c r="L5" s="17">
        <f>L6*(-1)</f>
        <v>7020</v>
      </c>
      <c r="M5" s="17"/>
      <c r="N5" s="17">
        <f>N6*(-1)</f>
        <v>374.14285714285711</v>
      </c>
      <c r="O5" s="17"/>
      <c r="P5" s="17"/>
      <c r="R5" s="32"/>
    </row>
    <row r="6" spans="1:18">
      <c r="A6" s="16" t="s">
        <v>478</v>
      </c>
      <c r="B6" s="17" t="s">
        <v>210</v>
      </c>
      <c r="C6" s="17">
        <f>'lokale energieproductie'!O57+'lokale energieproductie'!O50</f>
        <v>213803.35714285716</v>
      </c>
      <c r="D6" s="308">
        <f>('lokale energieproductie'!P50+'lokale energieproductie'!P57)*(-1)</f>
        <v>-418808.57142857142</v>
      </c>
      <c r="E6" s="248"/>
      <c r="F6" s="308">
        <f>('lokale energieproductie'!S50+'lokale energieproductie'!S57)*(-1)</f>
        <v>-2340</v>
      </c>
      <c r="G6" s="249"/>
      <c r="H6" s="248"/>
      <c r="I6" s="248"/>
      <c r="J6" s="248"/>
      <c r="K6" s="248"/>
      <c r="L6" s="308">
        <f>('lokale energieproductie'!T50+'lokale energieproductie'!U50+'lokale energieproductie'!T57+'lokale energieproductie'!U57)*(-1)</f>
        <v>-7020</v>
      </c>
      <c r="M6" s="248"/>
      <c r="N6" s="308">
        <f>('lokale energieproductie'!V50+'lokale energieproductie'!R50+'lokale energieproductie'!Q50+'lokale energieproductie'!Q57+'lokale energieproductie'!R57+'lokale energieproductie'!V57)*(-1)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25711.763072000002</v>
      </c>
      <c r="C8" s="21">
        <f>C5+C6</f>
        <v>213803.35714285716</v>
      </c>
      <c r="D8" s="21">
        <f>MAX((D5+D6),0)</f>
        <v>0</v>
      </c>
      <c r="E8" s="21">
        <f>MAX((E5+E6),0)</f>
        <v>802.45564678365724</v>
      </c>
      <c r="F8" s="21">
        <f>MAX((F5+F6),0)</f>
        <v>88528.218968726142</v>
      </c>
      <c r="G8" s="21"/>
      <c r="H8" s="21"/>
      <c r="I8" s="21"/>
      <c r="J8" s="21">
        <f>MAX((J5+J6),0)</f>
        <v>7083.7690358502105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0.15667571160843169</v>
      </c>
      <c r="C10" s="31">
        <f ca="1">'EF ele_warmte'!B22</f>
        <v>0.23418464858378765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4028.408776012996</v>
      </c>
      <c r="C12" s="23">
        <f ca="1">C8*C10</f>
        <v>50069.464058534053</v>
      </c>
      <c r="D12" s="23">
        <f>D8*D10</f>
        <v>0</v>
      </c>
      <c r="E12" s="23">
        <f>E8*E10</f>
        <v>182.15743181989021</v>
      </c>
      <c r="F12" s="23">
        <f>F8*F10</f>
        <v>23637.034464649882</v>
      </c>
      <c r="G12" s="23"/>
      <c r="H12" s="23"/>
      <c r="I12" s="23"/>
      <c r="J12" s="23">
        <f>J8*J10</f>
        <v>2507.6542386909746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3.8222379000296325</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1999.4592541284665</v>
      </c>
      <c r="C26" s="247">
        <f>B26*'GWP N2O_CH4'!B5</f>
        <v>41988.644336697798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1515.3295766977433</v>
      </c>
      <c r="C27" s="247">
        <f>B27*'GWP N2O_CH4'!B5</f>
        <v>31821.921110652609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28.167742668584136</v>
      </c>
      <c r="C28" s="247">
        <f>B28*'GWP N2O_CH4'!B4</f>
        <v>8732.0002272610818</v>
      </c>
      <c r="D28" s="50"/>
    </row>
    <row r="29" spans="1:4">
      <c r="A29" s="41" t="s">
        <v>276</v>
      </c>
      <c r="B29" s="247">
        <f>B34*'ha_N2O bodem landbouw'!B4</f>
        <v>42.581204119101216</v>
      </c>
      <c r="C29" s="247">
        <f>B29*'GWP N2O_CH4'!B4</f>
        <v>13200.173276921378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9.3372914059768816E-3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4.5357996145591728E-4</v>
      </c>
      <c r="C5" s="437" t="s">
        <v>210</v>
      </c>
      <c r="D5" s="422">
        <f>SUM(D6:D11)</f>
        <v>1.6175467680298171E-3</v>
      </c>
      <c r="E5" s="422">
        <f>SUM(E6:E11)</f>
        <v>1.5310495113206742E-3</v>
      </c>
      <c r="F5" s="435" t="s">
        <v>210</v>
      </c>
      <c r="G5" s="422">
        <f>SUM(G6:G11)</f>
        <v>0.89961820380676727</v>
      </c>
      <c r="H5" s="422">
        <f>SUM(H6:H11)</f>
        <v>0.15411398501243953</v>
      </c>
      <c r="I5" s="437" t="s">
        <v>210</v>
      </c>
      <c r="J5" s="437" t="s">
        <v>210</v>
      </c>
      <c r="K5" s="437" t="s">
        <v>210</v>
      </c>
      <c r="L5" s="437" t="s">
        <v>210</v>
      </c>
      <c r="M5" s="422">
        <f>SUM(M6:M11)</f>
        <v>6.2059462894610007E-2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1.4334573942733503E-4</v>
      </c>
      <c r="C6" s="423"/>
      <c r="D6" s="890">
        <f>vkm_GW_PW*SUMIFS(TableVerdeelsleutelVkm[CNG],TableVerdeelsleutelVkm[Voertuigtype],"Lichte voertuigen")*SUMIFS(TableECFTransport[EnergieConsumptieFactor (PJ per km)],TableECFTransport[Index],CONCATENATE($A6,"_CNG_CNG"))</f>
        <v>4.6177430966980128E-4</v>
      </c>
      <c r="E6" s="890">
        <f>vkm_GW_PW*SUMIFS(TableVerdeelsleutelVkm[LPG],TableVerdeelsleutelVkm[Voertuigtype],"Lichte voertuigen")*SUMIFS(TableECFTransport[EnergieConsumptieFactor (PJ per km)],TableECFTransport[Index],CONCATENATE($A6,"_LPG_LPG"))</f>
        <v>3.9489858752405949E-4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0.12757176729738906</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4.3258803891352816E-2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1.0217663957347219E-2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9.0457334669779052E-2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1.2934586653100853E-6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5.2141784390973035E-3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6.9100489620421408E-5</v>
      </c>
      <c r="C8" s="423"/>
      <c r="D8" s="425">
        <f>vkm_NGW_PW*SUMIFS(TableVerdeelsleutelVkm[CNG],TableVerdeelsleutelVkm[Voertuigtype],"Lichte voertuigen")*SUMIFS(TableECFTransport[EnergieConsumptieFactor (PJ per km)],TableECFTransport[Index],CONCATENATE($A8,"_CNG_CNG"))</f>
        <v>3.7714811284492427E-4</v>
      </c>
      <c r="E8" s="425">
        <f>vkm_NGW_PW*SUMIFS(TableVerdeelsleutelVkm[LPG],TableVerdeelsleutelVkm[Voertuigtype],"Lichte voertuigen")*SUMIFS(TableECFTransport[EnergieConsumptieFactor (PJ per km)],TableECFTransport[Index],CONCATENATE($A8,"_LPG_LPG"))</f>
        <v>3.0645504625858856E-4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9.2509619137586555E-2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3.4740561753163736E-2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7.6326228466841468E-3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6.6380603705486754E-3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1.203470850796297E-7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3.8263545669873974E-4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2.4113373240816085E-4</v>
      </c>
      <c r="C10" s="423"/>
      <c r="D10" s="425">
        <f>vkm_SW_PW*SUMIFS(TableVerdeelsleutelVkm[CNG],TableVerdeelsleutelVkm[Voertuigtype],"Lichte voertuigen")*SUMIFS(TableECFTransport[EnergieConsumptieFactor (PJ per km)],TableECFTransport[Index],CONCATENATE($A10,"_CNG_CNG"))</f>
        <v>7.7862434551509159E-4</v>
      </c>
      <c r="E10" s="425">
        <f>vkm_SW_PW*SUMIFS(TableVerdeelsleutelVkm[LPG],TableVerdeelsleutelVkm[Voertuigtype],"Lichte voertuigen")*SUMIFS(TableECFTransport[EnergieConsumptieFactor (PJ per km)],TableECFTransport[Index],CONCATENATE($A10,"_LPG_LPG"))</f>
        <v>8.2969587753802616E-4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0.23881548298624405</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7.6107955431117744E-2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1.8804913892965843E-2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0.3436259393452199</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5.2501310548556423E-6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1.9807448301816761E-2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125.9944337377548</v>
      </c>
      <c r="C14" s="21"/>
      <c r="D14" s="21">
        <f t="shared" ref="D14:M14" si="0">((D5)*10^9/3600)+D12</f>
        <v>449.31854667494923</v>
      </c>
      <c r="E14" s="21">
        <f t="shared" si="0"/>
        <v>425.29153092240949</v>
      </c>
      <c r="F14" s="21"/>
      <c r="G14" s="21">
        <f t="shared" si="0"/>
        <v>249893.94550187979</v>
      </c>
      <c r="H14" s="21">
        <f t="shared" si="0"/>
        <v>42809.440281233197</v>
      </c>
      <c r="I14" s="21"/>
      <c r="J14" s="21"/>
      <c r="K14" s="21"/>
      <c r="L14" s="21"/>
      <c r="M14" s="21">
        <f t="shared" si="0"/>
        <v>17238.739692947223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0.15667571160843169</v>
      </c>
      <c r="C16" s="56">
        <f ca="1">'EF ele_warmte'!B22</f>
        <v>0.23418464858378765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19.740267564564128</v>
      </c>
      <c r="C18" s="23"/>
      <c r="D18" s="23">
        <f t="shared" ref="D18:M18" si="1">D14*D16</f>
        <v>90.762346428339754</v>
      </c>
      <c r="E18" s="23">
        <f t="shared" si="1"/>
        <v>96.541177519386963</v>
      </c>
      <c r="F18" s="23"/>
      <c r="G18" s="23">
        <f t="shared" si="1"/>
        <v>66721.68344900191</v>
      </c>
      <c r="H18" s="23">
        <f t="shared" si="1"/>
        <v>10659.550630027066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5.9518571996759846E-3</v>
      </c>
      <c r="H50" s="319">
        <f t="shared" si="2"/>
        <v>0</v>
      </c>
      <c r="I50" s="319">
        <f t="shared" si="2"/>
        <v>0</v>
      </c>
      <c r="J50" s="319">
        <f t="shared" si="2"/>
        <v>0</v>
      </c>
      <c r="K50" s="319">
        <f t="shared" si="2"/>
        <v>0</v>
      </c>
      <c r="L50" s="319">
        <f t="shared" si="2"/>
        <v>0</v>
      </c>
      <c r="M50" s="319">
        <f t="shared" si="2"/>
        <v>3.3075283628320438E-4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5.9518571996759846E-3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3.3075283628320438E-4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1653.2936665766624</v>
      </c>
      <c r="H54" s="21">
        <f t="shared" si="3"/>
        <v>0</v>
      </c>
      <c r="I54" s="21">
        <f t="shared" si="3"/>
        <v>0</v>
      </c>
      <c r="J54" s="21">
        <f t="shared" si="3"/>
        <v>0</v>
      </c>
      <c r="K54" s="21">
        <f t="shared" si="3"/>
        <v>0</v>
      </c>
      <c r="L54" s="21">
        <f t="shared" si="3"/>
        <v>0</v>
      </c>
      <c r="M54" s="21">
        <f t="shared" si="3"/>
        <v>91.875787856445655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0.15667571160843169</v>
      </c>
      <c r="C56" s="56">
        <f ca="1">'EF ele_warmte'!B22</f>
        <v>0.23418464858378765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441.4294089759689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63545.460874000004</v>
      </c>
      <c r="D10" s="686">
        <f ca="1">tertiair!C16</f>
        <v>12857.142857142857</v>
      </c>
      <c r="E10" s="686">
        <f ca="1">tertiair!D16</f>
        <v>46171.107710856297</v>
      </c>
      <c r="F10" s="686">
        <f>tertiair!E16</f>
        <v>748.63853862348151</v>
      </c>
      <c r="G10" s="686">
        <f ca="1">tertiair!F16</f>
        <v>5927.9489710135149</v>
      </c>
      <c r="H10" s="686">
        <f>tertiair!G16</f>
        <v>0</v>
      </c>
      <c r="I10" s="686">
        <f>tertiair!H16</f>
        <v>0</v>
      </c>
      <c r="J10" s="686">
        <f>tertiair!I16</f>
        <v>0</v>
      </c>
      <c r="K10" s="686">
        <f>tertiair!J16</f>
        <v>8.5607829023730098E-2</v>
      </c>
      <c r="L10" s="686">
        <f>tertiair!K16</f>
        <v>0</v>
      </c>
      <c r="M10" s="686">
        <f ca="1">tertiair!L16</f>
        <v>0</v>
      </c>
      <c r="N10" s="686">
        <f>tertiair!M16</f>
        <v>0</v>
      </c>
      <c r="O10" s="686">
        <f ca="1">tertiair!N16</f>
        <v>0</v>
      </c>
      <c r="P10" s="686">
        <f>tertiair!O16</f>
        <v>24.486303829205774</v>
      </c>
      <c r="Q10" s="687">
        <f>tertiair!P16</f>
        <v>315.23482983897009</v>
      </c>
      <c r="R10" s="689">
        <f ca="1">SUM(C10:Q10)</f>
        <v>129590.10569313334</v>
      </c>
      <c r="S10" s="67"/>
    </row>
    <row r="11" spans="1:19" s="448" customFormat="1">
      <c r="A11" s="808" t="s">
        <v>224</v>
      </c>
      <c r="B11" s="813"/>
      <c r="C11" s="686">
        <f>huishoudens!B8</f>
        <v>36729.113542043146</v>
      </c>
      <c r="D11" s="686">
        <f>huishoudens!C8</f>
        <v>0</v>
      </c>
      <c r="E11" s="686">
        <f>huishoudens!D8</f>
        <v>90267.089344762004</v>
      </c>
      <c r="F11" s="686">
        <f>huishoudens!E8</f>
        <v>28965.634522158001</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31046.985685705</v>
      </c>
      <c r="P11" s="686">
        <f>huishoudens!O8</f>
        <v>698.35329322423524</v>
      </c>
      <c r="Q11" s="687">
        <f>huishoudens!P8</f>
        <v>1285.1430355375728</v>
      </c>
      <c r="R11" s="689">
        <f>SUM(C11:Q11)</f>
        <v>188992.31942342996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102244.839372</v>
      </c>
      <c r="D13" s="686">
        <f>industrie!C18</f>
        <v>784.28571428571433</v>
      </c>
      <c r="E13" s="686">
        <f>industrie!D18</f>
        <v>66042.965453152574</v>
      </c>
      <c r="F13" s="686">
        <f>industrie!E18</f>
        <v>10463.441291927265</v>
      </c>
      <c r="G13" s="686">
        <f>industrie!F18</f>
        <v>34008.872085810784</v>
      </c>
      <c r="H13" s="686">
        <f>industrie!G18</f>
        <v>0</v>
      </c>
      <c r="I13" s="686">
        <f>industrie!H18</f>
        <v>0</v>
      </c>
      <c r="J13" s="686">
        <f>industrie!I18</f>
        <v>0</v>
      </c>
      <c r="K13" s="686">
        <f>industrie!J18</f>
        <v>953.40162694993933</v>
      </c>
      <c r="L13" s="686">
        <f>industrie!K18</f>
        <v>0</v>
      </c>
      <c r="M13" s="686">
        <f>industrie!L18</f>
        <v>0</v>
      </c>
      <c r="N13" s="686">
        <f>industrie!M18</f>
        <v>0</v>
      </c>
      <c r="O13" s="686">
        <f>industrie!N18</f>
        <v>4695.4005009439961</v>
      </c>
      <c r="P13" s="686">
        <f>industrie!O18</f>
        <v>0</v>
      </c>
      <c r="Q13" s="687">
        <f>industrie!P18</f>
        <v>0</v>
      </c>
      <c r="R13" s="689">
        <f>SUM(C13:Q13)</f>
        <v>219193.20604507028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202519.41378804314</v>
      </c>
      <c r="D16" s="722">
        <f t="shared" ref="D16:R16" ca="1" si="0">SUM(D9:D15)</f>
        <v>13641.428571428571</v>
      </c>
      <c r="E16" s="722">
        <f t="shared" ca="1" si="0"/>
        <v>202481.16250877088</v>
      </c>
      <c r="F16" s="722">
        <f t="shared" si="0"/>
        <v>40177.714352708746</v>
      </c>
      <c r="G16" s="722">
        <f t="shared" ca="1" si="0"/>
        <v>39936.821056824301</v>
      </c>
      <c r="H16" s="722">
        <f t="shared" si="0"/>
        <v>0</v>
      </c>
      <c r="I16" s="722">
        <f t="shared" si="0"/>
        <v>0</v>
      </c>
      <c r="J16" s="722">
        <f t="shared" si="0"/>
        <v>0</v>
      </c>
      <c r="K16" s="722">
        <f t="shared" si="0"/>
        <v>953.48723477896306</v>
      </c>
      <c r="L16" s="722">
        <f t="shared" si="0"/>
        <v>0</v>
      </c>
      <c r="M16" s="722">
        <f t="shared" ca="1" si="0"/>
        <v>0</v>
      </c>
      <c r="N16" s="722">
        <f t="shared" si="0"/>
        <v>0</v>
      </c>
      <c r="O16" s="722">
        <f t="shared" ca="1" si="0"/>
        <v>35742.386186648997</v>
      </c>
      <c r="P16" s="722">
        <f t="shared" si="0"/>
        <v>722.83959705344103</v>
      </c>
      <c r="Q16" s="722">
        <f t="shared" si="0"/>
        <v>1600.377865376543</v>
      </c>
      <c r="R16" s="722">
        <f t="shared" ca="1" si="0"/>
        <v>537775.63116163365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1653.2936665766624</v>
      </c>
      <c r="I19" s="686">
        <f>transport!H54</f>
        <v>0</v>
      </c>
      <c r="J19" s="686">
        <f>transport!I54</f>
        <v>0</v>
      </c>
      <c r="K19" s="686">
        <f>transport!J54</f>
        <v>0</v>
      </c>
      <c r="L19" s="686">
        <f>transport!K54</f>
        <v>0</v>
      </c>
      <c r="M19" s="686">
        <f>transport!L54</f>
        <v>0</v>
      </c>
      <c r="N19" s="686">
        <f>transport!M54</f>
        <v>91.875787856445655</v>
      </c>
      <c r="O19" s="686">
        <f>transport!N54</f>
        <v>0</v>
      </c>
      <c r="P19" s="686">
        <f>transport!O54</f>
        <v>0</v>
      </c>
      <c r="Q19" s="687">
        <f>transport!P54</f>
        <v>0</v>
      </c>
      <c r="R19" s="689">
        <f>SUM(C19:Q19)</f>
        <v>1745.1694544331081</v>
      </c>
      <c r="S19" s="67"/>
    </row>
    <row r="20" spans="1:19" s="448" customFormat="1">
      <c r="A20" s="808" t="s">
        <v>306</v>
      </c>
      <c r="B20" s="813"/>
      <c r="C20" s="686">
        <f>transport!B14</f>
        <v>125.9944337377548</v>
      </c>
      <c r="D20" s="686">
        <f>transport!C14</f>
        <v>0</v>
      </c>
      <c r="E20" s="686">
        <f>transport!D14</f>
        <v>449.31854667494923</v>
      </c>
      <c r="F20" s="686">
        <f>transport!E14</f>
        <v>425.29153092240949</v>
      </c>
      <c r="G20" s="686">
        <f>transport!F14</f>
        <v>0</v>
      </c>
      <c r="H20" s="686">
        <f>transport!G14</f>
        <v>249893.94550187979</v>
      </c>
      <c r="I20" s="686">
        <f>transport!H14</f>
        <v>42809.440281233197</v>
      </c>
      <c r="J20" s="686">
        <f>transport!I14</f>
        <v>0</v>
      </c>
      <c r="K20" s="686">
        <f>transport!J14</f>
        <v>0</v>
      </c>
      <c r="L20" s="686">
        <f>transport!K14</f>
        <v>0</v>
      </c>
      <c r="M20" s="686">
        <f>transport!L14</f>
        <v>0</v>
      </c>
      <c r="N20" s="686">
        <f>transport!M14</f>
        <v>17238.739692947223</v>
      </c>
      <c r="O20" s="686">
        <f>transport!N14</f>
        <v>0</v>
      </c>
      <c r="P20" s="686">
        <f>transport!O14</f>
        <v>0</v>
      </c>
      <c r="Q20" s="687">
        <f>transport!P14</f>
        <v>0</v>
      </c>
      <c r="R20" s="689">
        <f>SUM(C20:Q20)</f>
        <v>310942.72998739535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125.9944337377548</v>
      </c>
      <c r="D22" s="811">
        <f t="shared" ref="D22:R22" si="1">SUM(D18:D21)</f>
        <v>0</v>
      </c>
      <c r="E22" s="811">
        <f t="shared" si="1"/>
        <v>449.31854667494923</v>
      </c>
      <c r="F22" s="811">
        <f t="shared" si="1"/>
        <v>425.29153092240949</v>
      </c>
      <c r="G22" s="811">
        <f t="shared" si="1"/>
        <v>0</v>
      </c>
      <c r="H22" s="811">
        <f t="shared" si="1"/>
        <v>251547.23916845646</v>
      </c>
      <c r="I22" s="811">
        <f t="shared" si="1"/>
        <v>42809.440281233197</v>
      </c>
      <c r="J22" s="811">
        <f t="shared" si="1"/>
        <v>0</v>
      </c>
      <c r="K22" s="811">
        <f t="shared" si="1"/>
        <v>0</v>
      </c>
      <c r="L22" s="811">
        <f t="shared" si="1"/>
        <v>0</v>
      </c>
      <c r="M22" s="811">
        <f t="shared" si="1"/>
        <v>0</v>
      </c>
      <c r="N22" s="811">
        <f t="shared" si="1"/>
        <v>17330.61548080367</v>
      </c>
      <c r="O22" s="811">
        <f t="shared" si="1"/>
        <v>0</v>
      </c>
      <c r="P22" s="811">
        <f t="shared" si="1"/>
        <v>0</v>
      </c>
      <c r="Q22" s="811">
        <f t="shared" si="1"/>
        <v>0</v>
      </c>
      <c r="R22" s="811">
        <f t="shared" si="1"/>
        <v>312687.89944182843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25711.763072000002</v>
      </c>
      <c r="D24" s="686">
        <f>+landbouw!C8</f>
        <v>213803.35714285716</v>
      </c>
      <c r="E24" s="686">
        <f>+landbouw!D8</f>
        <v>0</v>
      </c>
      <c r="F24" s="686">
        <f>+landbouw!E8</f>
        <v>802.45564678365724</v>
      </c>
      <c r="G24" s="686">
        <f>+landbouw!F8</f>
        <v>88528.218968726142</v>
      </c>
      <c r="H24" s="686">
        <f>+landbouw!G8</f>
        <v>0</v>
      </c>
      <c r="I24" s="686">
        <f>+landbouw!H8</f>
        <v>0</v>
      </c>
      <c r="J24" s="686">
        <f>+landbouw!I8</f>
        <v>0</v>
      </c>
      <c r="K24" s="686">
        <f>+landbouw!J8</f>
        <v>7083.7690358502105</v>
      </c>
      <c r="L24" s="686">
        <f>+landbouw!K8</f>
        <v>0</v>
      </c>
      <c r="M24" s="686">
        <f>+landbouw!L8</f>
        <v>0</v>
      </c>
      <c r="N24" s="686">
        <f>+landbouw!M8</f>
        <v>0</v>
      </c>
      <c r="O24" s="686">
        <f>+landbouw!N8</f>
        <v>0</v>
      </c>
      <c r="P24" s="686">
        <f>+landbouw!O8</f>
        <v>0</v>
      </c>
      <c r="Q24" s="687">
        <f>+landbouw!P8</f>
        <v>0</v>
      </c>
      <c r="R24" s="689">
        <f>SUM(C24:Q24)</f>
        <v>335929.56386621716</v>
      </c>
      <c r="S24" s="67"/>
    </row>
    <row r="25" spans="1:19" s="448" customFormat="1" ht="15" thickBot="1">
      <c r="A25" s="830" t="s">
        <v>724</v>
      </c>
      <c r="B25" s="949"/>
      <c r="C25" s="950">
        <f>IF(Onbekend_ele_kWh="---",0,Onbekend_ele_kWh)/1000+IF(REST_rest_ele_kWh="---",0,REST_rest_ele_kWh)/1000</f>
        <v>1657.1711749999999</v>
      </c>
      <c r="D25" s="950"/>
      <c r="E25" s="950">
        <f>IF(onbekend_gas_kWh="---",0,onbekend_gas_kWh)/1000+IF(REST_rest_gas_kWh="---",0,REST_rest_gas_kWh)/1000</f>
        <v>2657.5286970000002</v>
      </c>
      <c r="F25" s="950"/>
      <c r="G25" s="950"/>
      <c r="H25" s="950"/>
      <c r="I25" s="950"/>
      <c r="J25" s="950"/>
      <c r="K25" s="950"/>
      <c r="L25" s="950"/>
      <c r="M25" s="950"/>
      <c r="N25" s="950"/>
      <c r="O25" s="950"/>
      <c r="P25" s="950"/>
      <c r="Q25" s="951"/>
      <c r="R25" s="689">
        <f>SUM(C25:Q25)</f>
        <v>4314.6998720000001</v>
      </c>
      <c r="S25" s="67"/>
    </row>
    <row r="26" spans="1:19" s="448" customFormat="1" ht="15.75" thickBot="1">
      <c r="A26" s="694" t="s">
        <v>725</v>
      </c>
      <c r="B26" s="816"/>
      <c r="C26" s="811">
        <f>SUM(C24:C25)</f>
        <v>27368.934247000001</v>
      </c>
      <c r="D26" s="811">
        <f t="shared" ref="D26:R26" si="2">SUM(D24:D25)</f>
        <v>213803.35714285716</v>
      </c>
      <c r="E26" s="811">
        <f t="shared" si="2"/>
        <v>2657.5286970000002</v>
      </c>
      <c r="F26" s="811">
        <f t="shared" si="2"/>
        <v>802.45564678365724</v>
      </c>
      <c r="G26" s="811">
        <f t="shared" si="2"/>
        <v>88528.218968726142</v>
      </c>
      <c r="H26" s="811">
        <f t="shared" si="2"/>
        <v>0</v>
      </c>
      <c r="I26" s="811">
        <f t="shared" si="2"/>
        <v>0</v>
      </c>
      <c r="J26" s="811">
        <f t="shared" si="2"/>
        <v>0</v>
      </c>
      <c r="K26" s="811">
        <f t="shared" si="2"/>
        <v>7083.7690358502105</v>
      </c>
      <c r="L26" s="811">
        <f t="shared" si="2"/>
        <v>0</v>
      </c>
      <c r="M26" s="811">
        <f t="shared" si="2"/>
        <v>0</v>
      </c>
      <c r="N26" s="811">
        <f t="shared" si="2"/>
        <v>0</v>
      </c>
      <c r="O26" s="811">
        <f t="shared" si="2"/>
        <v>0</v>
      </c>
      <c r="P26" s="811">
        <f t="shared" si="2"/>
        <v>0</v>
      </c>
      <c r="Q26" s="811">
        <f t="shared" si="2"/>
        <v>0</v>
      </c>
      <c r="R26" s="811">
        <f t="shared" si="2"/>
        <v>340244.26373821718</v>
      </c>
      <c r="S26" s="67"/>
    </row>
    <row r="27" spans="1:19" s="448" customFormat="1" ht="17.25" thickTop="1" thickBot="1">
      <c r="A27" s="695" t="s">
        <v>115</v>
      </c>
      <c r="B27" s="803"/>
      <c r="C27" s="696">
        <f ca="1">C22+C16+C26</f>
        <v>230014.3424687809</v>
      </c>
      <c r="D27" s="696">
        <f t="shared" ref="D27:R27" ca="1" si="3">D22+D16+D26</f>
        <v>227444.78571428574</v>
      </c>
      <c r="E27" s="696">
        <f t="shared" ca="1" si="3"/>
        <v>205588.00975244583</v>
      </c>
      <c r="F27" s="696">
        <f t="shared" si="3"/>
        <v>41405.461530414817</v>
      </c>
      <c r="G27" s="696">
        <f t="shared" ca="1" si="3"/>
        <v>128465.04002555044</v>
      </c>
      <c r="H27" s="696">
        <f t="shared" si="3"/>
        <v>251547.23916845646</v>
      </c>
      <c r="I27" s="696">
        <f t="shared" si="3"/>
        <v>42809.440281233197</v>
      </c>
      <c r="J27" s="696">
        <f t="shared" si="3"/>
        <v>0</v>
      </c>
      <c r="K27" s="696">
        <f t="shared" si="3"/>
        <v>8037.2562706291737</v>
      </c>
      <c r="L27" s="696">
        <f t="shared" si="3"/>
        <v>0</v>
      </c>
      <c r="M27" s="696">
        <f t="shared" ca="1" si="3"/>
        <v>0</v>
      </c>
      <c r="N27" s="696">
        <f t="shared" si="3"/>
        <v>17330.61548080367</v>
      </c>
      <c r="O27" s="696">
        <f t="shared" ca="1" si="3"/>
        <v>35742.386186648997</v>
      </c>
      <c r="P27" s="696">
        <f t="shared" si="3"/>
        <v>722.83959705344103</v>
      </c>
      <c r="Q27" s="696">
        <f t="shared" si="3"/>
        <v>1600.377865376543</v>
      </c>
      <c r="R27" s="696">
        <f t="shared" ca="1" si="3"/>
        <v>1190707.7943416792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9956.0303019197036</v>
      </c>
      <c r="D40" s="686">
        <f ca="1">tertiair!C20</f>
        <v>3010.9454817915553</v>
      </c>
      <c r="E40" s="686">
        <f ca="1">tertiair!D20</f>
        <v>9326.5637575929723</v>
      </c>
      <c r="F40" s="686">
        <f>tertiair!E20</f>
        <v>169.9409482675303</v>
      </c>
      <c r="G40" s="686">
        <f ca="1">tertiair!F20</f>
        <v>1582.7623752606087</v>
      </c>
      <c r="H40" s="686">
        <f>tertiair!G20</f>
        <v>0</v>
      </c>
      <c r="I40" s="686">
        <f>tertiair!H20</f>
        <v>0</v>
      </c>
      <c r="J40" s="686">
        <f>tertiair!I20</f>
        <v>0</v>
      </c>
      <c r="K40" s="686">
        <f>tertiair!J20</f>
        <v>3.0305171474400452E-2</v>
      </c>
      <c r="L40" s="686">
        <f>tertiair!K20</f>
        <v>0</v>
      </c>
      <c r="M40" s="686">
        <f ca="1">tertiair!L20</f>
        <v>0</v>
      </c>
      <c r="N40" s="686">
        <f>tertiair!M20</f>
        <v>0</v>
      </c>
      <c r="O40" s="686">
        <f ca="1">tertiair!N20</f>
        <v>0</v>
      </c>
      <c r="P40" s="686">
        <f>tertiair!O20</f>
        <v>0</v>
      </c>
      <c r="Q40" s="769">
        <f>tertiair!P20</f>
        <v>0</v>
      </c>
      <c r="R40" s="849">
        <f t="shared" ca="1" si="4"/>
        <v>24046.273170003842</v>
      </c>
    </row>
    <row r="41" spans="1:18">
      <c r="A41" s="821" t="s">
        <v>224</v>
      </c>
      <c r="B41" s="828"/>
      <c r="C41" s="686">
        <f ca="1">huishoudens!B12</f>
        <v>5754.5600009464952</v>
      </c>
      <c r="D41" s="686">
        <f ca="1">huishoudens!C12</f>
        <v>0</v>
      </c>
      <c r="E41" s="686">
        <f>huishoudens!D12</f>
        <v>18233.952047641927</v>
      </c>
      <c r="F41" s="686">
        <f>huishoudens!E12</f>
        <v>6575.1990365298661</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30563.711085118288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16019.282966897894</v>
      </c>
      <c r="D43" s="686">
        <f ca="1">industrie!C22</f>
        <v>183.66767438928491</v>
      </c>
      <c r="E43" s="686">
        <f>industrie!D22</f>
        <v>13340.67902153682</v>
      </c>
      <c r="F43" s="686">
        <f>industrie!E22</f>
        <v>2375.2011732674891</v>
      </c>
      <c r="G43" s="686">
        <f>industrie!F22</f>
        <v>9080.3688469114804</v>
      </c>
      <c r="H43" s="686">
        <f>industrie!G22</f>
        <v>0</v>
      </c>
      <c r="I43" s="686">
        <f>industrie!H22</f>
        <v>0</v>
      </c>
      <c r="J43" s="686">
        <f>industrie!I22</f>
        <v>0</v>
      </c>
      <c r="K43" s="686">
        <f>industrie!J22</f>
        <v>337.50417594027851</v>
      </c>
      <c r="L43" s="686">
        <f>industrie!K22</f>
        <v>0</v>
      </c>
      <c r="M43" s="686">
        <f>industrie!L22</f>
        <v>0</v>
      </c>
      <c r="N43" s="686">
        <f>industrie!M22</f>
        <v>0</v>
      </c>
      <c r="O43" s="686">
        <f>industrie!N22</f>
        <v>0</v>
      </c>
      <c r="P43" s="686">
        <f>industrie!O22</f>
        <v>0</v>
      </c>
      <c r="Q43" s="769">
        <f>industrie!P22</f>
        <v>0</v>
      </c>
      <c r="R43" s="848">
        <f t="shared" ca="1" si="4"/>
        <v>41336.703858943249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31729.873269764095</v>
      </c>
      <c r="D46" s="722">
        <f t="shared" ref="D46:Q46" ca="1" si="5">SUM(D39:D45)</f>
        <v>3194.6131561808402</v>
      </c>
      <c r="E46" s="722">
        <f t="shared" ca="1" si="5"/>
        <v>40901.194826771723</v>
      </c>
      <c r="F46" s="722">
        <f t="shared" si="5"/>
        <v>9120.3411580648863</v>
      </c>
      <c r="G46" s="722">
        <f t="shared" ca="1" si="5"/>
        <v>10663.131222172089</v>
      </c>
      <c r="H46" s="722">
        <f t="shared" si="5"/>
        <v>0</v>
      </c>
      <c r="I46" s="722">
        <f t="shared" si="5"/>
        <v>0</v>
      </c>
      <c r="J46" s="722">
        <f t="shared" si="5"/>
        <v>0</v>
      </c>
      <c r="K46" s="722">
        <f t="shared" si="5"/>
        <v>337.53448111175294</v>
      </c>
      <c r="L46" s="722">
        <f t="shared" si="5"/>
        <v>0</v>
      </c>
      <c r="M46" s="722">
        <f t="shared" ca="1" si="5"/>
        <v>0</v>
      </c>
      <c r="N46" s="722">
        <f t="shared" si="5"/>
        <v>0</v>
      </c>
      <c r="O46" s="722">
        <f t="shared" ca="1" si="5"/>
        <v>0</v>
      </c>
      <c r="P46" s="722">
        <f t="shared" si="5"/>
        <v>0</v>
      </c>
      <c r="Q46" s="722">
        <f t="shared" si="5"/>
        <v>0</v>
      </c>
      <c r="R46" s="722">
        <f ca="1">SUM(R39:R45)</f>
        <v>95946.688114065386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441.4294089759689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441.4294089759689</v>
      </c>
    </row>
    <row r="50" spans="1:18">
      <c r="A50" s="824" t="s">
        <v>306</v>
      </c>
      <c r="B50" s="834"/>
      <c r="C50" s="692">
        <f ca="1">transport!B18</f>
        <v>19.740267564564128</v>
      </c>
      <c r="D50" s="692">
        <f>transport!C18</f>
        <v>0</v>
      </c>
      <c r="E50" s="692">
        <f>transport!D18</f>
        <v>90.762346428339754</v>
      </c>
      <c r="F50" s="692">
        <f>transport!E18</f>
        <v>96.541177519386963</v>
      </c>
      <c r="G50" s="692">
        <f>transport!F18</f>
        <v>0</v>
      </c>
      <c r="H50" s="692">
        <f>transport!G18</f>
        <v>66721.68344900191</v>
      </c>
      <c r="I50" s="692">
        <f>transport!H18</f>
        <v>10659.550630027066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77588.277870541264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19.740267564564128</v>
      </c>
      <c r="D52" s="722">
        <f t="shared" ref="D52:Q52" ca="1" si="6">SUM(D48:D51)</f>
        <v>0</v>
      </c>
      <c r="E52" s="722">
        <f t="shared" si="6"/>
        <v>90.762346428339754</v>
      </c>
      <c r="F52" s="722">
        <f t="shared" si="6"/>
        <v>96.541177519386963</v>
      </c>
      <c r="G52" s="722">
        <f t="shared" si="6"/>
        <v>0</v>
      </c>
      <c r="H52" s="722">
        <f t="shared" si="6"/>
        <v>67163.112857977874</v>
      </c>
      <c r="I52" s="722">
        <f t="shared" si="6"/>
        <v>10659.550630027066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78029.707279517228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4028.408776012996</v>
      </c>
      <c r="D54" s="692">
        <f ca="1">+landbouw!C12</f>
        <v>50069.464058534053</v>
      </c>
      <c r="E54" s="692">
        <f>+landbouw!D12</f>
        <v>0</v>
      </c>
      <c r="F54" s="692">
        <f>+landbouw!E12</f>
        <v>182.15743181989021</v>
      </c>
      <c r="G54" s="692">
        <f>+landbouw!F12</f>
        <v>23637.034464649882</v>
      </c>
      <c r="H54" s="692">
        <f>+landbouw!G12</f>
        <v>0</v>
      </c>
      <c r="I54" s="692">
        <f>+landbouw!H12</f>
        <v>0</v>
      </c>
      <c r="J54" s="692">
        <f>+landbouw!I12</f>
        <v>0</v>
      </c>
      <c r="K54" s="692">
        <f>+landbouw!J12</f>
        <v>2507.6542386909746</v>
      </c>
      <c r="L54" s="692">
        <f>+landbouw!K12</f>
        <v>0</v>
      </c>
      <c r="M54" s="692">
        <f>+landbouw!L12</f>
        <v>0</v>
      </c>
      <c r="N54" s="692">
        <f>+landbouw!M12</f>
        <v>0</v>
      </c>
      <c r="O54" s="692">
        <f>+landbouw!N12</f>
        <v>0</v>
      </c>
      <c r="P54" s="692">
        <f>+landbouw!O12</f>
        <v>0</v>
      </c>
      <c r="Q54" s="693">
        <f>+landbouw!P12</f>
        <v>0</v>
      </c>
      <c r="R54" s="721">
        <f ca="1">SUM(C54:Q54)</f>
        <v>80424.718969707799</v>
      </c>
    </row>
    <row r="55" spans="1:18" ht="15" thickBot="1">
      <c r="A55" s="824" t="s">
        <v>724</v>
      </c>
      <c r="B55" s="834"/>
      <c r="C55" s="692">
        <f ca="1">C25*'EF ele_warmte'!B12</f>
        <v>259.6384731001059</v>
      </c>
      <c r="D55" s="692"/>
      <c r="E55" s="692">
        <f>E25*EF_CO2_aardgas</f>
        <v>536.8207967940001</v>
      </c>
      <c r="F55" s="692"/>
      <c r="G55" s="692"/>
      <c r="H55" s="692"/>
      <c r="I55" s="692"/>
      <c r="J55" s="692"/>
      <c r="K55" s="692"/>
      <c r="L55" s="692"/>
      <c r="M55" s="692"/>
      <c r="N55" s="692"/>
      <c r="O55" s="692"/>
      <c r="P55" s="692"/>
      <c r="Q55" s="693"/>
      <c r="R55" s="721">
        <f ca="1">SUM(C55:Q55)</f>
        <v>796.459269894106</v>
      </c>
    </row>
    <row r="56" spans="1:18" ht="15.75" thickBot="1">
      <c r="A56" s="822" t="s">
        <v>725</v>
      </c>
      <c r="B56" s="835"/>
      <c r="C56" s="722">
        <f ca="1">SUM(C54:C55)</f>
        <v>4288.0472491131022</v>
      </c>
      <c r="D56" s="722">
        <f t="shared" ref="D56:Q56" ca="1" si="7">SUM(D54:D55)</f>
        <v>50069.464058534053</v>
      </c>
      <c r="E56" s="722">
        <f t="shared" si="7"/>
        <v>536.8207967940001</v>
      </c>
      <c r="F56" s="722">
        <f t="shared" si="7"/>
        <v>182.15743181989021</v>
      </c>
      <c r="G56" s="722">
        <f t="shared" si="7"/>
        <v>23637.034464649882</v>
      </c>
      <c r="H56" s="722">
        <f t="shared" si="7"/>
        <v>0</v>
      </c>
      <c r="I56" s="722">
        <f t="shared" si="7"/>
        <v>0</v>
      </c>
      <c r="J56" s="722">
        <f t="shared" si="7"/>
        <v>0</v>
      </c>
      <c r="K56" s="722">
        <f t="shared" si="7"/>
        <v>2507.6542386909746</v>
      </c>
      <c r="L56" s="722">
        <f t="shared" si="7"/>
        <v>0</v>
      </c>
      <c r="M56" s="722">
        <f t="shared" si="7"/>
        <v>0</v>
      </c>
      <c r="N56" s="722">
        <f t="shared" si="7"/>
        <v>0</v>
      </c>
      <c r="O56" s="722">
        <f t="shared" si="7"/>
        <v>0</v>
      </c>
      <c r="P56" s="722">
        <f t="shared" si="7"/>
        <v>0</v>
      </c>
      <c r="Q56" s="723">
        <f t="shared" si="7"/>
        <v>0</v>
      </c>
      <c r="R56" s="724">
        <f ca="1">SUM(R54:R55)</f>
        <v>81221.178239601912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36037.66078644176</v>
      </c>
      <c r="D61" s="730">
        <f t="shared" ref="D61:Q61" ca="1" si="8">D46+D52+D56</f>
        <v>53264.077214714896</v>
      </c>
      <c r="E61" s="730">
        <f t="shared" ca="1" si="8"/>
        <v>41528.777969994066</v>
      </c>
      <c r="F61" s="730">
        <f t="shared" si="8"/>
        <v>9399.0397674041633</v>
      </c>
      <c r="G61" s="730">
        <f t="shared" ca="1" si="8"/>
        <v>34300.165686821972</v>
      </c>
      <c r="H61" s="730">
        <f t="shared" si="8"/>
        <v>67163.112857977874</v>
      </c>
      <c r="I61" s="730">
        <f t="shared" si="8"/>
        <v>10659.550630027066</v>
      </c>
      <c r="J61" s="730">
        <f t="shared" si="8"/>
        <v>0</v>
      </c>
      <c r="K61" s="730">
        <f t="shared" si="8"/>
        <v>2845.1887198027275</v>
      </c>
      <c r="L61" s="730">
        <f t="shared" si="8"/>
        <v>0</v>
      </c>
      <c r="M61" s="730">
        <f t="shared" ca="1" si="8"/>
        <v>0</v>
      </c>
      <c r="N61" s="730">
        <f t="shared" si="8"/>
        <v>0</v>
      </c>
      <c r="O61" s="730">
        <f t="shared" ca="1" si="8"/>
        <v>0</v>
      </c>
      <c r="P61" s="730">
        <f t="shared" si="8"/>
        <v>0</v>
      </c>
      <c r="Q61" s="730">
        <f t="shared" si="8"/>
        <v>0</v>
      </c>
      <c r="R61" s="730">
        <f ca="1">R46+R52+R56</f>
        <v>255197.57363318454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0.15667571160843169</v>
      </c>
      <c r="D63" s="776">
        <f t="shared" ca="1" si="9"/>
        <v>0.23418464858378768</v>
      </c>
      <c r="E63" s="975">
        <f t="shared" ca="1" si="9"/>
        <v>0.20200000000000004</v>
      </c>
      <c r="F63" s="776">
        <f t="shared" si="9"/>
        <v>0.22700000000000001</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67571.266451211399</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10244.665250903839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2595.5416295048958</v>
      </c>
      <c r="C76" s="743">
        <f>'lokale energieproductie'!B8*IFERROR(SUM(D76:H76)/SUM(D76:O76),0)</f>
        <v>157411.40837049513</v>
      </c>
      <c r="D76" s="958">
        <f>'lokale energieproductie'!C8</f>
        <v>184223.53632064365</v>
      </c>
      <c r="E76" s="959">
        <f>'lokale energieproductie'!D8</f>
        <v>0</v>
      </c>
      <c r="F76" s="959">
        <f>'lokale energieproductie'!E8</f>
        <v>966.35587993881552</v>
      </c>
      <c r="G76" s="959">
        <f>'lokale energieproductie'!F8</f>
        <v>0</v>
      </c>
      <c r="H76" s="959">
        <f>'lokale energieproductie'!G8</f>
        <v>0</v>
      </c>
      <c r="I76" s="959">
        <f>'lokale energieproductie'!I8</f>
        <v>2899.0676398164469</v>
      </c>
      <c r="J76" s="959">
        <f>'lokale energieproductie'!J8</f>
        <v>154.51074783637105</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37471.171356713683</v>
      </c>
      <c r="R76" s="851">
        <v>0</v>
      </c>
    </row>
    <row r="77" spans="1:18" ht="15.75" thickBot="1">
      <c r="A77" s="746" t="s">
        <v>784</v>
      </c>
      <c r="B77" s="743">
        <f>'lokale energieproductie'!B9*IFERROR(SUM(I77:O77)/SUM(D77:O77),0)</f>
        <v>1341</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3831.4285714285716</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81752.473331620131</v>
      </c>
      <c r="C78" s="748">
        <f>SUM(C72:C77)</f>
        <v>157411.40837049513</v>
      </c>
      <c r="D78" s="749">
        <f t="shared" ref="D78:H78" si="10">SUM(D76:D77)</f>
        <v>184223.53632064365</v>
      </c>
      <c r="E78" s="749">
        <f t="shared" si="10"/>
        <v>0</v>
      </c>
      <c r="F78" s="749">
        <f t="shared" si="10"/>
        <v>966.35587993881552</v>
      </c>
      <c r="G78" s="749">
        <f t="shared" si="10"/>
        <v>0</v>
      </c>
      <c r="H78" s="749">
        <f t="shared" si="10"/>
        <v>0</v>
      </c>
      <c r="I78" s="749">
        <f>SUM(I76:I77)</f>
        <v>2899.0676398164469</v>
      </c>
      <c r="J78" s="749">
        <f>SUM(J76:J77)</f>
        <v>3985.9393192649427</v>
      </c>
      <c r="K78" s="749">
        <f t="shared" ref="K78:L78" si="11">SUM(K76:K77)</f>
        <v>0</v>
      </c>
      <c r="L78" s="749">
        <f t="shared" si="11"/>
        <v>0</v>
      </c>
      <c r="M78" s="749">
        <f>SUM(M76:M77)</f>
        <v>0</v>
      </c>
      <c r="N78" s="749">
        <f>SUM(N76:N77)</f>
        <v>0</v>
      </c>
      <c r="O78" s="859">
        <f>SUM(O76:O77)</f>
        <v>0</v>
      </c>
      <c r="P78" s="750">
        <v>0</v>
      </c>
      <c r="Q78" s="750">
        <f>SUM(Q76:Q77)</f>
        <v>37471.171356713683</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3689.4797990665338</v>
      </c>
      <c r="C87" s="761">
        <f>'lokale energieproductie'!B17*IFERROR(SUM(D87:H87)/SUM(D87:O87),0)</f>
        <v>223755.30591521919</v>
      </c>
      <c r="D87" s="772">
        <f>'lokale energieproductie'!C17</f>
        <v>261867.89225078488</v>
      </c>
      <c r="E87" s="772">
        <f>'lokale energieproductie'!D17</f>
        <v>0</v>
      </c>
      <c r="F87" s="772">
        <f>'lokale energieproductie'!E17</f>
        <v>1373.6441200611841</v>
      </c>
      <c r="G87" s="772">
        <f>'lokale energieproductie'!F17</f>
        <v>0</v>
      </c>
      <c r="H87" s="772">
        <f>'lokale energieproductie'!G17</f>
        <v>0</v>
      </c>
      <c r="I87" s="772">
        <f>'lokale energieproductie'!I17</f>
        <v>4120.9323601835522</v>
      </c>
      <c r="J87" s="772">
        <f>'lokale energieproductie'!J17</f>
        <v>219.63210930648603</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53264.077214714889</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3689.4797990665338</v>
      </c>
      <c r="C90" s="748">
        <f>SUM(C87:C89)</f>
        <v>223755.30591521919</v>
      </c>
      <c r="D90" s="748">
        <f t="shared" ref="D90:H90" si="12">SUM(D87:D89)</f>
        <v>261867.89225078488</v>
      </c>
      <c r="E90" s="748">
        <f t="shared" si="12"/>
        <v>0</v>
      </c>
      <c r="F90" s="748">
        <f t="shared" si="12"/>
        <v>1373.6441200611841</v>
      </c>
      <c r="G90" s="748">
        <f t="shared" si="12"/>
        <v>0</v>
      </c>
      <c r="H90" s="748">
        <f t="shared" si="12"/>
        <v>0</v>
      </c>
      <c r="I90" s="748">
        <f>SUM(I87:I89)</f>
        <v>4120.9323601835522</v>
      </c>
      <c r="J90" s="748">
        <f>SUM(J87:J89)</f>
        <v>219.63210930648603</v>
      </c>
      <c r="K90" s="748">
        <f t="shared" ref="K90:L90" si="13">SUM(K87:K89)</f>
        <v>0</v>
      </c>
      <c r="L90" s="748">
        <f t="shared" si="13"/>
        <v>0</v>
      </c>
      <c r="M90" s="748">
        <f>SUM(M87:M89)</f>
        <v>0</v>
      </c>
      <c r="N90" s="748">
        <f>SUM(N87:N89)</f>
        <v>0</v>
      </c>
      <c r="O90" s="748">
        <f>SUM(O87:O89)</f>
        <v>0</v>
      </c>
      <c r="P90" s="748">
        <v>0</v>
      </c>
      <c r="Q90" s="748">
        <f>SUM(Q87:Q89)</f>
        <v>53264.077214714889</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9"/>
  <sheetViews>
    <sheetView showGridLines="0" topLeftCell="A299" zoomScale="65" zoomScaleNormal="65" workbookViewId="0">
      <selection activeCell="M46" sqref="M46"/>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67571.266451211399</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10244.665250903839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N47</f>
        <v>160006.95000000001</v>
      </c>
      <c r="C8" s="548">
        <f>B66</f>
        <v>184223.53632064365</v>
      </c>
      <c r="D8" s="549"/>
      <c r="E8" s="549">
        <f>E66</f>
        <v>966.35587993881552</v>
      </c>
      <c r="F8" s="550"/>
      <c r="G8" s="551"/>
      <c r="H8" s="549">
        <f>I66</f>
        <v>0</v>
      </c>
      <c r="I8" s="549">
        <f>G66+F66</f>
        <v>2899.0676398164469</v>
      </c>
      <c r="J8" s="549">
        <f>H66+D66+C66</f>
        <v>154.51074783637105</v>
      </c>
      <c r="K8" s="549"/>
      <c r="L8" s="549"/>
      <c r="M8" s="549"/>
      <c r="N8" s="552"/>
      <c r="O8" s="553">
        <f>C8*$C$12+D8*$D$12+E8*$E$12+F8*$F$12+G8*$G$12+H8*$H$12+I8*$I$12+J8*$J$12</f>
        <v>37471.171356713683</v>
      </c>
      <c r="P8" s="1244"/>
      <c r="Q8" s="1245"/>
      <c r="S8" s="543"/>
      <c r="T8" s="1232"/>
      <c r="U8" s="1232"/>
    </row>
    <row r="9" spans="1:21" s="534" customFormat="1" ht="17.45" customHeight="1" thickBot="1">
      <c r="A9" s="554" t="s">
        <v>247</v>
      </c>
      <c r="B9" s="555">
        <f>N54+'Eigen informatie GS &amp; warmtenet'!B12</f>
        <v>1341</v>
      </c>
      <c r="C9" s="556">
        <f>P54+IF(ISERROR(('Eigen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S54+IF(ISERROR('Eigen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W54+IF(ISERROR('Eigen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(T54+U54)+IF(ISERROR('Eigen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V54+Q54+R54+IF(ISERROR('Eigen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239163.88170211524</v>
      </c>
      <c r="C10" s="563">
        <f t="shared" ref="C10:L10" si="0">SUM(C8:C9)</f>
        <v>184223.53632064365</v>
      </c>
      <c r="D10" s="563">
        <f t="shared" si="0"/>
        <v>0</v>
      </c>
      <c r="E10" s="563">
        <f t="shared" si="0"/>
        <v>966.35587993881552</v>
      </c>
      <c r="F10" s="563">
        <f t="shared" si="0"/>
        <v>0</v>
      </c>
      <c r="G10" s="563">
        <f t="shared" si="0"/>
        <v>0</v>
      </c>
      <c r="H10" s="563">
        <f t="shared" si="0"/>
        <v>0</v>
      </c>
      <c r="I10" s="563">
        <f t="shared" si="0"/>
        <v>2899.0676398164469</v>
      </c>
      <c r="J10" s="563">
        <f t="shared" si="0"/>
        <v>3985.9393192649427</v>
      </c>
      <c r="K10" s="563">
        <f t="shared" si="0"/>
        <v>0</v>
      </c>
      <c r="L10" s="563">
        <f t="shared" si="0"/>
        <v>0</v>
      </c>
      <c r="M10" s="971"/>
      <c r="N10" s="971"/>
      <c r="O10" s="564">
        <f>SUM(O4:O9)</f>
        <v>37471.171356713683</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O47</f>
        <v>227444.78571428571</v>
      </c>
      <c r="C17" s="579">
        <f>B67</f>
        <v>261867.89225078488</v>
      </c>
      <c r="D17" s="580"/>
      <c r="E17" s="580">
        <f>E67</f>
        <v>1373.6441200611841</v>
      </c>
      <c r="F17" s="581"/>
      <c r="G17" s="582"/>
      <c r="H17" s="579">
        <f>I67</f>
        <v>0</v>
      </c>
      <c r="I17" s="580">
        <f>G67+F67</f>
        <v>4120.9323601835522</v>
      </c>
      <c r="J17" s="580">
        <f>H67+D67+C67</f>
        <v>219.63210930648603</v>
      </c>
      <c r="K17" s="580"/>
      <c r="L17" s="580"/>
      <c r="M17" s="580"/>
      <c r="N17" s="972"/>
      <c r="O17" s="583">
        <f>C17*$C$22+E17*$E$22+H17*$H$22+I17*$I$22+J17*$J$22+D17*$D$22+F17*$F$22+G17*$G$22+K17*$K$22+L17*$L$22</f>
        <v>53264.077214714889</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227444.78571428571</v>
      </c>
      <c r="C20" s="562">
        <f>SUM(C17:C19)</f>
        <v>261867.89225078488</v>
      </c>
      <c r="D20" s="562">
        <f t="shared" ref="D20:L20" si="1">SUM(D17:D19)</f>
        <v>0</v>
      </c>
      <c r="E20" s="562">
        <f t="shared" si="1"/>
        <v>1373.6441200611841</v>
      </c>
      <c r="F20" s="562">
        <f t="shared" si="1"/>
        <v>0</v>
      </c>
      <c r="G20" s="562">
        <f t="shared" si="1"/>
        <v>0</v>
      </c>
      <c r="H20" s="562">
        <f t="shared" si="1"/>
        <v>0</v>
      </c>
      <c r="I20" s="562">
        <f t="shared" si="1"/>
        <v>4120.9323601835522</v>
      </c>
      <c r="J20" s="562">
        <f t="shared" si="1"/>
        <v>219.63210930648603</v>
      </c>
      <c r="K20" s="562">
        <f t="shared" si="1"/>
        <v>0</v>
      </c>
      <c r="L20" s="562">
        <f t="shared" si="1"/>
        <v>0</v>
      </c>
      <c r="M20" s="562"/>
      <c r="N20" s="562"/>
      <c r="O20" s="588">
        <f>SUM(O17:O19)</f>
        <v>53264.077214714889</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13014</v>
      </c>
      <c r="C28" s="791">
        <v>2321</v>
      </c>
      <c r="D28" s="640" t="s">
        <v>888</v>
      </c>
      <c r="E28" s="639" t="s">
        <v>889</v>
      </c>
      <c r="F28" s="639" t="s">
        <v>890</v>
      </c>
      <c r="G28" s="639" t="s">
        <v>891</v>
      </c>
      <c r="H28" s="639" t="s">
        <v>892</v>
      </c>
      <c r="I28" s="639" t="s">
        <v>889</v>
      </c>
      <c r="J28" s="790">
        <v>40136</v>
      </c>
      <c r="K28" s="790">
        <v>39538</v>
      </c>
      <c r="L28" s="639" t="s">
        <v>893</v>
      </c>
      <c r="M28" s="639">
        <v>5774</v>
      </c>
      <c r="N28" s="639">
        <v>25983</v>
      </c>
      <c r="O28" s="639">
        <v>37118.571428571428</v>
      </c>
      <c r="P28" s="639">
        <v>74237.142857142855</v>
      </c>
      <c r="Q28" s="639">
        <v>0</v>
      </c>
      <c r="R28" s="639">
        <v>0</v>
      </c>
      <c r="S28" s="639">
        <v>0</v>
      </c>
      <c r="T28" s="639">
        <v>0</v>
      </c>
      <c r="U28" s="639">
        <v>0</v>
      </c>
      <c r="V28" s="639">
        <v>0</v>
      </c>
      <c r="W28" s="639">
        <v>0</v>
      </c>
      <c r="X28" s="639">
        <v>10</v>
      </c>
      <c r="Y28" s="639" t="s">
        <v>111</v>
      </c>
      <c r="Z28" s="641" t="s">
        <v>111</v>
      </c>
    </row>
    <row r="29" spans="1:26" s="593" customFormat="1" ht="63.75">
      <c r="A29" s="592"/>
      <c r="B29" s="791">
        <v>13014</v>
      </c>
      <c r="C29" s="791">
        <v>2321</v>
      </c>
      <c r="D29" s="640" t="s">
        <v>894</v>
      </c>
      <c r="E29" s="639" t="s">
        <v>895</v>
      </c>
      <c r="F29" s="639" t="s">
        <v>896</v>
      </c>
      <c r="G29" s="639" t="s">
        <v>891</v>
      </c>
      <c r="H29" s="639" t="s">
        <v>892</v>
      </c>
      <c r="I29" s="639" t="s">
        <v>895</v>
      </c>
      <c r="J29" s="790">
        <v>39562</v>
      </c>
      <c r="K29" s="790">
        <v>39562</v>
      </c>
      <c r="L29" s="639" t="s">
        <v>893</v>
      </c>
      <c r="M29" s="639">
        <v>2000</v>
      </c>
      <c r="N29" s="639">
        <v>9000</v>
      </c>
      <c r="O29" s="639">
        <v>12857.142857142857</v>
      </c>
      <c r="P29" s="639">
        <v>25714.285714285717</v>
      </c>
      <c r="Q29" s="639">
        <v>0</v>
      </c>
      <c r="R29" s="639">
        <v>0</v>
      </c>
      <c r="S29" s="639">
        <v>0</v>
      </c>
      <c r="T29" s="639">
        <v>0</v>
      </c>
      <c r="U29" s="639">
        <v>0</v>
      </c>
      <c r="V29" s="639">
        <v>0</v>
      </c>
      <c r="W29" s="639">
        <v>0</v>
      </c>
      <c r="X29" s="639">
        <v>1600</v>
      </c>
      <c r="Y29" s="639" t="s">
        <v>49</v>
      </c>
      <c r="Z29" s="641" t="s">
        <v>155</v>
      </c>
    </row>
    <row r="30" spans="1:26" s="593" customFormat="1" ht="25.5">
      <c r="A30" s="592"/>
      <c r="B30" s="791">
        <v>13014</v>
      </c>
      <c r="C30" s="791">
        <v>2321</v>
      </c>
      <c r="D30" s="640" t="s">
        <v>897</v>
      </c>
      <c r="E30" s="639" t="s">
        <v>898</v>
      </c>
      <c r="F30" s="639" t="s">
        <v>899</v>
      </c>
      <c r="G30" s="639" t="s">
        <v>891</v>
      </c>
      <c r="H30" s="639" t="s">
        <v>892</v>
      </c>
      <c r="I30" s="639" t="s">
        <v>898</v>
      </c>
      <c r="J30" s="790">
        <v>39660</v>
      </c>
      <c r="K30" s="790">
        <v>39661</v>
      </c>
      <c r="L30" s="639" t="s">
        <v>893</v>
      </c>
      <c r="M30" s="639">
        <v>2028</v>
      </c>
      <c r="N30" s="639">
        <v>9126</v>
      </c>
      <c r="O30" s="639">
        <v>13037.142857142857</v>
      </c>
      <c r="P30" s="639">
        <v>26074.285714285717</v>
      </c>
      <c r="Q30" s="639">
        <v>0</v>
      </c>
      <c r="R30" s="639">
        <v>0</v>
      </c>
      <c r="S30" s="639">
        <v>0</v>
      </c>
      <c r="T30" s="639">
        <v>0</v>
      </c>
      <c r="U30" s="639">
        <v>0</v>
      </c>
      <c r="V30" s="639">
        <v>0</v>
      </c>
      <c r="W30" s="639">
        <v>0</v>
      </c>
      <c r="X30" s="639">
        <v>10</v>
      </c>
      <c r="Y30" s="639" t="s">
        <v>111</v>
      </c>
      <c r="Z30" s="641" t="s">
        <v>111</v>
      </c>
    </row>
    <row r="31" spans="1:26" s="593" customFormat="1" ht="25.5">
      <c r="A31" s="592"/>
      <c r="B31" s="791">
        <v>13014</v>
      </c>
      <c r="C31" s="791">
        <v>2321</v>
      </c>
      <c r="D31" s="640" t="s">
        <v>900</v>
      </c>
      <c r="E31" s="639" t="s">
        <v>901</v>
      </c>
      <c r="F31" s="639" t="s">
        <v>902</v>
      </c>
      <c r="G31" s="639" t="s">
        <v>891</v>
      </c>
      <c r="H31" s="639" t="s">
        <v>892</v>
      </c>
      <c r="I31" s="639" t="s">
        <v>901</v>
      </c>
      <c r="J31" s="790">
        <v>39792</v>
      </c>
      <c r="K31" s="790">
        <v>39792</v>
      </c>
      <c r="L31" s="639" t="s">
        <v>893</v>
      </c>
      <c r="M31" s="639">
        <v>1556</v>
      </c>
      <c r="N31" s="639">
        <v>7002</v>
      </c>
      <c r="O31" s="639">
        <v>10002.857142857143</v>
      </c>
      <c r="P31" s="639">
        <v>20005.714285714286</v>
      </c>
      <c r="Q31" s="639">
        <v>0</v>
      </c>
      <c r="R31" s="639">
        <v>0</v>
      </c>
      <c r="S31" s="639">
        <v>0</v>
      </c>
      <c r="T31" s="639">
        <v>0</v>
      </c>
      <c r="U31" s="639">
        <v>0</v>
      </c>
      <c r="V31" s="639">
        <v>0</v>
      </c>
      <c r="W31" s="639">
        <v>0</v>
      </c>
      <c r="X31" s="639">
        <v>10</v>
      </c>
      <c r="Y31" s="639" t="s">
        <v>111</v>
      </c>
      <c r="Z31" s="641" t="s">
        <v>111</v>
      </c>
    </row>
    <row r="32" spans="1:26" s="593" customFormat="1" ht="25.5">
      <c r="A32" s="592"/>
      <c r="B32" s="791">
        <v>13014</v>
      </c>
      <c r="C32" s="791">
        <v>2321</v>
      </c>
      <c r="D32" s="640" t="s">
        <v>903</v>
      </c>
      <c r="E32" s="639" t="s">
        <v>904</v>
      </c>
      <c r="F32" s="639" t="s">
        <v>905</v>
      </c>
      <c r="G32" s="639" t="s">
        <v>891</v>
      </c>
      <c r="H32" s="639" t="s">
        <v>892</v>
      </c>
      <c r="I32" s="639" t="s">
        <v>904</v>
      </c>
      <c r="J32" s="790">
        <v>39895</v>
      </c>
      <c r="K32" s="790">
        <v>39895</v>
      </c>
      <c r="L32" s="639" t="s">
        <v>893</v>
      </c>
      <c r="M32" s="639">
        <v>1998</v>
      </c>
      <c r="N32" s="639">
        <v>8991</v>
      </c>
      <c r="O32" s="639">
        <v>12844.285714285714</v>
      </c>
      <c r="P32" s="639">
        <v>25688.571428571431</v>
      </c>
      <c r="Q32" s="639">
        <v>0</v>
      </c>
      <c r="R32" s="639">
        <v>0</v>
      </c>
      <c r="S32" s="639">
        <v>0</v>
      </c>
      <c r="T32" s="639">
        <v>0</v>
      </c>
      <c r="U32" s="639">
        <v>0</v>
      </c>
      <c r="V32" s="639">
        <v>0</v>
      </c>
      <c r="W32" s="639">
        <v>0</v>
      </c>
      <c r="X32" s="639">
        <v>10</v>
      </c>
      <c r="Y32" s="639" t="s">
        <v>111</v>
      </c>
      <c r="Z32" s="641" t="s">
        <v>111</v>
      </c>
    </row>
    <row r="33" spans="1:26" s="593" customFormat="1" ht="25.5">
      <c r="A33" s="592"/>
      <c r="B33" s="791">
        <v>13014</v>
      </c>
      <c r="C33" s="791">
        <v>2320</v>
      </c>
      <c r="D33" s="640" t="s">
        <v>906</v>
      </c>
      <c r="E33" s="639" t="s">
        <v>907</v>
      </c>
      <c r="F33" s="639" t="s">
        <v>908</v>
      </c>
      <c r="G33" s="639" t="s">
        <v>891</v>
      </c>
      <c r="H33" s="639" t="s">
        <v>892</v>
      </c>
      <c r="I33" s="639" t="s">
        <v>907</v>
      </c>
      <c r="J33" s="790">
        <v>40185</v>
      </c>
      <c r="K33" s="790">
        <v>40238</v>
      </c>
      <c r="L33" s="639" t="s">
        <v>893</v>
      </c>
      <c r="M33" s="639">
        <v>122</v>
      </c>
      <c r="N33" s="639">
        <v>549</v>
      </c>
      <c r="O33" s="639">
        <v>784.28571428571433</v>
      </c>
      <c r="P33" s="639">
        <v>1568.5714285714287</v>
      </c>
      <c r="Q33" s="639">
        <v>0</v>
      </c>
      <c r="R33" s="639">
        <v>0</v>
      </c>
      <c r="S33" s="639">
        <v>0</v>
      </c>
      <c r="T33" s="639">
        <v>0</v>
      </c>
      <c r="U33" s="639">
        <v>0</v>
      </c>
      <c r="V33" s="639">
        <v>0</v>
      </c>
      <c r="W33" s="639">
        <v>0</v>
      </c>
      <c r="X33" s="639">
        <v>400</v>
      </c>
      <c r="Y33" s="639" t="s">
        <v>36</v>
      </c>
      <c r="Z33" s="641" t="s">
        <v>384</v>
      </c>
    </row>
    <row r="34" spans="1:26" s="593" customFormat="1" ht="38.25">
      <c r="A34" s="592"/>
      <c r="B34" s="791">
        <v>13014</v>
      </c>
      <c r="C34" s="791">
        <v>2328</v>
      </c>
      <c r="D34" s="640" t="s">
        <v>909</v>
      </c>
      <c r="E34" s="639" t="s">
        <v>910</v>
      </c>
      <c r="F34" s="639" t="s">
        <v>911</v>
      </c>
      <c r="G34" s="639" t="s">
        <v>891</v>
      </c>
      <c r="H34" s="639" t="s">
        <v>912</v>
      </c>
      <c r="I34" s="639" t="s">
        <v>910</v>
      </c>
      <c r="J34" s="790">
        <v>40464</v>
      </c>
      <c r="K34" s="790">
        <v>40464</v>
      </c>
      <c r="L34" s="639" t="s">
        <v>913</v>
      </c>
      <c r="M34" s="639">
        <v>832</v>
      </c>
      <c r="N34" s="639">
        <v>3744</v>
      </c>
      <c r="O34" s="639">
        <v>4212</v>
      </c>
      <c r="P34" s="639">
        <v>0</v>
      </c>
      <c r="Q34" s="639">
        <v>0</v>
      </c>
      <c r="R34" s="639">
        <v>0</v>
      </c>
      <c r="S34" s="639">
        <v>2340</v>
      </c>
      <c r="T34" s="639">
        <v>7020</v>
      </c>
      <c r="U34" s="639">
        <v>0</v>
      </c>
      <c r="V34" s="639">
        <v>0</v>
      </c>
      <c r="W34" s="639">
        <v>0</v>
      </c>
      <c r="X34" s="639">
        <v>10</v>
      </c>
      <c r="Y34" s="639" t="s">
        <v>111</v>
      </c>
      <c r="Z34" s="641" t="s">
        <v>111</v>
      </c>
    </row>
    <row r="35" spans="1:26" s="593" customFormat="1" ht="25.5">
      <c r="A35" s="592"/>
      <c r="B35" s="791">
        <v>13014</v>
      </c>
      <c r="C35" s="791">
        <v>2321</v>
      </c>
      <c r="D35" s="640" t="s">
        <v>914</v>
      </c>
      <c r="E35" s="639" t="s">
        <v>915</v>
      </c>
      <c r="F35" s="639" t="s">
        <v>916</v>
      </c>
      <c r="G35" s="639" t="s">
        <v>891</v>
      </c>
      <c r="H35" s="639" t="s">
        <v>892</v>
      </c>
      <c r="I35" s="639" t="s">
        <v>915</v>
      </c>
      <c r="J35" s="790">
        <v>40940</v>
      </c>
      <c r="K35" s="790">
        <v>40968</v>
      </c>
      <c r="L35" s="639" t="s">
        <v>893</v>
      </c>
      <c r="M35" s="639">
        <v>404</v>
      </c>
      <c r="N35" s="639">
        <v>1818.0000000000002</v>
      </c>
      <c r="O35" s="639">
        <v>2597.1428571428573</v>
      </c>
      <c r="P35" s="639">
        <v>5194.2857142857156</v>
      </c>
      <c r="Q35" s="639">
        <v>0</v>
      </c>
      <c r="R35" s="639">
        <v>0</v>
      </c>
      <c r="S35" s="639">
        <v>0</v>
      </c>
      <c r="T35" s="639">
        <v>0</v>
      </c>
      <c r="U35" s="639">
        <v>0</v>
      </c>
      <c r="V35" s="639">
        <v>0</v>
      </c>
      <c r="W35" s="639">
        <v>0</v>
      </c>
      <c r="X35" s="639">
        <v>10</v>
      </c>
      <c r="Y35" s="639" t="s">
        <v>111</v>
      </c>
      <c r="Z35" s="641" t="s">
        <v>111</v>
      </c>
    </row>
    <row r="36" spans="1:26" s="593" customFormat="1" ht="25.5">
      <c r="A36" s="592"/>
      <c r="B36" s="791">
        <v>13014</v>
      </c>
      <c r="C36" s="791">
        <v>2322</v>
      </c>
      <c r="D36" s="640" t="s">
        <v>917</v>
      </c>
      <c r="E36" s="639" t="s">
        <v>918</v>
      </c>
      <c r="F36" s="639" t="s">
        <v>919</v>
      </c>
      <c r="G36" s="639" t="s">
        <v>891</v>
      </c>
      <c r="H36" s="639" t="s">
        <v>892</v>
      </c>
      <c r="I36" s="639" t="s">
        <v>920</v>
      </c>
      <c r="J36" s="790">
        <v>41116</v>
      </c>
      <c r="K36" s="790">
        <v>41275</v>
      </c>
      <c r="L36" s="639" t="s">
        <v>893</v>
      </c>
      <c r="M36" s="639">
        <v>9.6999999999999993</v>
      </c>
      <c r="N36" s="639">
        <v>43.649999999999991</v>
      </c>
      <c r="O36" s="639">
        <v>62.357142857142847</v>
      </c>
      <c r="P36" s="639">
        <v>0</v>
      </c>
      <c r="Q36" s="639">
        <v>124.71428571428569</v>
      </c>
      <c r="R36" s="639">
        <v>0</v>
      </c>
      <c r="S36" s="639">
        <v>0</v>
      </c>
      <c r="T36" s="639">
        <v>0</v>
      </c>
      <c r="U36" s="639">
        <v>0</v>
      </c>
      <c r="V36" s="639">
        <v>0</v>
      </c>
      <c r="W36" s="639">
        <v>0</v>
      </c>
      <c r="X36" s="639">
        <v>10</v>
      </c>
      <c r="Y36" s="639" t="s">
        <v>111</v>
      </c>
      <c r="Z36" s="641" t="s">
        <v>111</v>
      </c>
    </row>
    <row r="37" spans="1:26" s="593" customFormat="1" ht="25.5">
      <c r="A37" s="592"/>
      <c r="B37" s="791">
        <v>13014</v>
      </c>
      <c r="C37" s="791">
        <v>2322</v>
      </c>
      <c r="D37" s="640" t="s">
        <v>917</v>
      </c>
      <c r="E37" s="639" t="s">
        <v>918</v>
      </c>
      <c r="F37" s="639" t="s">
        <v>921</v>
      </c>
      <c r="G37" s="639" t="s">
        <v>891</v>
      </c>
      <c r="H37" s="639" t="s">
        <v>892</v>
      </c>
      <c r="I37" s="639" t="s">
        <v>922</v>
      </c>
      <c r="J37" s="790">
        <v>41260</v>
      </c>
      <c r="K37" s="790">
        <v>41275</v>
      </c>
      <c r="L37" s="639" t="s">
        <v>893</v>
      </c>
      <c r="M37" s="639">
        <v>19.399999999999999</v>
      </c>
      <c r="N37" s="639">
        <v>87.299999999999983</v>
      </c>
      <c r="O37" s="639">
        <v>124.71428571428569</v>
      </c>
      <c r="P37" s="639">
        <v>0</v>
      </c>
      <c r="Q37" s="639">
        <v>249.42857142857139</v>
      </c>
      <c r="R37" s="639">
        <v>0</v>
      </c>
      <c r="S37" s="639">
        <v>0</v>
      </c>
      <c r="T37" s="639">
        <v>0</v>
      </c>
      <c r="U37" s="639">
        <v>0</v>
      </c>
      <c r="V37" s="639">
        <v>0</v>
      </c>
      <c r="W37" s="639">
        <v>0</v>
      </c>
      <c r="X37" s="639">
        <v>10</v>
      </c>
      <c r="Y37" s="639" t="s">
        <v>111</v>
      </c>
      <c r="Z37" s="641" t="s">
        <v>111</v>
      </c>
    </row>
    <row r="38" spans="1:26" s="593" customFormat="1" ht="25.5">
      <c r="A38" s="592"/>
      <c r="B38" s="791">
        <v>13014</v>
      </c>
      <c r="C38" s="791">
        <v>2321</v>
      </c>
      <c r="D38" s="640" t="s">
        <v>923</v>
      </c>
      <c r="E38" s="639" t="s">
        <v>924</v>
      </c>
      <c r="F38" s="639" t="s">
        <v>925</v>
      </c>
      <c r="G38" s="639" t="s">
        <v>891</v>
      </c>
      <c r="H38" s="639" t="s">
        <v>892</v>
      </c>
      <c r="I38" s="639" t="s">
        <v>924</v>
      </c>
      <c r="J38" s="790">
        <v>41537</v>
      </c>
      <c r="K38" s="790">
        <v>41540</v>
      </c>
      <c r="L38" s="639" t="s">
        <v>893</v>
      </c>
      <c r="M38" s="639">
        <v>2000</v>
      </c>
      <c r="N38" s="639">
        <v>9000</v>
      </c>
      <c r="O38" s="639">
        <v>12857.142857142857</v>
      </c>
      <c r="P38" s="639">
        <v>25714.285714285717</v>
      </c>
      <c r="Q38" s="639">
        <v>0</v>
      </c>
      <c r="R38" s="639">
        <v>0</v>
      </c>
      <c r="S38" s="639">
        <v>0</v>
      </c>
      <c r="T38" s="639">
        <v>0</v>
      </c>
      <c r="U38" s="639">
        <v>0</v>
      </c>
      <c r="V38" s="639">
        <v>0</v>
      </c>
      <c r="W38" s="639">
        <v>0</v>
      </c>
      <c r="X38" s="639">
        <v>10</v>
      </c>
      <c r="Y38" s="639" t="s">
        <v>111</v>
      </c>
      <c r="Z38" s="641" t="s">
        <v>111</v>
      </c>
    </row>
    <row r="39" spans="1:26" s="593" customFormat="1" ht="25.5">
      <c r="A39" s="592"/>
      <c r="B39" s="791">
        <v>13014</v>
      </c>
      <c r="C39" s="791">
        <v>2321</v>
      </c>
      <c r="D39" s="640" t="s">
        <v>894</v>
      </c>
      <c r="E39" s="639" t="s">
        <v>895</v>
      </c>
      <c r="F39" s="639" t="s">
        <v>926</v>
      </c>
      <c r="G39" s="639" t="s">
        <v>891</v>
      </c>
      <c r="H39" s="639" t="s">
        <v>892</v>
      </c>
      <c r="I39" s="639" t="s">
        <v>927</v>
      </c>
      <c r="J39" s="790">
        <v>41556</v>
      </c>
      <c r="K39" s="790">
        <v>41576</v>
      </c>
      <c r="L39" s="639" t="s">
        <v>893</v>
      </c>
      <c r="M39" s="639">
        <v>1560</v>
      </c>
      <c r="N39" s="639">
        <v>7020</v>
      </c>
      <c r="O39" s="639">
        <v>10028.571428571429</v>
      </c>
      <c r="P39" s="639">
        <v>20057.142857142859</v>
      </c>
      <c r="Q39" s="639">
        <v>0</v>
      </c>
      <c r="R39" s="639">
        <v>0</v>
      </c>
      <c r="S39" s="639">
        <v>0</v>
      </c>
      <c r="T39" s="639">
        <v>0</v>
      </c>
      <c r="U39" s="639">
        <v>0</v>
      </c>
      <c r="V39" s="639">
        <v>0</v>
      </c>
      <c r="W39" s="639">
        <v>0</v>
      </c>
      <c r="X39" s="639">
        <v>10</v>
      </c>
      <c r="Y39" s="639" t="s">
        <v>111</v>
      </c>
      <c r="Z39" s="641" t="s">
        <v>111</v>
      </c>
    </row>
    <row r="40" spans="1:26" s="593" customFormat="1" ht="25.5">
      <c r="A40" s="592"/>
      <c r="B40" s="791">
        <v>13014</v>
      </c>
      <c r="C40" s="791">
        <v>2328</v>
      </c>
      <c r="D40" s="640" t="s">
        <v>928</v>
      </c>
      <c r="E40" s="639" t="s">
        <v>929</v>
      </c>
      <c r="F40" s="639" t="s">
        <v>930</v>
      </c>
      <c r="G40" s="639" t="s">
        <v>891</v>
      </c>
      <c r="H40" s="639" t="s">
        <v>892</v>
      </c>
      <c r="I40" s="639" t="s">
        <v>929</v>
      </c>
      <c r="J40" s="790">
        <v>41576</v>
      </c>
      <c r="K40" s="790">
        <v>41576</v>
      </c>
      <c r="L40" s="639" t="s">
        <v>893</v>
      </c>
      <c r="M40" s="639">
        <v>609</v>
      </c>
      <c r="N40" s="639">
        <v>2740.5</v>
      </c>
      <c r="O40" s="639">
        <v>3915</v>
      </c>
      <c r="P40" s="639">
        <v>7830.0000000000009</v>
      </c>
      <c r="Q40" s="639">
        <v>0</v>
      </c>
      <c r="R40" s="639">
        <v>0</v>
      </c>
      <c r="S40" s="639">
        <v>0</v>
      </c>
      <c r="T40" s="639">
        <v>0</v>
      </c>
      <c r="U40" s="639">
        <v>0</v>
      </c>
      <c r="V40" s="639">
        <v>0</v>
      </c>
      <c r="W40" s="639">
        <v>0</v>
      </c>
      <c r="X40" s="639">
        <v>10</v>
      </c>
      <c r="Y40" s="639" t="s">
        <v>111</v>
      </c>
      <c r="Z40" s="641" t="s">
        <v>111</v>
      </c>
    </row>
    <row r="41" spans="1:26" s="593" customFormat="1" ht="25.5">
      <c r="A41" s="592"/>
      <c r="B41" s="791">
        <v>13014</v>
      </c>
      <c r="C41" s="791">
        <v>2328</v>
      </c>
      <c r="D41" s="640" t="s">
        <v>931</v>
      </c>
      <c r="E41" s="639" t="s">
        <v>932</v>
      </c>
      <c r="F41" s="639" t="s">
        <v>933</v>
      </c>
      <c r="G41" s="639" t="s">
        <v>891</v>
      </c>
      <c r="H41" s="639" t="s">
        <v>892</v>
      </c>
      <c r="I41" s="639" t="s">
        <v>932</v>
      </c>
      <c r="J41" s="790">
        <v>41586</v>
      </c>
      <c r="K41" s="790">
        <v>41596</v>
      </c>
      <c r="L41" s="639" t="s">
        <v>893</v>
      </c>
      <c r="M41" s="639">
        <v>772</v>
      </c>
      <c r="N41" s="639">
        <v>3474</v>
      </c>
      <c r="O41" s="639">
        <v>4962.8571428571431</v>
      </c>
      <c r="P41" s="639">
        <v>9925.7142857142862</v>
      </c>
      <c r="Q41" s="639">
        <v>0</v>
      </c>
      <c r="R41" s="639">
        <v>0</v>
      </c>
      <c r="S41" s="639">
        <v>0</v>
      </c>
      <c r="T41" s="639">
        <v>0</v>
      </c>
      <c r="U41" s="639">
        <v>0</v>
      </c>
      <c r="V41" s="639">
        <v>0</v>
      </c>
      <c r="W41" s="639">
        <v>0</v>
      </c>
      <c r="X41" s="639">
        <v>10</v>
      </c>
      <c r="Y41" s="639" t="s">
        <v>111</v>
      </c>
      <c r="Z41" s="641" t="s">
        <v>111</v>
      </c>
    </row>
    <row r="42" spans="1:26" s="593" customFormat="1" ht="25.5">
      <c r="A42" s="592"/>
      <c r="B42" s="791">
        <v>13014</v>
      </c>
      <c r="C42" s="791">
        <v>2321</v>
      </c>
      <c r="D42" s="640" t="s">
        <v>888</v>
      </c>
      <c r="E42" s="639" t="s">
        <v>889</v>
      </c>
      <c r="F42" s="639" t="s">
        <v>934</v>
      </c>
      <c r="G42" s="639" t="s">
        <v>891</v>
      </c>
      <c r="H42" s="639" t="s">
        <v>892</v>
      </c>
      <c r="I42" s="639" t="s">
        <v>935</v>
      </c>
      <c r="J42" s="790">
        <v>41631</v>
      </c>
      <c r="K42" s="790">
        <v>41631</v>
      </c>
      <c r="L42" s="639" t="s">
        <v>893</v>
      </c>
      <c r="M42" s="639">
        <v>2679</v>
      </c>
      <c r="N42" s="639">
        <v>12055.5</v>
      </c>
      <c r="O42" s="639">
        <v>17222.142857142859</v>
      </c>
      <c r="P42" s="639">
        <v>34444.285714285717</v>
      </c>
      <c r="Q42" s="639">
        <v>0</v>
      </c>
      <c r="R42" s="639">
        <v>0</v>
      </c>
      <c r="S42" s="639">
        <v>0</v>
      </c>
      <c r="T42" s="639">
        <v>0</v>
      </c>
      <c r="U42" s="639">
        <v>0</v>
      </c>
      <c r="V42" s="639">
        <v>0</v>
      </c>
      <c r="W42" s="639">
        <v>0</v>
      </c>
      <c r="X42" s="639">
        <v>10</v>
      </c>
      <c r="Y42" s="639" t="s">
        <v>111</v>
      </c>
      <c r="Z42" s="641" t="s">
        <v>111</v>
      </c>
    </row>
    <row r="43" spans="1:26" s="593" customFormat="1" ht="25.5">
      <c r="A43" s="592"/>
      <c r="B43" s="791">
        <v>13014</v>
      </c>
      <c r="C43" s="791">
        <v>2320</v>
      </c>
      <c r="D43" s="640"/>
      <c r="E43" s="639"/>
      <c r="F43" s="639" t="s">
        <v>936</v>
      </c>
      <c r="G43" s="639" t="s">
        <v>891</v>
      </c>
      <c r="H43" s="639" t="s">
        <v>892</v>
      </c>
      <c r="I43" s="639" t="s">
        <v>904</v>
      </c>
      <c r="J43" s="790">
        <v>42305</v>
      </c>
      <c r="K43" s="790">
        <v>42307</v>
      </c>
      <c r="L43" s="639" t="s">
        <v>893</v>
      </c>
      <c r="M43" s="639">
        <v>2004</v>
      </c>
      <c r="N43" s="639">
        <v>9018</v>
      </c>
      <c r="O43" s="639">
        <v>12882.857142857143</v>
      </c>
      <c r="P43" s="639">
        <v>25765.714285714286</v>
      </c>
      <c r="Q43" s="639">
        <v>0</v>
      </c>
      <c r="R43" s="639">
        <v>0</v>
      </c>
      <c r="S43" s="639">
        <v>0</v>
      </c>
      <c r="T43" s="639">
        <v>0</v>
      </c>
      <c r="U43" s="639">
        <v>0</v>
      </c>
      <c r="V43" s="639">
        <v>0</v>
      </c>
      <c r="W43" s="639">
        <v>0</v>
      </c>
      <c r="X43" s="639">
        <v>10</v>
      </c>
      <c r="Y43" s="639" t="s">
        <v>111</v>
      </c>
      <c r="Z43" s="641" t="s">
        <v>111</v>
      </c>
    </row>
    <row r="44" spans="1:26" s="593" customFormat="1" ht="25.5">
      <c r="A44" s="592"/>
      <c r="B44" s="791">
        <v>13014</v>
      </c>
      <c r="C44" s="791">
        <v>2321</v>
      </c>
      <c r="D44" s="640" t="s">
        <v>937</v>
      </c>
      <c r="E44" s="639"/>
      <c r="F44" s="639" t="s">
        <v>938</v>
      </c>
      <c r="G44" s="639" t="s">
        <v>939</v>
      </c>
      <c r="H44" s="639" t="s">
        <v>892</v>
      </c>
      <c r="I44" s="639" t="s">
        <v>940</v>
      </c>
      <c r="J44" s="790">
        <v>42726</v>
      </c>
      <c r="K44" s="790">
        <v>42726</v>
      </c>
      <c r="L44" s="639" t="s">
        <v>941</v>
      </c>
      <c r="M44" s="639">
        <v>4995</v>
      </c>
      <c r="N44" s="639">
        <v>22477.5</v>
      </c>
      <c r="O44" s="639">
        <v>32110.714285714286</v>
      </c>
      <c r="P44" s="639">
        <v>64221.428571428572</v>
      </c>
      <c r="Q44" s="639">
        <v>0</v>
      </c>
      <c r="R44" s="639">
        <v>0</v>
      </c>
      <c r="S44" s="639">
        <v>0</v>
      </c>
      <c r="T44" s="639">
        <v>0</v>
      </c>
      <c r="U44" s="639">
        <v>0</v>
      </c>
      <c r="V44" s="639">
        <v>0</v>
      </c>
      <c r="W44" s="639">
        <v>0</v>
      </c>
      <c r="X44" s="639">
        <v>10</v>
      </c>
      <c r="Y44" s="639" t="s">
        <v>111</v>
      </c>
      <c r="Z44" s="641" t="s">
        <v>111</v>
      </c>
    </row>
    <row r="45" spans="1:26" s="593" customFormat="1" ht="25.5">
      <c r="A45" s="592"/>
      <c r="B45" s="791">
        <v>13014</v>
      </c>
      <c r="C45" s="791">
        <v>2321</v>
      </c>
      <c r="D45" s="640" t="s">
        <v>942</v>
      </c>
      <c r="E45" s="639"/>
      <c r="F45" s="639" t="s">
        <v>943</v>
      </c>
      <c r="G45" s="639" t="s">
        <v>939</v>
      </c>
      <c r="H45" s="639" t="s">
        <v>892</v>
      </c>
      <c r="I45" s="639" t="s">
        <v>940</v>
      </c>
      <c r="J45" s="790">
        <v>42692</v>
      </c>
      <c r="K45" s="790">
        <v>42702</v>
      </c>
      <c r="L45" s="639" t="s">
        <v>941</v>
      </c>
      <c r="M45" s="639">
        <v>4995</v>
      </c>
      <c r="N45" s="639">
        <v>22477.5</v>
      </c>
      <c r="O45" s="639">
        <v>32110.714285714286</v>
      </c>
      <c r="P45" s="639">
        <v>64221.428571428572</v>
      </c>
      <c r="Q45" s="639">
        <v>0</v>
      </c>
      <c r="R45" s="639">
        <v>0</v>
      </c>
      <c r="S45" s="639">
        <v>0</v>
      </c>
      <c r="T45" s="639">
        <v>0</v>
      </c>
      <c r="U45" s="639">
        <v>0</v>
      </c>
      <c r="V45" s="639">
        <v>0</v>
      </c>
      <c r="W45" s="639">
        <v>0</v>
      </c>
      <c r="X45" s="639">
        <v>10</v>
      </c>
      <c r="Y45" s="639" t="s">
        <v>111</v>
      </c>
      <c r="Z45" s="641" t="s">
        <v>111</v>
      </c>
    </row>
    <row r="46" spans="1:26" s="593" customFormat="1" ht="25.5">
      <c r="A46" s="592"/>
      <c r="B46" s="791">
        <v>13014</v>
      </c>
      <c r="C46" s="791">
        <v>2328</v>
      </c>
      <c r="D46" s="640" t="s">
        <v>944</v>
      </c>
      <c r="E46" s="639"/>
      <c r="F46" s="639" t="s">
        <v>945</v>
      </c>
      <c r="G46" s="639" t="s">
        <v>939</v>
      </c>
      <c r="H46" s="639" t="s">
        <v>892</v>
      </c>
      <c r="I46" s="639" t="s">
        <v>946</v>
      </c>
      <c r="J46" s="790">
        <v>42342</v>
      </c>
      <c r="K46" s="790">
        <v>42342</v>
      </c>
      <c r="L46" s="639" t="s">
        <v>941</v>
      </c>
      <c r="M46" s="639">
        <v>1200</v>
      </c>
      <c r="N46" s="639">
        <v>5400</v>
      </c>
      <c r="O46" s="639">
        <v>7714.2857142857147</v>
      </c>
      <c r="P46" s="639">
        <v>15428.571428571429</v>
      </c>
      <c r="Q46" s="639">
        <v>0</v>
      </c>
      <c r="R46" s="639">
        <v>0</v>
      </c>
      <c r="S46" s="639">
        <v>0</v>
      </c>
      <c r="T46" s="639">
        <v>0</v>
      </c>
      <c r="U46" s="639">
        <v>0</v>
      </c>
      <c r="V46" s="639">
        <v>0</v>
      </c>
      <c r="W46" s="639">
        <v>0</v>
      </c>
      <c r="X46" s="639">
        <v>10</v>
      </c>
      <c r="Y46" s="639" t="s">
        <v>111</v>
      </c>
      <c r="Z46" s="641" t="s">
        <v>111</v>
      </c>
    </row>
    <row r="47" spans="1:26" s="573" customFormat="1">
      <c r="A47" s="595" t="s">
        <v>279</v>
      </c>
      <c r="B47" s="596"/>
      <c r="C47" s="596"/>
      <c r="D47" s="596"/>
      <c r="E47" s="596"/>
      <c r="F47" s="596"/>
      <c r="G47" s="596"/>
      <c r="H47" s="596"/>
      <c r="I47" s="596"/>
      <c r="J47" s="596"/>
      <c r="K47" s="596"/>
      <c r="L47" s="597"/>
      <c r="M47" s="597">
        <f>SUM(M28:M46)</f>
        <v>35557.1</v>
      </c>
      <c r="N47" s="597">
        <f>SUM(N28:N46)</f>
        <v>160006.95000000001</v>
      </c>
      <c r="O47" s="597">
        <f>SUM(O28:O46)</f>
        <v>227444.78571428571</v>
      </c>
      <c r="P47" s="597">
        <f>SUM(P28:P46)</f>
        <v>446091.42857142858</v>
      </c>
      <c r="Q47" s="597">
        <f>SUM(Q28:Q46)</f>
        <v>374.14285714285711</v>
      </c>
      <c r="R47" s="597">
        <f>SUM(R28:R46)</f>
        <v>0</v>
      </c>
      <c r="S47" s="597">
        <f>SUM(S28:S46)</f>
        <v>2340</v>
      </c>
      <c r="T47" s="597">
        <f>SUM(T28:T46)</f>
        <v>7020</v>
      </c>
      <c r="U47" s="597">
        <f>SUM(U28:U46)</f>
        <v>0</v>
      </c>
      <c r="V47" s="597">
        <f>SUM(V28:V46)</f>
        <v>0</v>
      </c>
      <c r="W47" s="597">
        <f>SUM(W28:W46)</f>
        <v>0</v>
      </c>
      <c r="X47" s="598"/>
      <c r="Y47" s="598"/>
      <c r="Z47" s="599"/>
    </row>
    <row r="48" spans="1:26" s="573" customFormat="1">
      <c r="A48" s="595" t="s">
        <v>286</v>
      </c>
      <c r="B48" s="596"/>
      <c r="C48" s="596"/>
      <c r="D48" s="596"/>
      <c r="E48" s="596"/>
      <c r="F48" s="596"/>
      <c r="G48" s="596"/>
      <c r="H48" s="596"/>
      <c r="I48" s="596"/>
      <c r="J48" s="596"/>
      <c r="K48" s="596"/>
      <c r="L48" s="597"/>
      <c r="M48" s="597">
        <f>SUMIF($Z$28:$Z$46,"industrie",M28:M46)</f>
        <v>122</v>
      </c>
      <c r="N48" s="597">
        <f>SUMIF($Z$28:$Z$46,"industrie",N28:N46)</f>
        <v>549</v>
      </c>
      <c r="O48" s="597">
        <f>SUMIF($Z$28:$Z$46,"industrie",O28:O46)</f>
        <v>784.28571428571433</v>
      </c>
      <c r="P48" s="597">
        <f>SUMIF($Z$28:$Z$46,"industrie",P28:P46)</f>
        <v>1568.5714285714287</v>
      </c>
      <c r="Q48" s="597">
        <f>SUMIF($Z$28:$Z$46,"industrie",Q28:Q46)</f>
        <v>0</v>
      </c>
      <c r="R48" s="597">
        <f>SUMIF($Z$28:$Z$46,"industrie",R28:R46)</f>
        <v>0</v>
      </c>
      <c r="S48" s="597">
        <f>SUMIF($Z$28:$Z$46,"industrie",S28:S46)</f>
        <v>0</v>
      </c>
      <c r="T48" s="597">
        <f>SUMIF($Z$28:$Z$46,"industrie",T28:T46)</f>
        <v>0</v>
      </c>
      <c r="U48" s="597">
        <f>SUMIF($Z$28:$Z$46,"industrie",U28:U46)</f>
        <v>0</v>
      </c>
      <c r="V48" s="597">
        <f>SUMIF($Z$28:$Z$46,"industrie",V28:V46)</f>
        <v>0</v>
      </c>
      <c r="W48" s="597">
        <f>SUMIF($Z$28:$Z$46,"industrie",W28:W46)</f>
        <v>0</v>
      </c>
      <c r="X48" s="598"/>
      <c r="Y48" s="598"/>
      <c r="Z48" s="599"/>
    </row>
    <row r="49" spans="1:27" s="573" customFormat="1">
      <c r="A49" s="595" t="s">
        <v>287</v>
      </c>
      <c r="B49" s="596"/>
      <c r="C49" s="596"/>
      <c r="D49" s="596"/>
      <c r="E49" s="596"/>
      <c r="F49" s="596"/>
      <c r="G49" s="596"/>
      <c r="H49" s="596"/>
      <c r="I49" s="596"/>
      <c r="J49" s="596"/>
      <c r="K49" s="596"/>
      <c r="L49" s="597"/>
      <c r="M49" s="597">
        <f ca="1">SUMIF($Z$28:AC46,"tertiair",M28:M46)</f>
        <v>2000</v>
      </c>
      <c r="N49" s="597">
        <f ca="1">SUMIF($Z$28:AD46,"tertiair",N28:N46)</f>
        <v>9000</v>
      </c>
      <c r="O49" s="597">
        <f ca="1">SUMIF($Z$28:AE46,"tertiair",O28:O46)</f>
        <v>12857.142857142857</v>
      </c>
      <c r="P49" s="597">
        <f ca="1">SUMIF($Z$28:AF46,"tertiair",P28:P46)</f>
        <v>25714.285714285717</v>
      </c>
      <c r="Q49" s="597">
        <f ca="1">SUMIF($Z$28:AG46,"tertiair",Q28:Q46)</f>
        <v>0</v>
      </c>
      <c r="R49" s="597">
        <f ca="1">SUMIF($Z$28:AH46,"tertiair",R28:R46)</f>
        <v>0</v>
      </c>
      <c r="S49" s="597">
        <f ca="1">SUMIF($Z$28:AI46,"tertiair",S28:S46)</f>
        <v>0</v>
      </c>
      <c r="T49" s="597">
        <f ca="1">SUMIF($Z$28:AJ46,"tertiair",T28:T46)</f>
        <v>0</v>
      </c>
      <c r="U49" s="597">
        <f ca="1">SUMIF($Z$28:AK46,"tertiair",U28:U46)</f>
        <v>0</v>
      </c>
      <c r="V49" s="597">
        <f ca="1">SUMIF($Z$28:AL46,"tertiair",V28:V46)</f>
        <v>0</v>
      </c>
      <c r="W49" s="597">
        <f ca="1">SUMIF($Z$28:AM46,"tertiair",W28:W46)</f>
        <v>0</v>
      </c>
      <c r="X49" s="598"/>
      <c r="Y49" s="598"/>
      <c r="Z49" s="599"/>
    </row>
    <row r="50" spans="1:27" s="573" customFormat="1" ht="15.75" thickBot="1">
      <c r="A50" s="600" t="s">
        <v>288</v>
      </c>
      <c r="B50" s="601"/>
      <c r="C50" s="601"/>
      <c r="D50" s="601"/>
      <c r="E50" s="601"/>
      <c r="F50" s="601"/>
      <c r="G50" s="601"/>
      <c r="H50" s="601"/>
      <c r="I50" s="601"/>
      <c r="J50" s="601"/>
      <c r="K50" s="601"/>
      <c r="L50" s="602"/>
      <c r="M50" s="602">
        <f>SUMIF($Z$28:$Z$46,"landbouw",M28:M46)</f>
        <v>33435.1</v>
      </c>
      <c r="N50" s="602">
        <f>SUMIF($Z$28:$Z$46,"landbouw",N28:N46)</f>
        <v>150457.95000000001</v>
      </c>
      <c r="O50" s="602">
        <f>SUMIF($Z$28:$Z$46,"landbouw",O28:O46)</f>
        <v>213803.35714285716</v>
      </c>
      <c r="P50" s="602">
        <f>SUMIF($Z$28:$Z$46,"landbouw",P28:P46)</f>
        <v>418808.57142857142</v>
      </c>
      <c r="Q50" s="602">
        <f>SUMIF($Z$28:$Z$46,"landbouw",Q28:Q46)</f>
        <v>374.14285714285711</v>
      </c>
      <c r="R50" s="602">
        <f>SUMIF($Z$28:$Z$46,"landbouw",R28:R46)</f>
        <v>0</v>
      </c>
      <c r="S50" s="602">
        <f>SUMIF($Z$28:$Z$46,"landbouw",S28:S46)</f>
        <v>2340</v>
      </c>
      <c r="T50" s="602">
        <f>SUMIF($Z$28:$Z$46,"landbouw",T28:T46)</f>
        <v>7020</v>
      </c>
      <c r="U50" s="602">
        <f>SUMIF($Z$28:$Z$46,"landbouw",U28:U46)</f>
        <v>0</v>
      </c>
      <c r="V50" s="602">
        <f>SUMIF($Z$28:$Z$46,"landbouw",V28:V46)</f>
        <v>0</v>
      </c>
      <c r="W50" s="602">
        <f>SUMIF($Z$28:$Z$46,"landbouw",W28:W46)</f>
        <v>0</v>
      </c>
      <c r="X50" s="603"/>
      <c r="Y50" s="603"/>
      <c r="Z50" s="604"/>
    </row>
    <row r="51" spans="1:27" s="534" customFormat="1" ht="15.75" thickBot="1">
      <c r="A51" s="605"/>
      <c r="B51" s="606"/>
      <c r="C51" s="606"/>
      <c r="D51" s="606"/>
      <c r="E51" s="606"/>
      <c r="F51" s="606"/>
      <c r="G51" s="606"/>
      <c r="H51" s="606"/>
      <c r="I51" s="606"/>
      <c r="J51" s="606"/>
      <c r="K51" s="606"/>
      <c r="L51" s="589"/>
      <c r="M51" s="589"/>
      <c r="N51" s="589"/>
      <c r="O51" s="590"/>
      <c r="P51" s="590"/>
    </row>
    <row r="52" spans="1:27" s="534" customFormat="1" ht="45">
      <c r="A52" s="607" t="s">
        <v>280</v>
      </c>
      <c r="B52" s="636" t="s">
        <v>89</v>
      </c>
      <c r="C52" s="636" t="s">
        <v>90</v>
      </c>
      <c r="D52" s="636" t="s">
        <v>91</v>
      </c>
      <c r="E52" s="636" t="s">
        <v>92</v>
      </c>
      <c r="F52" s="636" t="s">
        <v>93</v>
      </c>
      <c r="G52" s="636" t="s">
        <v>94</v>
      </c>
      <c r="H52" s="636" t="s">
        <v>95</v>
      </c>
      <c r="I52" s="636" t="s">
        <v>96</v>
      </c>
      <c r="J52" s="636" t="s">
        <v>97</v>
      </c>
      <c r="K52" s="636" t="s">
        <v>98</v>
      </c>
      <c r="L52" s="636" t="s">
        <v>99</v>
      </c>
      <c r="M52" s="637" t="s">
        <v>297</v>
      </c>
      <c r="N52" s="637" t="s">
        <v>100</v>
      </c>
      <c r="O52" s="637" t="s">
        <v>101</v>
      </c>
      <c r="P52" s="637" t="s">
        <v>524</v>
      </c>
      <c r="Q52" s="637" t="s">
        <v>102</v>
      </c>
      <c r="R52" s="637" t="s">
        <v>103</v>
      </c>
      <c r="S52" s="637" t="s">
        <v>104</v>
      </c>
      <c r="T52" s="637" t="s">
        <v>105</v>
      </c>
      <c r="U52" s="637" t="s">
        <v>106</v>
      </c>
      <c r="V52" s="637" t="s">
        <v>107</v>
      </c>
      <c r="W52" s="636" t="s">
        <v>108</v>
      </c>
      <c r="X52" s="636" t="s">
        <v>298</v>
      </c>
      <c r="Y52" s="636" t="s">
        <v>109</v>
      </c>
      <c r="Z52" s="638" t="s">
        <v>299</v>
      </c>
    </row>
    <row r="53" spans="1:27" s="608" customFormat="1" ht="63.75">
      <c r="A53" s="594"/>
      <c r="B53" s="791">
        <v>13014</v>
      </c>
      <c r="C53" s="791">
        <v>2320</v>
      </c>
      <c r="D53" s="642" t="s">
        <v>947</v>
      </c>
      <c r="E53" s="642" t="s">
        <v>948</v>
      </c>
      <c r="F53" s="642" t="s">
        <v>949</v>
      </c>
      <c r="G53" s="642" t="s">
        <v>950</v>
      </c>
      <c r="H53" s="642" t="s">
        <v>951</v>
      </c>
      <c r="I53" s="642" t="s">
        <v>952</v>
      </c>
      <c r="J53" s="790">
        <v>38763</v>
      </c>
      <c r="K53" s="790">
        <v>39052</v>
      </c>
      <c r="L53" s="642" t="s">
        <v>953</v>
      </c>
      <c r="M53" s="642">
        <v>298</v>
      </c>
      <c r="N53" s="642">
        <v>1341</v>
      </c>
      <c r="O53" s="642">
        <v>0</v>
      </c>
      <c r="P53" s="642">
        <v>0</v>
      </c>
      <c r="Q53" s="642">
        <v>3831.4285714285716</v>
      </c>
      <c r="R53" s="642">
        <v>0</v>
      </c>
      <c r="S53" s="642">
        <v>0</v>
      </c>
      <c r="T53" s="642">
        <v>0</v>
      </c>
      <c r="U53" s="642">
        <v>0</v>
      </c>
      <c r="V53" s="642">
        <v>0</v>
      </c>
      <c r="W53" s="642">
        <v>0</v>
      </c>
      <c r="X53" s="642">
        <v>1600</v>
      </c>
      <c r="Y53" s="642" t="s">
        <v>49</v>
      </c>
      <c r="Z53" s="643" t="s">
        <v>155</v>
      </c>
    </row>
    <row r="54" spans="1:27" s="573" customFormat="1">
      <c r="A54" s="595" t="s">
        <v>279</v>
      </c>
      <c r="B54" s="596"/>
      <c r="C54" s="596"/>
      <c r="D54" s="596"/>
      <c r="E54" s="596"/>
      <c r="F54" s="596"/>
      <c r="G54" s="596"/>
      <c r="H54" s="596"/>
      <c r="I54" s="596"/>
      <c r="J54" s="596"/>
      <c r="K54" s="596"/>
      <c r="L54" s="597"/>
      <c r="M54" s="597">
        <f>SUM(M53:M53)</f>
        <v>298</v>
      </c>
      <c r="N54" s="597">
        <f>SUM(N53:N53)</f>
        <v>1341</v>
      </c>
      <c r="O54" s="597">
        <f>SUM(O53:O53)</f>
        <v>0</v>
      </c>
      <c r="P54" s="597">
        <f>SUM(P53:P53)</f>
        <v>0</v>
      </c>
      <c r="Q54" s="597">
        <f>SUM(Q53:Q53)</f>
        <v>3831.4285714285716</v>
      </c>
      <c r="R54" s="597">
        <f>SUM(R53:R53)</f>
        <v>0</v>
      </c>
      <c r="S54" s="597">
        <f>SUM(S53:S53)</f>
        <v>0</v>
      </c>
      <c r="T54" s="597">
        <f>SUM(T53:T53)</f>
        <v>0</v>
      </c>
      <c r="U54" s="597">
        <f>SUM(U53:U53)</f>
        <v>0</v>
      </c>
      <c r="V54" s="597">
        <f>SUM(V53:V53)</f>
        <v>0</v>
      </c>
      <c r="W54" s="597">
        <f>SUM(W53:W53)</f>
        <v>0</v>
      </c>
      <c r="X54" s="598"/>
      <c r="Y54" s="598"/>
      <c r="Z54" s="599"/>
    </row>
    <row r="55" spans="1:27" s="573" customFormat="1">
      <c r="A55" s="595" t="s">
        <v>286</v>
      </c>
      <c r="B55" s="596"/>
      <c r="C55" s="596"/>
      <c r="D55" s="596"/>
      <c r="E55" s="596"/>
      <c r="F55" s="596"/>
      <c r="G55" s="596"/>
      <c r="H55" s="596"/>
      <c r="I55" s="596"/>
      <c r="J55" s="596"/>
      <c r="K55" s="596"/>
      <c r="L55" s="597"/>
      <c r="M55" s="597">
        <f>SUMIF($Z$53:$Z$53,"industrie",M53:M53)</f>
        <v>0</v>
      </c>
      <c r="N55" s="597">
        <f>SUMIF($Z$53:$Z$53,"industrie",N53:N53)</f>
        <v>0</v>
      </c>
      <c r="O55" s="597">
        <f>SUMIF($Z$53:$Z$53,"industrie",O53:O53)</f>
        <v>0</v>
      </c>
      <c r="P55" s="597">
        <f>SUMIF($Z$53:$Z$53,"industrie",P53:P53)</f>
        <v>0</v>
      </c>
      <c r="Q55" s="597">
        <f>SUMIF($Z$53:$Z$53,"industrie",Q53:Q53)</f>
        <v>0</v>
      </c>
      <c r="R55" s="597">
        <f>SUMIF($Z$53:$Z$53,"industrie",R53:R53)</f>
        <v>0</v>
      </c>
      <c r="S55" s="597">
        <f>SUMIF($Z$53:$Z$53,"industrie",S53:S53)</f>
        <v>0</v>
      </c>
      <c r="T55" s="597">
        <f>SUMIF($Z$53:$Z$53,"industrie",T53:T53)</f>
        <v>0</v>
      </c>
      <c r="U55" s="597">
        <f>SUMIF($Z$53:$Z$53,"industrie",U53:U53)</f>
        <v>0</v>
      </c>
      <c r="V55" s="597">
        <f>SUMIF($Z$53:$Z$53,"industrie",V53:V53)</f>
        <v>0</v>
      </c>
      <c r="W55" s="597">
        <f>SUMIF($Z$53:$Z$53,"industrie",W53:W53)</f>
        <v>0</v>
      </c>
      <c r="X55" s="598"/>
      <c r="Y55" s="598"/>
      <c r="Z55" s="599"/>
    </row>
    <row r="56" spans="1:27" s="573" customFormat="1">
      <c r="A56" s="595" t="s">
        <v>287</v>
      </c>
      <c r="B56" s="596"/>
      <c r="C56" s="596"/>
      <c r="D56" s="596"/>
      <c r="E56" s="596"/>
      <c r="F56" s="596"/>
      <c r="G56" s="596"/>
      <c r="H56" s="596"/>
      <c r="I56" s="596"/>
      <c r="J56" s="596"/>
      <c r="K56" s="596"/>
      <c r="L56" s="597"/>
      <c r="M56" s="597">
        <f>SUMIF($Z$53:$Z$54,"tertiair",M53:M54)</f>
        <v>298</v>
      </c>
      <c r="N56" s="597">
        <f>SUMIF($Z$53:$Z$54,"tertiair",N53:N54)</f>
        <v>1341</v>
      </c>
      <c r="O56" s="597">
        <f>SUMIF($Z$53:$Z$54,"tertiair",O53:O54)</f>
        <v>0</v>
      </c>
      <c r="P56" s="597">
        <f>SUMIF($Z$53:$Z$54,"tertiair",P53:P54)</f>
        <v>0</v>
      </c>
      <c r="Q56" s="597">
        <f>SUMIF($Z$53:$Z$54,"tertiair",Q53:Q54)</f>
        <v>3831.4285714285716</v>
      </c>
      <c r="R56" s="597">
        <f>SUMIF($Z$53:$Z$54,"tertiair",R53:R54)</f>
        <v>0</v>
      </c>
      <c r="S56" s="597">
        <f>SUMIF($Z$53:$Z$54,"tertiair",S53:S54)</f>
        <v>0</v>
      </c>
      <c r="T56" s="597">
        <f>SUMIF($Z$53:$Z$54,"tertiair",T53:T54)</f>
        <v>0</v>
      </c>
      <c r="U56" s="597">
        <f>SUMIF($Z$53:$Z$54,"tertiair",U53:U54)</f>
        <v>0</v>
      </c>
      <c r="V56" s="597">
        <f>SUMIF($Z$53:$Z$54,"tertiair",V53:V54)</f>
        <v>0</v>
      </c>
      <c r="W56" s="597">
        <f>SUMIF($Z$53:$Z$54,"tertiair",W53:W54)</f>
        <v>0</v>
      </c>
      <c r="X56" s="598"/>
      <c r="Y56" s="598"/>
      <c r="Z56" s="599"/>
    </row>
    <row r="57" spans="1:27" s="573" customFormat="1" ht="15.75" thickBot="1">
      <c r="A57" s="600" t="s">
        <v>288</v>
      </c>
      <c r="B57" s="601"/>
      <c r="C57" s="601"/>
      <c r="D57" s="601"/>
      <c r="E57" s="601"/>
      <c r="F57" s="601"/>
      <c r="G57" s="601"/>
      <c r="H57" s="601"/>
      <c r="I57" s="601"/>
      <c r="J57" s="601"/>
      <c r="K57" s="601"/>
      <c r="L57" s="602"/>
      <c r="M57" s="602">
        <f>SUMIF($Z$53:$Z$55,"landbouw",M53:M55)</f>
        <v>0</v>
      </c>
      <c r="N57" s="602">
        <f>SUMIF($Z$53:$Z$55,"landbouw",N53:N55)</f>
        <v>0</v>
      </c>
      <c r="O57" s="602">
        <f>SUMIF($Z$53:$Z$55,"landbouw",O53:O55)</f>
        <v>0</v>
      </c>
      <c r="P57" s="602">
        <f>SUMIF($Z$53:$Z$55,"landbouw",P53:P55)</f>
        <v>0</v>
      </c>
      <c r="Q57" s="602">
        <f>SUMIF($Z$53:$Z$55,"landbouw",Q53:Q55)</f>
        <v>0</v>
      </c>
      <c r="R57" s="602">
        <f>SUMIF($Z$53:$Z$55,"landbouw",R53:R55)</f>
        <v>0</v>
      </c>
      <c r="S57" s="602">
        <f>SUMIF($Z$53:$Z$55,"landbouw",S53:S55)</f>
        <v>0</v>
      </c>
      <c r="T57" s="602">
        <f>SUMIF($Z$53:$Z$55,"landbouw",T53:T55)</f>
        <v>0</v>
      </c>
      <c r="U57" s="602">
        <f>SUMIF($Z$53:$Z$55,"landbouw",U53:U55)</f>
        <v>0</v>
      </c>
      <c r="V57" s="602">
        <f>SUMIF($Z$53:$Z$55,"landbouw",V53:V55)</f>
        <v>0</v>
      </c>
      <c r="W57" s="602">
        <f>SUMIF($Z$53:$Z$55,"landbouw",W53:W55)</f>
        <v>0</v>
      </c>
      <c r="X57" s="603"/>
      <c r="Y57" s="603"/>
      <c r="Z57" s="604"/>
    </row>
    <row r="58" spans="1:27" s="609" customFormat="1">
      <c r="A58" s="605"/>
      <c r="B58" s="589"/>
      <c r="C58" s="589"/>
      <c r="D58" s="589"/>
      <c r="E58" s="589"/>
      <c r="F58" s="589"/>
      <c r="G58" s="589"/>
      <c r="H58" s="589"/>
      <c r="I58" s="589"/>
      <c r="J58" s="589"/>
      <c r="K58" s="589"/>
      <c r="L58" s="589"/>
      <c r="M58" s="589"/>
      <c r="N58" s="589"/>
      <c r="O58" s="589"/>
      <c r="P58" s="589"/>
      <c r="Q58" s="589"/>
      <c r="R58" s="589"/>
      <c r="S58" s="589"/>
      <c r="T58" s="589"/>
      <c r="U58" s="589"/>
      <c r="V58" s="589"/>
      <c r="W58" s="589"/>
      <c r="X58" s="589"/>
      <c r="Y58" s="589"/>
    </row>
    <row r="59" spans="1:27" s="609" customFormat="1" ht="15.75" thickBot="1">
      <c r="A59" s="605"/>
      <c r="B59" s="589"/>
      <c r="C59" s="589"/>
      <c r="D59" s="589"/>
      <c r="E59" s="589"/>
      <c r="F59" s="589"/>
      <c r="G59" s="589"/>
      <c r="H59" s="589"/>
      <c r="I59" s="589"/>
      <c r="J59" s="589"/>
      <c r="K59" s="589"/>
      <c r="L59" s="589"/>
      <c r="M59" s="589"/>
      <c r="N59" s="589"/>
      <c r="O59" s="589"/>
      <c r="P59" s="589"/>
      <c r="Q59" s="589"/>
      <c r="R59" s="589"/>
      <c r="S59" s="589"/>
      <c r="T59" s="589"/>
      <c r="U59" s="589"/>
      <c r="V59" s="589"/>
      <c r="W59" s="589"/>
      <c r="X59" s="589"/>
      <c r="Y59" s="589"/>
      <c r="Z59" s="589"/>
      <c r="AA59" s="589"/>
    </row>
    <row r="60" spans="1:27">
      <c r="A60" s="610" t="s">
        <v>281</v>
      </c>
      <c r="B60" s="611"/>
      <c r="C60" s="611"/>
      <c r="D60" s="611"/>
      <c r="E60" s="611"/>
      <c r="F60" s="611"/>
      <c r="G60" s="611"/>
      <c r="H60" s="611"/>
      <c r="I60" s="612"/>
      <c r="J60" s="613"/>
      <c r="K60" s="613"/>
      <c r="L60" s="614"/>
      <c r="M60" s="614"/>
      <c r="N60" s="614"/>
      <c r="O60" s="614"/>
      <c r="P60" s="614"/>
    </row>
    <row r="61" spans="1:27">
      <c r="A61" s="616"/>
      <c r="B61" s="606"/>
      <c r="C61" s="606"/>
      <c r="D61" s="606"/>
      <c r="E61" s="606"/>
      <c r="F61" s="606"/>
      <c r="G61" s="606"/>
      <c r="H61" s="606"/>
      <c r="I61" s="617"/>
      <c r="J61" s="606"/>
      <c r="K61" s="606"/>
      <c r="L61" s="614"/>
      <c r="M61" s="614"/>
      <c r="N61" s="614"/>
      <c r="O61" s="614"/>
      <c r="P61" s="614"/>
    </row>
    <row r="62" spans="1:27">
      <c r="A62" s="618"/>
      <c r="B62" s="619" t="s">
        <v>282</v>
      </c>
      <c r="C62" s="619" t="s">
        <v>283</v>
      </c>
      <c r="D62" s="619"/>
      <c r="E62" s="619"/>
      <c r="F62" s="619"/>
      <c r="G62" s="619"/>
      <c r="H62" s="619"/>
      <c r="I62" s="620"/>
      <c r="J62" s="619"/>
      <c r="K62" s="619"/>
      <c r="L62" s="619"/>
      <c r="M62" s="619"/>
      <c r="N62" s="619"/>
      <c r="O62" s="619"/>
      <c r="P62" s="614"/>
    </row>
    <row r="63" spans="1:27">
      <c r="A63" s="616" t="s">
        <v>279</v>
      </c>
      <c r="B63" s="621">
        <f>IF(ISERROR(O47/(O47+N47)),0,O47/(O47+N47))</f>
        <v>0.58702740173554879</v>
      </c>
      <c r="C63" s="622">
        <f>IF(ISERROR(N47/(O47+N47)),0,N47/(N47+O47))</f>
        <v>0.4129725982644511</v>
      </c>
      <c r="D63" s="589"/>
      <c r="E63" s="589"/>
      <c r="F63" s="589"/>
      <c r="G63" s="589"/>
      <c r="H63" s="589"/>
      <c r="I63" s="623"/>
      <c r="J63" s="589"/>
      <c r="K63" s="589"/>
      <c r="L63" s="624"/>
      <c r="M63" s="624"/>
      <c r="N63" s="624"/>
      <c r="O63" s="624"/>
      <c r="P63" s="614"/>
    </row>
    <row r="64" spans="1:27">
      <c r="A64" s="616"/>
      <c r="B64" s="625"/>
      <c r="C64" s="625"/>
      <c r="D64" s="625"/>
      <c r="E64" s="625"/>
      <c r="F64" s="625"/>
      <c r="G64" s="625"/>
      <c r="H64" s="625"/>
      <c r="I64" s="626"/>
      <c r="J64" s="625"/>
      <c r="K64" s="625"/>
      <c r="L64" s="627"/>
      <c r="M64" s="627"/>
      <c r="N64" s="627"/>
      <c r="O64" s="627"/>
      <c r="P64" s="614"/>
    </row>
    <row r="65" spans="1:16" ht="30">
      <c r="A65" s="628"/>
      <c r="B65" s="629" t="s">
        <v>524</v>
      </c>
      <c r="C65" s="629" t="s">
        <v>102</v>
      </c>
      <c r="D65" s="629" t="s">
        <v>103</v>
      </c>
      <c r="E65" s="629" t="s">
        <v>104</v>
      </c>
      <c r="F65" s="629" t="s">
        <v>105</v>
      </c>
      <c r="G65" s="629" t="s">
        <v>106</v>
      </c>
      <c r="H65" s="629" t="s">
        <v>107</v>
      </c>
      <c r="I65" s="630" t="s">
        <v>108</v>
      </c>
      <c r="J65" s="619"/>
      <c r="K65" s="619"/>
      <c r="L65" s="627"/>
      <c r="M65" s="627"/>
      <c r="N65" s="627"/>
      <c r="O65" s="614"/>
      <c r="P65" s="614"/>
    </row>
    <row r="66" spans="1:16">
      <c r="A66" s="618" t="s">
        <v>284</v>
      </c>
      <c r="B66" s="631">
        <f t="shared" ref="B66:I66" si="2">$C$63*P47</f>
        <v>184223.53632064365</v>
      </c>
      <c r="C66" s="631">
        <f t="shared" si="2"/>
        <v>154.51074783637105</v>
      </c>
      <c r="D66" s="631">
        <f t="shared" si="2"/>
        <v>0</v>
      </c>
      <c r="E66" s="631">
        <f t="shared" si="2"/>
        <v>966.35587993881552</v>
      </c>
      <c r="F66" s="631">
        <f t="shared" si="2"/>
        <v>2899.0676398164469</v>
      </c>
      <c r="G66" s="631">
        <f t="shared" si="2"/>
        <v>0</v>
      </c>
      <c r="H66" s="631">
        <f t="shared" si="2"/>
        <v>0</v>
      </c>
      <c r="I66" s="632">
        <f t="shared" si="2"/>
        <v>0</v>
      </c>
      <c r="J66" s="589"/>
      <c r="K66" s="589"/>
      <c r="L66" s="627"/>
      <c r="M66" s="627"/>
      <c r="N66" s="627"/>
      <c r="O66" s="614"/>
      <c r="P66" s="614"/>
    </row>
    <row r="67" spans="1:16" ht="15.75" thickBot="1">
      <c r="A67" s="633" t="s">
        <v>285</v>
      </c>
      <c r="B67" s="634">
        <f t="shared" ref="B67:I67" si="3">$B$63*P47</f>
        <v>261867.89225078488</v>
      </c>
      <c r="C67" s="634">
        <f t="shared" si="3"/>
        <v>219.63210930648603</v>
      </c>
      <c r="D67" s="634">
        <f t="shared" si="3"/>
        <v>0</v>
      </c>
      <c r="E67" s="634">
        <f t="shared" si="3"/>
        <v>1373.6441200611841</v>
      </c>
      <c r="F67" s="634">
        <f t="shared" si="3"/>
        <v>4120.9323601835522</v>
      </c>
      <c r="G67" s="634">
        <f t="shared" si="3"/>
        <v>0</v>
      </c>
      <c r="H67" s="634">
        <f t="shared" si="3"/>
        <v>0</v>
      </c>
      <c r="I67" s="635">
        <f t="shared" si="3"/>
        <v>0</v>
      </c>
      <c r="J67" s="589"/>
      <c r="K67" s="589"/>
      <c r="L67" s="627"/>
      <c r="M67" s="627"/>
      <c r="N67" s="627"/>
      <c r="O67" s="614"/>
      <c r="P67" s="614"/>
    </row>
    <row r="68" spans="1:16">
      <c r="J68" s="569"/>
      <c r="K68" s="569"/>
      <c r="L68" s="569"/>
      <c r="M68" s="569"/>
      <c r="N68" s="569"/>
    </row>
    <row r="69" spans="1:16">
      <c r="J69" s="569"/>
      <c r="K69" s="569"/>
      <c r="L69" s="569"/>
      <c r="M69" s="569"/>
      <c r="N69"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36729.113542043146</v>
      </c>
      <c r="C4" s="452">
        <f>huishoudens!C8</f>
        <v>0</v>
      </c>
      <c r="D4" s="452">
        <f>huishoudens!D8</f>
        <v>90267.089344762004</v>
      </c>
      <c r="E4" s="452">
        <f>huishoudens!E8</f>
        <v>28965.634522158001</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31046.985685705</v>
      </c>
      <c r="O4" s="452">
        <f>huishoudens!O8</f>
        <v>698.35329322423524</v>
      </c>
      <c r="P4" s="453">
        <f>huishoudens!P8</f>
        <v>1285.1430355375728</v>
      </c>
      <c r="Q4" s="454">
        <f>SUM(B4:P4)</f>
        <v>188992.31942342996</v>
      </c>
    </row>
    <row r="5" spans="1:17">
      <c r="A5" s="451" t="s">
        <v>155</v>
      </c>
      <c r="B5" s="452">
        <f ca="1">tertiair!B16</f>
        <v>62105.297874000004</v>
      </c>
      <c r="C5" s="452">
        <f ca="1">tertiair!C16</f>
        <v>12857.142857142857</v>
      </c>
      <c r="D5" s="452">
        <f ca="1">tertiair!D16</f>
        <v>46171.107710856297</v>
      </c>
      <c r="E5" s="452">
        <f>tertiair!E16</f>
        <v>748.63853862348151</v>
      </c>
      <c r="F5" s="452">
        <f ca="1">tertiair!F16</f>
        <v>5927.9489710135149</v>
      </c>
      <c r="G5" s="452">
        <f>tertiair!G16</f>
        <v>0</v>
      </c>
      <c r="H5" s="452">
        <f>tertiair!H16</f>
        <v>0</v>
      </c>
      <c r="I5" s="452">
        <f>tertiair!I16</f>
        <v>0</v>
      </c>
      <c r="J5" s="452">
        <f>tertiair!J16</f>
        <v>8.5607829023730098E-2</v>
      </c>
      <c r="K5" s="452">
        <f>tertiair!K16</f>
        <v>0</v>
      </c>
      <c r="L5" s="452">
        <f ca="1">tertiair!L16</f>
        <v>0</v>
      </c>
      <c r="M5" s="452">
        <f>tertiair!M16</f>
        <v>0</v>
      </c>
      <c r="N5" s="452">
        <f ca="1">tertiair!N16</f>
        <v>0</v>
      </c>
      <c r="O5" s="452">
        <f>tertiair!O16</f>
        <v>24.486303829205774</v>
      </c>
      <c r="P5" s="453">
        <f>tertiair!P16</f>
        <v>315.23482983897009</v>
      </c>
      <c r="Q5" s="451">
        <f t="shared" ref="Q5:Q14" ca="1" si="0">SUM(B5:P5)</f>
        <v>128149.94269313334</v>
      </c>
    </row>
    <row r="6" spans="1:17">
      <c r="A6" s="451" t="s">
        <v>193</v>
      </c>
      <c r="B6" s="452">
        <f>'openbare verlichting'!B8</f>
        <v>1440.163</v>
      </c>
      <c r="C6" s="452"/>
      <c r="D6" s="452"/>
      <c r="E6" s="452"/>
      <c r="F6" s="452"/>
      <c r="G6" s="452"/>
      <c r="H6" s="452"/>
      <c r="I6" s="452"/>
      <c r="J6" s="452"/>
      <c r="K6" s="452"/>
      <c r="L6" s="452"/>
      <c r="M6" s="452"/>
      <c r="N6" s="452"/>
      <c r="O6" s="452"/>
      <c r="P6" s="453"/>
      <c r="Q6" s="451">
        <f t="shared" si="0"/>
        <v>1440.163</v>
      </c>
    </row>
    <row r="7" spans="1:17">
      <c r="A7" s="451" t="s">
        <v>111</v>
      </c>
      <c r="B7" s="452">
        <f>landbouw!B8</f>
        <v>25711.763072000002</v>
      </c>
      <c r="C7" s="452">
        <f>landbouw!C8</f>
        <v>213803.35714285716</v>
      </c>
      <c r="D7" s="452">
        <f>landbouw!D8</f>
        <v>0</v>
      </c>
      <c r="E7" s="452">
        <f>landbouw!E8</f>
        <v>802.45564678365724</v>
      </c>
      <c r="F7" s="452">
        <f>landbouw!F8</f>
        <v>88528.218968726142</v>
      </c>
      <c r="G7" s="452">
        <f>landbouw!G8</f>
        <v>0</v>
      </c>
      <c r="H7" s="452">
        <f>landbouw!H8</f>
        <v>0</v>
      </c>
      <c r="I7" s="452">
        <f>landbouw!I8</f>
        <v>0</v>
      </c>
      <c r="J7" s="452">
        <f>landbouw!J8</f>
        <v>7083.7690358502105</v>
      </c>
      <c r="K7" s="452">
        <f>landbouw!K8</f>
        <v>0</v>
      </c>
      <c r="L7" s="452">
        <f>landbouw!L8</f>
        <v>0</v>
      </c>
      <c r="M7" s="452">
        <f>landbouw!M8</f>
        <v>0</v>
      </c>
      <c r="N7" s="452">
        <f>landbouw!N8</f>
        <v>0</v>
      </c>
      <c r="O7" s="452">
        <f>landbouw!O8</f>
        <v>0</v>
      </c>
      <c r="P7" s="453">
        <f>landbouw!P8</f>
        <v>0</v>
      </c>
      <c r="Q7" s="451">
        <f t="shared" si="0"/>
        <v>335929.56386621716</v>
      </c>
    </row>
    <row r="8" spans="1:17">
      <c r="A8" s="451" t="s">
        <v>625</v>
      </c>
      <c r="B8" s="452">
        <f>industrie!B18</f>
        <v>102244.839372</v>
      </c>
      <c r="C8" s="452">
        <f>industrie!C18</f>
        <v>784.28571428571433</v>
      </c>
      <c r="D8" s="452">
        <f>industrie!D18</f>
        <v>66042.965453152574</v>
      </c>
      <c r="E8" s="452">
        <f>industrie!E18</f>
        <v>10463.441291927265</v>
      </c>
      <c r="F8" s="452">
        <f>industrie!F18</f>
        <v>34008.872085810784</v>
      </c>
      <c r="G8" s="452">
        <f>industrie!G18</f>
        <v>0</v>
      </c>
      <c r="H8" s="452">
        <f>industrie!H18</f>
        <v>0</v>
      </c>
      <c r="I8" s="452">
        <f>industrie!I18</f>
        <v>0</v>
      </c>
      <c r="J8" s="452">
        <f>industrie!J18</f>
        <v>953.40162694993933</v>
      </c>
      <c r="K8" s="452">
        <f>industrie!K18</f>
        <v>0</v>
      </c>
      <c r="L8" s="452">
        <f>industrie!L18</f>
        <v>0</v>
      </c>
      <c r="M8" s="452">
        <f>industrie!M18</f>
        <v>0</v>
      </c>
      <c r="N8" s="452">
        <f>industrie!N18</f>
        <v>4695.4005009439961</v>
      </c>
      <c r="O8" s="452">
        <f>industrie!O18</f>
        <v>0</v>
      </c>
      <c r="P8" s="453">
        <f>industrie!P18</f>
        <v>0</v>
      </c>
      <c r="Q8" s="451">
        <f t="shared" si="0"/>
        <v>219193.20604507028</v>
      </c>
    </row>
    <row r="9" spans="1:17" s="457" customFormat="1">
      <c r="A9" s="455" t="s">
        <v>551</v>
      </c>
      <c r="B9" s="456">
        <f>transport!B14</f>
        <v>125.9944337377548</v>
      </c>
      <c r="C9" s="456">
        <f>transport!C14</f>
        <v>0</v>
      </c>
      <c r="D9" s="456">
        <f>transport!D14</f>
        <v>449.31854667494923</v>
      </c>
      <c r="E9" s="456">
        <f>transport!E14</f>
        <v>425.29153092240949</v>
      </c>
      <c r="F9" s="456">
        <f>transport!F14</f>
        <v>0</v>
      </c>
      <c r="G9" s="456">
        <f>transport!G14</f>
        <v>249893.94550187979</v>
      </c>
      <c r="H9" s="456">
        <f>transport!H14</f>
        <v>42809.440281233197</v>
      </c>
      <c r="I9" s="456">
        <f>transport!I14</f>
        <v>0</v>
      </c>
      <c r="J9" s="456">
        <f>transport!J14</f>
        <v>0</v>
      </c>
      <c r="K9" s="456">
        <f>transport!K14</f>
        <v>0</v>
      </c>
      <c r="L9" s="456">
        <f>transport!L14</f>
        <v>0</v>
      </c>
      <c r="M9" s="456">
        <f>transport!M14</f>
        <v>17238.739692947223</v>
      </c>
      <c r="N9" s="456">
        <f>transport!N14</f>
        <v>0</v>
      </c>
      <c r="O9" s="456">
        <f>transport!O14</f>
        <v>0</v>
      </c>
      <c r="P9" s="456">
        <f>transport!P14</f>
        <v>0</v>
      </c>
      <c r="Q9" s="455">
        <f>SUM(B9:P9)</f>
        <v>310942.72998739535</v>
      </c>
    </row>
    <row r="10" spans="1:17">
      <c r="A10" s="451" t="s">
        <v>541</v>
      </c>
      <c r="B10" s="452">
        <f>transport!B54</f>
        <v>0</v>
      </c>
      <c r="C10" s="452">
        <f>transport!C54</f>
        <v>0</v>
      </c>
      <c r="D10" s="452">
        <f>transport!D54</f>
        <v>0</v>
      </c>
      <c r="E10" s="452">
        <f>transport!E54</f>
        <v>0</v>
      </c>
      <c r="F10" s="452">
        <f>transport!F54</f>
        <v>0</v>
      </c>
      <c r="G10" s="452">
        <f>transport!G54</f>
        <v>1653.2936665766624</v>
      </c>
      <c r="H10" s="452">
        <f>transport!H54</f>
        <v>0</v>
      </c>
      <c r="I10" s="452">
        <f>transport!I54</f>
        <v>0</v>
      </c>
      <c r="J10" s="452">
        <f>transport!J54</f>
        <v>0</v>
      </c>
      <c r="K10" s="452">
        <f>transport!K54</f>
        <v>0</v>
      </c>
      <c r="L10" s="452">
        <f>transport!L54</f>
        <v>0</v>
      </c>
      <c r="M10" s="452">
        <f>transport!M54</f>
        <v>91.875787856445655</v>
      </c>
      <c r="N10" s="452">
        <f>transport!N54</f>
        <v>0</v>
      </c>
      <c r="O10" s="452">
        <f>transport!O54</f>
        <v>0</v>
      </c>
      <c r="P10" s="453">
        <f>transport!P54</f>
        <v>0</v>
      </c>
      <c r="Q10" s="451">
        <f t="shared" si="0"/>
        <v>1745.1694544331081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1657.1711749999999</v>
      </c>
      <c r="C14" s="459"/>
      <c r="D14" s="459">
        <f>'SEAP template'!E25</f>
        <v>2657.5286970000002</v>
      </c>
      <c r="E14" s="459"/>
      <c r="F14" s="459"/>
      <c r="G14" s="459"/>
      <c r="H14" s="459"/>
      <c r="I14" s="459"/>
      <c r="J14" s="459"/>
      <c r="K14" s="459"/>
      <c r="L14" s="459"/>
      <c r="M14" s="459"/>
      <c r="N14" s="459"/>
      <c r="O14" s="459"/>
      <c r="P14" s="460"/>
      <c r="Q14" s="451">
        <f t="shared" si="0"/>
        <v>4314.6998720000001</v>
      </c>
    </row>
    <row r="15" spans="1:17" s="463" customFormat="1">
      <c r="A15" s="461" t="s">
        <v>545</v>
      </c>
      <c r="B15" s="462">
        <f ca="1">SUM(B4:B14)</f>
        <v>230014.3424687809</v>
      </c>
      <c r="C15" s="462">
        <f t="shared" ref="C15:Q15" ca="1" si="1">SUM(C4:C14)</f>
        <v>227444.78571428574</v>
      </c>
      <c r="D15" s="462">
        <f t="shared" ca="1" si="1"/>
        <v>205588.00975244583</v>
      </c>
      <c r="E15" s="462">
        <f t="shared" si="1"/>
        <v>41405.46153041481</v>
      </c>
      <c r="F15" s="462">
        <f t="shared" ca="1" si="1"/>
        <v>128465.04002555044</v>
      </c>
      <c r="G15" s="462">
        <f t="shared" si="1"/>
        <v>251547.23916845646</v>
      </c>
      <c r="H15" s="462">
        <f t="shared" si="1"/>
        <v>42809.440281233197</v>
      </c>
      <c r="I15" s="462">
        <f t="shared" si="1"/>
        <v>0</v>
      </c>
      <c r="J15" s="462">
        <f t="shared" si="1"/>
        <v>8037.2562706291737</v>
      </c>
      <c r="K15" s="462">
        <f t="shared" si="1"/>
        <v>0</v>
      </c>
      <c r="L15" s="462">
        <f t="shared" ca="1" si="1"/>
        <v>0</v>
      </c>
      <c r="M15" s="462">
        <f t="shared" si="1"/>
        <v>17330.61548080367</v>
      </c>
      <c r="N15" s="462">
        <f t="shared" ca="1" si="1"/>
        <v>35742.386186648997</v>
      </c>
      <c r="O15" s="462">
        <f t="shared" si="1"/>
        <v>722.83959705344103</v>
      </c>
      <c r="P15" s="462">
        <f t="shared" si="1"/>
        <v>1600.377865376543</v>
      </c>
      <c r="Q15" s="462">
        <f t="shared" ca="1" si="1"/>
        <v>1190707.794341679</v>
      </c>
    </row>
    <row r="17" spans="1:17">
      <c r="A17" s="464" t="s">
        <v>546</v>
      </c>
      <c r="B17" s="781">
        <f ca="1">huishoudens!B10</f>
        <v>0.15667571160843169</v>
      </c>
      <c r="C17" s="781">
        <f ca="1">huishoudens!C10</f>
        <v>0.23418464858378765</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5754.5600009464952</v>
      </c>
      <c r="C22" s="452">
        <f t="shared" ref="C22:C32" ca="1" si="3">C4*$C$17</f>
        <v>0</v>
      </c>
      <c r="D22" s="452">
        <f t="shared" ref="D22:D32" si="4">D4*$D$17</f>
        <v>18233.952047641927</v>
      </c>
      <c r="E22" s="452">
        <f t="shared" ref="E22:E32" si="5">E4*$E$17</f>
        <v>6575.1990365298661</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30563.711085118288</v>
      </c>
    </row>
    <row r="23" spans="1:17">
      <c r="A23" s="451" t="s">
        <v>155</v>
      </c>
      <c r="B23" s="452">
        <f t="shared" ca="1" si="2"/>
        <v>9730.3917390625702</v>
      </c>
      <c r="C23" s="452">
        <f t="shared" ca="1" si="3"/>
        <v>3010.9454817915553</v>
      </c>
      <c r="D23" s="452">
        <f t="shared" ca="1" si="4"/>
        <v>9326.5637575929723</v>
      </c>
      <c r="E23" s="452">
        <f t="shared" si="5"/>
        <v>169.9409482675303</v>
      </c>
      <c r="F23" s="452">
        <f t="shared" ca="1" si="6"/>
        <v>1582.7623752606087</v>
      </c>
      <c r="G23" s="452">
        <f t="shared" si="7"/>
        <v>0</v>
      </c>
      <c r="H23" s="452">
        <f t="shared" si="8"/>
        <v>0</v>
      </c>
      <c r="I23" s="452">
        <f t="shared" si="9"/>
        <v>0</v>
      </c>
      <c r="J23" s="452">
        <f t="shared" si="10"/>
        <v>3.0305171474400452E-2</v>
      </c>
      <c r="K23" s="452">
        <f t="shared" si="11"/>
        <v>0</v>
      </c>
      <c r="L23" s="452">
        <f t="shared" ca="1" si="12"/>
        <v>0</v>
      </c>
      <c r="M23" s="452">
        <f t="shared" si="13"/>
        <v>0</v>
      </c>
      <c r="N23" s="452">
        <f t="shared" ca="1" si="14"/>
        <v>0</v>
      </c>
      <c r="O23" s="452">
        <f t="shared" si="15"/>
        <v>0</v>
      </c>
      <c r="P23" s="453">
        <f t="shared" si="16"/>
        <v>0</v>
      </c>
      <c r="Q23" s="451">
        <f t="shared" ref="Q23:Q31" ca="1" si="17">SUM(B23:P23)</f>
        <v>23820.634607146709</v>
      </c>
    </row>
    <row r="24" spans="1:17">
      <c r="A24" s="451" t="s">
        <v>193</v>
      </c>
      <c r="B24" s="452">
        <f t="shared" ca="1" si="2"/>
        <v>225.63856285713382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225.63856285713382</v>
      </c>
    </row>
    <row r="25" spans="1:17">
      <c r="A25" s="451" t="s">
        <v>111</v>
      </c>
      <c r="B25" s="452">
        <f t="shared" ca="1" si="2"/>
        <v>4028.408776012996</v>
      </c>
      <c r="C25" s="452">
        <f t="shared" ca="1" si="3"/>
        <v>50069.464058534053</v>
      </c>
      <c r="D25" s="452">
        <f t="shared" si="4"/>
        <v>0</v>
      </c>
      <c r="E25" s="452">
        <f t="shared" si="5"/>
        <v>182.15743181989021</v>
      </c>
      <c r="F25" s="452">
        <f t="shared" si="6"/>
        <v>23637.034464649882</v>
      </c>
      <c r="G25" s="452">
        <f t="shared" si="7"/>
        <v>0</v>
      </c>
      <c r="H25" s="452">
        <f t="shared" si="8"/>
        <v>0</v>
      </c>
      <c r="I25" s="452">
        <f t="shared" si="9"/>
        <v>0</v>
      </c>
      <c r="J25" s="452">
        <f t="shared" si="10"/>
        <v>2507.6542386909746</v>
      </c>
      <c r="K25" s="452">
        <f t="shared" si="11"/>
        <v>0</v>
      </c>
      <c r="L25" s="452">
        <f t="shared" si="12"/>
        <v>0</v>
      </c>
      <c r="M25" s="452">
        <f t="shared" si="13"/>
        <v>0</v>
      </c>
      <c r="N25" s="452">
        <f t="shared" si="14"/>
        <v>0</v>
      </c>
      <c r="O25" s="452">
        <f t="shared" si="15"/>
        <v>0</v>
      </c>
      <c r="P25" s="453">
        <f t="shared" si="16"/>
        <v>0</v>
      </c>
      <c r="Q25" s="451">
        <f t="shared" ca="1" si="17"/>
        <v>80424.718969707799</v>
      </c>
    </row>
    <row r="26" spans="1:17">
      <c r="A26" s="451" t="s">
        <v>625</v>
      </c>
      <c r="B26" s="452">
        <f t="shared" ca="1" si="2"/>
        <v>16019.282966897894</v>
      </c>
      <c r="C26" s="452">
        <f t="shared" ca="1" si="3"/>
        <v>183.66767438928491</v>
      </c>
      <c r="D26" s="452">
        <f t="shared" si="4"/>
        <v>13340.67902153682</v>
      </c>
      <c r="E26" s="452">
        <f t="shared" si="5"/>
        <v>2375.2011732674891</v>
      </c>
      <c r="F26" s="452">
        <f t="shared" si="6"/>
        <v>9080.3688469114804</v>
      </c>
      <c r="G26" s="452">
        <f t="shared" si="7"/>
        <v>0</v>
      </c>
      <c r="H26" s="452">
        <f t="shared" si="8"/>
        <v>0</v>
      </c>
      <c r="I26" s="452">
        <f t="shared" si="9"/>
        <v>0</v>
      </c>
      <c r="J26" s="452">
        <f t="shared" si="10"/>
        <v>337.50417594027851</v>
      </c>
      <c r="K26" s="452">
        <f t="shared" si="11"/>
        <v>0</v>
      </c>
      <c r="L26" s="452">
        <f t="shared" si="12"/>
        <v>0</v>
      </c>
      <c r="M26" s="452">
        <f t="shared" si="13"/>
        <v>0</v>
      </c>
      <c r="N26" s="452">
        <f t="shared" si="14"/>
        <v>0</v>
      </c>
      <c r="O26" s="452">
        <f t="shared" si="15"/>
        <v>0</v>
      </c>
      <c r="P26" s="453">
        <f t="shared" si="16"/>
        <v>0</v>
      </c>
      <c r="Q26" s="451">
        <f t="shared" ca="1" si="17"/>
        <v>41336.703858943249</v>
      </c>
    </row>
    <row r="27" spans="1:17" s="457" customFormat="1">
      <c r="A27" s="455" t="s">
        <v>551</v>
      </c>
      <c r="B27" s="775">
        <f t="shared" ca="1" si="2"/>
        <v>19.740267564564128</v>
      </c>
      <c r="C27" s="456">
        <f t="shared" ca="1" si="3"/>
        <v>0</v>
      </c>
      <c r="D27" s="456">
        <f t="shared" si="4"/>
        <v>90.762346428339754</v>
      </c>
      <c r="E27" s="456">
        <f t="shared" si="5"/>
        <v>96.541177519386963</v>
      </c>
      <c r="F27" s="456">
        <f t="shared" si="6"/>
        <v>0</v>
      </c>
      <c r="G27" s="456">
        <f t="shared" si="7"/>
        <v>66721.68344900191</v>
      </c>
      <c r="H27" s="456">
        <f t="shared" si="8"/>
        <v>10659.550630027066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77588.277870541264</v>
      </c>
    </row>
    <row r="28" spans="1:17" ht="16.5" customHeight="1">
      <c r="A28" s="451" t="s">
        <v>541</v>
      </c>
      <c r="B28" s="452">
        <f t="shared" ca="1" si="2"/>
        <v>0</v>
      </c>
      <c r="C28" s="452">
        <f t="shared" ca="1" si="3"/>
        <v>0</v>
      </c>
      <c r="D28" s="452">
        <f t="shared" si="4"/>
        <v>0</v>
      </c>
      <c r="E28" s="452">
        <f t="shared" si="5"/>
        <v>0</v>
      </c>
      <c r="F28" s="452">
        <f t="shared" si="6"/>
        <v>0</v>
      </c>
      <c r="G28" s="452">
        <f t="shared" si="7"/>
        <v>441.4294089759689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441.4294089759689</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259.6384731001059</v>
      </c>
      <c r="C32" s="452">
        <f t="shared" ca="1" si="3"/>
        <v>0</v>
      </c>
      <c r="D32" s="452">
        <f t="shared" si="4"/>
        <v>536.8207967940001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796.459269894106</v>
      </c>
    </row>
    <row r="33" spans="1:17" s="463" customFormat="1">
      <c r="A33" s="461" t="s">
        <v>545</v>
      </c>
      <c r="B33" s="462">
        <f ca="1">SUM(B22:B32)</f>
        <v>36037.66078644176</v>
      </c>
      <c r="C33" s="462">
        <f t="shared" ref="C33:Q33" ca="1" si="19">SUM(C22:C32)</f>
        <v>53264.077214714889</v>
      </c>
      <c r="D33" s="462">
        <f t="shared" ca="1" si="19"/>
        <v>41528.777969994066</v>
      </c>
      <c r="E33" s="462">
        <f t="shared" si="19"/>
        <v>9399.0397674041615</v>
      </c>
      <c r="F33" s="462">
        <f t="shared" ca="1" si="19"/>
        <v>34300.165686821972</v>
      </c>
      <c r="G33" s="462">
        <f t="shared" si="19"/>
        <v>67163.112857977874</v>
      </c>
      <c r="H33" s="462">
        <f t="shared" si="19"/>
        <v>10659.550630027066</v>
      </c>
      <c r="I33" s="462">
        <f t="shared" si="19"/>
        <v>0</v>
      </c>
      <c r="J33" s="462">
        <f t="shared" si="19"/>
        <v>2845.1887198027275</v>
      </c>
      <c r="K33" s="462">
        <f t="shared" si="19"/>
        <v>0</v>
      </c>
      <c r="L33" s="462">
        <f t="shared" ca="1" si="19"/>
        <v>0</v>
      </c>
      <c r="M33" s="462">
        <f t="shared" si="19"/>
        <v>0</v>
      </c>
      <c r="N33" s="462">
        <f t="shared" ca="1" si="19"/>
        <v>0</v>
      </c>
      <c r="O33" s="462">
        <f t="shared" si="19"/>
        <v>0</v>
      </c>
      <c r="P33" s="462">
        <f t="shared" si="19"/>
        <v>0</v>
      </c>
      <c r="Q33" s="462">
        <f t="shared" ca="1" si="19"/>
        <v>255197.57363318451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67571.266451211399</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10244.665250903839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2595.5416295048958</v>
      </c>
      <c r="C8" s="1029">
        <f>'SEAP template'!C76</f>
        <v>157411.40837049513</v>
      </c>
      <c r="D8" s="1029">
        <f>'SEAP template'!D76</f>
        <v>184223.53632064365</v>
      </c>
      <c r="E8" s="1029">
        <f>'SEAP template'!E76</f>
        <v>0</v>
      </c>
      <c r="F8" s="1029">
        <f>'SEAP template'!F76</f>
        <v>966.35587993881552</v>
      </c>
      <c r="G8" s="1029">
        <f>'SEAP template'!G76</f>
        <v>0</v>
      </c>
      <c r="H8" s="1029">
        <f>'SEAP template'!H76</f>
        <v>0</v>
      </c>
      <c r="I8" s="1029">
        <f>'SEAP template'!I76</f>
        <v>2899.0676398164469</v>
      </c>
      <c r="J8" s="1029">
        <f>'SEAP template'!J76</f>
        <v>154.51074783637105</v>
      </c>
      <c r="K8" s="1029">
        <f>'SEAP template'!K76</f>
        <v>0</v>
      </c>
      <c r="L8" s="1029">
        <f>'SEAP template'!L76</f>
        <v>0</v>
      </c>
      <c r="M8" s="1029">
        <f>'SEAP template'!M76</f>
        <v>0</v>
      </c>
      <c r="N8" s="1029">
        <f>'SEAP template'!N76</f>
        <v>0</v>
      </c>
      <c r="O8" s="1029">
        <f>'SEAP template'!O76</f>
        <v>0</v>
      </c>
      <c r="P8" s="1030">
        <f>'SEAP template'!Q76</f>
        <v>37471.171356713683</v>
      </c>
    </row>
    <row r="9" spans="1:16">
      <c r="A9" s="1035" t="s">
        <v>785</v>
      </c>
      <c r="B9" s="1029">
        <f>'SEAP template'!B77</f>
        <v>1341</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3831.4285714285716</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81752.473331620131</v>
      </c>
      <c r="C10" s="1031">
        <f>SUM(C4:C9)</f>
        <v>157411.40837049513</v>
      </c>
      <c r="D10" s="1031">
        <f t="shared" ref="D10:H10" si="0">SUM(D8:D9)</f>
        <v>184223.53632064365</v>
      </c>
      <c r="E10" s="1031">
        <f t="shared" si="0"/>
        <v>0</v>
      </c>
      <c r="F10" s="1031">
        <f t="shared" si="0"/>
        <v>966.35587993881552</v>
      </c>
      <c r="G10" s="1031">
        <f t="shared" si="0"/>
        <v>0</v>
      </c>
      <c r="H10" s="1031">
        <f t="shared" si="0"/>
        <v>0</v>
      </c>
      <c r="I10" s="1031">
        <f>SUM(I8:I9)</f>
        <v>2899.0676398164469</v>
      </c>
      <c r="J10" s="1031">
        <f>SUM(J8:J9)</f>
        <v>3985.9393192649427</v>
      </c>
      <c r="K10" s="1031">
        <f t="shared" ref="K10:L10" si="1">SUM(K8:K9)</f>
        <v>0</v>
      </c>
      <c r="L10" s="1031">
        <f t="shared" si="1"/>
        <v>0</v>
      </c>
      <c r="M10" s="1031">
        <f>SUM(M8:M9)</f>
        <v>0</v>
      </c>
      <c r="N10" s="1031">
        <f>SUM(N8:N9)</f>
        <v>0</v>
      </c>
      <c r="O10" s="1031">
        <f>SUM(O8:O9)</f>
        <v>0</v>
      </c>
      <c r="P10" s="1031">
        <f>SUM(P8:P9)</f>
        <v>37471.171356713683</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0.15667571160843169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3689.4797990665338</v>
      </c>
      <c r="C17" s="1032">
        <f>'SEAP template'!C87</f>
        <v>223755.30591521919</v>
      </c>
      <c r="D17" s="1030">
        <f>'SEAP template'!D87</f>
        <v>261867.89225078488</v>
      </c>
      <c r="E17" s="1030">
        <f>'SEAP template'!E87</f>
        <v>0</v>
      </c>
      <c r="F17" s="1030">
        <f>'SEAP template'!F87</f>
        <v>1373.6441200611841</v>
      </c>
      <c r="G17" s="1030">
        <f>'SEAP template'!G87</f>
        <v>0</v>
      </c>
      <c r="H17" s="1030">
        <f>'SEAP template'!H87</f>
        <v>0</v>
      </c>
      <c r="I17" s="1030">
        <f>'SEAP template'!I87</f>
        <v>4120.9323601835522</v>
      </c>
      <c r="J17" s="1030">
        <f>'SEAP template'!J87</f>
        <v>219.63210930648603</v>
      </c>
      <c r="K17" s="1030">
        <f>'SEAP template'!K87</f>
        <v>0</v>
      </c>
      <c r="L17" s="1030">
        <f>'SEAP template'!L87</f>
        <v>0</v>
      </c>
      <c r="M17" s="1030">
        <f>'SEAP template'!M87</f>
        <v>0</v>
      </c>
      <c r="N17" s="1030">
        <f>'SEAP template'!N87</f>
        <v>0</v>
      </c>
      <c r="O17" s="1030">
        <f>'SEAP template'!O87</f>
        <v>0</v>
      </c>
      <c r="P17" s="1030">
        <f>'SEAP template'!Q87</f>
        <v>53264.077214714889</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3689.4797990665338</v>
      </c>
      <c r="C20" s="1031">
        <f>SUM(C17:C19)</f>
        <v>223755.30591521919</v>
      </c>
      <c r="D20" s="1031">
        <f t="shared" ref="D20:H20" si="2">SUM(D17:D19)</f>
        <v>261867.89225078488</v>
      </c>
      <c r="E20" s="1031">
        <f t="shared" si="2"/>
        <v>0</v>
      </c>
      <c r="F20" s="1031">
        <f t="shared" si="2"/>
        <v>1373.6441200611841</v>
      </c>
      <c r="G20" s="1031">
        <f t="shared" si="2"/>
        <v>0</v>
      </c>
      <c r="H20" s="1031">
        <f t="shared" si="2"/>
        <v>0</v>
      </c>
      <c r="I20" s="1031">
        <f>SUM(I17:I19)</f>
        <v>4120.9323601835522</v>
      </c>
      <c r="J20" s="1031">
        <f>SUM(J17:J19)</f>
        <v>219.63210930648603</v>
      </c>
      <c r="K20" s="1031">
        <f t="shared" ref="K20:L20" si="3">SUM(K17:K19)</f>
        <v>0</v>
      </c>
      <c r="L20" s="1031">
        <f t="shared" si="3"/>
        <v>0</v>
      </c>
      <c r="M20" s="1031">
        <f>SUM(M17:M19)</f>
        <v>0</v>
      </c>
      <c r="N20" s="1031">
        <f>SUM(N17:N19)</f>
        <v>0</v>
      </c>
      <c r="O20" s="1031">
        <f>SUM(O17:O19)</f>
        <v>0</v>
      </c>
      <c r="P20" s="1031">
        <f>SUM(P17:P19)</f>
        <v>53264.077214714889</v>
      </c>
    </row>
    <row r="21" spans="1:16">
      <c r="B21" s="887"/>
    </row>
    <row r="22" spans="1:16">
      <c r="A22" s="464" t="s">
        <v>797</v>
      </c>
      <c r="B22" s="781" t="s">
        <v>795</v>
      </c>
      <c r="C22" s="781">
        <f ca="1">'EF ele_warmte'!B22</f>
        <v>0.23418464858378765</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0.15667571160843169</v>
      </c>
      <c r="C17" s="501">
        <f ca="1">'EF ele_warmte'!B22</f>
        <v>0.23418464858378765</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2</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3.1266666666666669</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2020-06-20T15:29:28Z</dcterms:modified>
</cp:coreProperties>
</file>