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D14" i="48" l="1"/>
  <c r="D32" i="48" s="1"/>
  <c r="B14" i="48"/>
  <c r="Q14" i="48" s="1"/>
  <c r="R25" i="14"/>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<sst xmlns="http://schemas.openxmlformats.org/spreadsheetml/2006/main" count="2402" uniqueCount="888">
  <si>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</si>
  <si>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</si>
  <si>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</si>
  <si>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</si>
  <si>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</si>
  <si>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</si>
  <si>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</si>
  <si>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</si>
  <si>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</si>
  <si>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</si>
  <si>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</si>
  <si>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</si>
  <si>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</si>
  <si>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</si>
  <si>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</si>
  <si>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</si>
  <si>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</si>
  <si>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</si>
  <si>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</si>
  <si>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</si>
  <si>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</si>
  <si>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</si>
  <si>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</si>
  <si>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</si>
  <si>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</si>
  <si>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</si>
  <si>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</si>
  <si>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</si>
  <si>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</si>
  <si>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</si>
  <si>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</si>
  <si>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</si>
  <si>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</si>
  <si>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</si>
  <si>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</si>
  <si>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</si>
  <si>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</si>
  <si>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</si>
  <si>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</si>
  <si>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</si>
  <si>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</si>
  <si>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</si>
  <si>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</si>
  <si>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</si>
  <si>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</si>
  <si>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</si>
  <si>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</si>
  <si>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</si>
  <si>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</si>
  <si>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</si>
  <si>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</si>
  <si>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</si>
  <si>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</si>
  <si>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</si>
  <si>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</si>
  <si>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</si>
  <si>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</si>
  <si>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</si>
  <si>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</si>
  <si>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</si>
  <si>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</si>
  <si>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</si>
  <si>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</si>
  <si>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</si>
  <si>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</si>
  <si>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</si>
  <si>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</si>
  <si>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</si>
  <si>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</si>
  <si>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</si>
  <si>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</si>
  <si>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</si>
  <si>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</si>
  <si>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</si>
  <si>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</si>
  <si>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</si>
  <si>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</si>
  <si>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</si>
  <si>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</si>
  <si>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</si>
  <si>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</si>
  <si>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</si>
  <si>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</si>
  <si>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</si>
  <si>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</si>
  <si>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</si>
  <si>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</si>
  <si>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</si>
  <si>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</si>
  <si>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</si>
  <si>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</si>
  <si>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</si>
  <si>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</si>
  <si>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</si>
  <si>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</si>
  <si>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</si>
  <si>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</si>
  <si>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</si>
  <si>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</si>
  <si>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</si>
  <si>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</si>
  <si>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</si>
  <si>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</si>
  <si>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</si>
  <si>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</si>
  <si>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</si>
  <si>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</si>
  <si>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</si>
  <si>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</si>
  <si>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</si>
  <si>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</si>
  <si>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</si>
  <si>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</si>
  <si>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</si>
  <si>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</si>
  <si>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</si>
  <si>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</si>
  <si>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</si>
  <si>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</si>
  <si>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</si>
  <si>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</si>
  <si>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</si>
  <si>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</si>
  <si>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</si>
  <si>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</si>
  <si>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</si>
  <si>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</si>
  <si>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</si>
  <si>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</si>
  <si>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</si>
  <si>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</si>
  <si>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</si>
  <si>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</si>
  <si>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</si>
  <si>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</si>
  <si>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</si>
  <si>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</si>
  <si>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</si>
  <si>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</si>
  <si>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</si>
  <si>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</si>
  <si>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</si>
  <si>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</si>
  <si>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</si>
  <si>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</si>
  <si>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</si>
  <si>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</si>
  <si>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</si>
  <si>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</si>
  <si>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</si>
  <si>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</si>
  <si>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</si>
  <si>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</si>
  <si>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</si>
  <si>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</si>
  <si>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</si>
  <si>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</si>
  <si>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</si>
  <si>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</si>
  <si>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</si>
  <si>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</si>
  <si>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</si>
  <si>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</si>
  <si>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</si>
  <si>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</si>
  <si>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</si>
  <si>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</si>
  <si>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</si>
  <si>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</si>
  <si>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</si>
  <si>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</si>
  <si>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</si>
  <si>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</si>
  <si>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</si>
  <si>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</si>
  <si>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</si>
  <si>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</si>
  <si>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</si>
  <si>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</si>
  <si>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</si>
  <si>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</si>
  <si>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</si>
  <si>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</si>
  <si>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</si>
  <si>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</si>
  <si>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</si>
  <si>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</si>
  <si>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</si>
  <si>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</si>
  <si>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</si>
  <si>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</si>
  <si>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</si>
  <si>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</si>
  <si>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</si>
  <si>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</si>
  <si>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</si>
  <si>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</si>
  <si>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</si>
  <si>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</si>
  <si>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</si>
  <si>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</si>
  <si>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</si>
  <si>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</si>
  <si>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</si>
  <si>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</si>
  <si>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</si>
  <si>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</si>
  <si>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</si>
  <si>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</si>
  <si>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</si>
  <si>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</si>
  <si>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</si>
  <si>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</si>
  <si>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</si>
  <si>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</si>
  <si>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</si>
  <si>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</si>
  <si>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</si>
  <si>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</si>
  <si>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</si>
  <si>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</si>
  <si>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</si>
  <si>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</si>
  <si>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</si>
  <si>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</si>
  <si>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</si>
  <si>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</si>
  <si>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</si>
  <si>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</si>
  <si>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</si>
  <si>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</si>
  <si>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</si>
  <si>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</si>
  <si>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</si>
  <si>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</si>
  <si>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</si>
  <si>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</si>
  <si>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</si>
  <si>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</si>
  <si>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</si>
  <si>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</si>
  <si>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</si>
  <si>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</si>
  <si>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</si>
  <si>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</si>
  <si>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</si>
  <si>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</si>
  <si>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</si>
  <si>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</si>
  <si>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</si>
  <si>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</si>
  <si>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</si>
  <si>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</si>
  <si>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</si>
  <si>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</si>
  <si>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</si>
  <si>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</si>
  <si>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</si>
  <si>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</si>
  <si>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</si>
  <si>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</si>
  <si>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</si>
  <si>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</si>
  <si>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</si>
  <si>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</si>
  <si>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</si>
  <si>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</si>
  <si>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</si>
  <si>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</si>
  <si>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</si>
  <si>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</si>
  <si>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</si>
  <si>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</si>
  <si>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</si>
  <si>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</si>
  <si>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</si>
  <si>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</si>
  <si>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</si>
  <si>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</si>
  <si>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</si>
  <si>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</si>
  <si>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</si>
  <si>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</si>
  <si>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</si>
  <si>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</si>
  <si>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</si>
  <si>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</si>
  <si>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</si>
  <si>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</si>
  <si>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</si>
  <si>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</si>
  <si>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</si>
  <si>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</si>
  <si>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</si>
  <si>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</si>
  <si>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</si>
  <si>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</si>
  <si>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</si>
  <si>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</si>
  <si>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</si>
  <si>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</si>
  <si>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</si>
  <si>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</si>
  <si>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</si>
  <si>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</si>
  <si>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</si>
  <si>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</si>
  <si>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</si>
  <si>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</si>
  <si>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</si>
  <si>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</si>
  <si>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</si>
  <si>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</si>
  <si>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</si>
  <si>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</si>
  <si>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</si>
  <si>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</si>
  <si>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</si>
  <si>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</si>
  <si>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</si>
  <si>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</si>
  <si>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</si>
  <si>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</si>
  <si>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</si>
  <si>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</si>
  <si>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</si>
  <si>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</si>
  <si>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</si>
  <si>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</si>
  <si>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</si>
  <si>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</si>
  <si>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</si>
  <si>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</si>
  <si>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</si>
  <si>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</si>
  <si>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</si>
  <si>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</si>
  <si>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</si>
  <si>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</si>
  <si>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</si>
  <si>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</si>
  <si>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</si>
  <si>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</si>
  <si>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</si>
  <si>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</si>
  <si>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</si>
  <si>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</si>
  <si>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</si>
  <si>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</si>
  <si>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</si>
  <si>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</si>
  <si>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</si>
  <si>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</si>
  <si>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</si>
  <si>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</si>
  <si>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</si>
  <si>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</si>
  <si>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</si>
  <si>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</si>
  <si>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</si>
  <si>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</si>
  <si>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</si>
  <si>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</si>
  <si>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</si>
  <si>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</si>
  <si>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</si>
  <si>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</si>
  <si>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</si>
  <si>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</si>
  <si>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</si>
  <si>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</si>
  <si>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</si>
  <si>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</si>
  <si>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</si>
  <si>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</si>
  <si>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</si>
  <si>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</si>
  <si>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</si>
  <si>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</si>
  <si>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</si>
  <si>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</si>
  <si>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</si>
  <si>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</si>
  <si>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</si>
  <si>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</si>
  <si>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</si>
  <si>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</si>
  <si>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</si>
  <si>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</si>
  <si>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</si>
  <si>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</si>
  <si>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</si>
  <si>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</si>
  <si>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</si>
  <si>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</si>
  <si>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</si>
  <si>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</si>
  <si>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</si>
  <si>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</si>
  <si>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</si>
  <si>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</si>
  <si>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</si>
  <si>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</si>
  <si>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</si>
  <si>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</si>
  <si>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</si>
  <si>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</si>
  <si>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</si>
  <si>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</si>
  <si>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</si>
  <si>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</si>
  <si>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</si>
  <si>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</si>
  <si>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</si>
  <si>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</si>
  <si>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</si>
  <si>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</si>
  <si>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</si>
  <si>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</si>
  <si>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</si>
  <si>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</si>
  <si>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</si>
  <si>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</si>
  <si>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</si>
  <si>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</si>
  <si>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</si>
  <si>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</si>
  <si>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</si>
  <si>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</si>
  <si>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</si>
  <si>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</si>
  <si>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</si>
  <si>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</si>
  <si>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</si>
  <si>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</si>
  <si>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</si>
  <si>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</si>
  <si>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</si>
  <si>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</si>
  <si>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</si>
  <si>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</si>
  <si>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</si>
  <si>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</si>
  <si>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</si>
  <si>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</si>
  <si>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</si>
  <si>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</si>
  <si>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</si>
  <si>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</si>
  <si>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</si>
  <si>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</si>
  <si>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</si>
  <si>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</si>
  <si>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</si>
  <si>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</si>
  <si>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</si>
  <si>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</si>
  <si>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</si>
  <si>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</si>
  <si>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</si>
  <si>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</si>
  <si>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</si>
  <si>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</si>
  <si>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</si>
  <si>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</si>
  <si>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</si>
  <si>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</si>
  <si>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</si>
  <si>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</si>
  <si>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</si>
  <si>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</si>
  <si>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</si>
  <si>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</si>
  <si>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</si>
  <si>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</si>
  <si>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</si>
  <si>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</si>
  <si>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</si>
  <si>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</si>
  <si>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</si>
  <si>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</si>
  <si>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</si>
  <si>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</si>
  <si>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</si>
  <si>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</si>
  <si>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</si>
  <si>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</si>
  <si>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</si>
  <si>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</si>
  <si>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</si>
  <si>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</si>
  <si>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</si>
  <si>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</si>
  <si>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</si>
  <si>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</si>
  <si>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</si>
  <si>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</si>
  <si>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</si>
  <si>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</si>
  <si>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</si>
  <si>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</si>
  <si>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</si>
  <si>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</si>
  <si>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</si>
  <si>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</si>
  <si>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</si>
  <si>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</si>
  <si>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</si>
  <si>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</si>
  <si>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</si>
  <si>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</si>
  <si>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</si>
  <si>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</si>
  <si>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</si>
  <si>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</si>
  <si>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</si>
  <si>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</si>
  <si>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</si>
  <si>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</si>
  <si>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</si>
  <si>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</si>
  <si>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</si>
  <si>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</si>
  <si>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</si>
  <si>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</si>
  <si>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</si>
  <si>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</si>
  <si>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</si>
  <si>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</si>
  <si>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</si>
  <si>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</si>
  <si>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</si>
  <si>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</si>
  <si>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</si>
  <si>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</si>
  <si>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</si>
  <si>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</si>
  <si>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</si>
  <si>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</si>
  <si>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</si>
  <si>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</si>
  <si>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</si>
  <si>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</si>
  <si>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</si>
  <si>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</si>
  <si>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</si>
  <si>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</si>
  <si>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</si>
  <si>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</si>
  <si>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</si>
  <si>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</si>
  <si>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</si>
  <si>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</si>
  <si>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</si>
  <si>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</si>
  <si>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</si>
  <si>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</si>
  <si>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</si>
  <si>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</si>
  <si>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</si>
  <si>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</si>
  <si>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</si>
  <si>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</si>
  <si>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</si>
  <si>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</si>
  <si>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</si>
  <si>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</si>
  <si>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</si>
  <si>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</si>
  <si>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</si>
  <si>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</si>
  <si>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</si>
  <si>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</si>
  <si>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</si>
  <si>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</si>
  <si>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</si>
  <si>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</si>
  <si>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</si>
  <si>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</si>
  <si>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</si>
  <si>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</si>
  <si>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</si>
  <si>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</si>
  <si>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</si>
  <si>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</si>
  <si>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</si>
  <si>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</si>
  <si>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</si>
  <si>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</si>
  <si>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</si>
  <si>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</si>
  <si>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</si>
  <si>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</si>
  <si>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</si>
  <si>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</si>
  <si>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</si>
  <si>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</si>
  <si>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</si>
  <si>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</si>
  <si>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</si>
  <si>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</si>
  <si>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</si>
  <si>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</si>
  <si>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</si>
  <si>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</si>
  <si>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</si>
  <si>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</si>
  <si>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</si>
  <si>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</si>
  <si>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</si>
  <si>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</si>
  <si>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</si>
  <si>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</si>
  <si>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</si>
  <si>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</si>
  <si>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</si>
  <si>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</si>
  <si>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</si>
  <si>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</si>
  <si>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</si>
  <si>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</si>
  <si>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</si>
  <si>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</si>
  <si>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</si>
  <si>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</si>
  <si>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</si>
  <si>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</si>
  <si>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</si>
  <si>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</si>
  <si>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</si>
  <si>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</si>
  <si>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</si>
  <si>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</si>
  <si>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</si>
  <si>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</si>
  <si>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</si>
  <si>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</si>
  <si>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</si>
  <si>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</si>
  <si>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</si>
  <si>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</si>
  <si>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</si>
  <si>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</si>
  <si>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</si>
  <si>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</si>
  <si>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</si>
  <si>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</si>
  <si>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</si>
  <si>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</si>
  <si>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</si>
  <si>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</si>
  <si>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</si>
  <si>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</si>
  <si>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</si>
  <si>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</si>
  <si>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</si>
  <si>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</si>
  <si>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</si>
  <si>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</si>
  <si>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</si>
  <si>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</si>
  <si>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</si>
  <si>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</si>
  <si>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</si>
  <si>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</si>
  <si>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</si>
  <si>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</si>
  <si>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</si>
  <si>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</si>
  <si>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</si>
  <si>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</si>
  <si>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</si>
  <si>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</si>
  <si>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</si>
  <si>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</si>
  <si>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</si>
  <si>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</si>
  <si>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</si>
  <si>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</si>
  <si>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</si>
  <si>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</si>
  <si>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</si>
  <si>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</si>
  <si>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</si>
  <si>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</si>
  <si>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</si>
  <si>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</si>
  <si>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</si>
  <si>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</si>
  <si>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</si>
  <si>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</si>
  <si>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</si>
  <si>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</si>
  <si>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</si>
  <si>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</si>
  <si>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</si>
  <si>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</si>
  <si>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</si>
  <si>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</si>
  <si>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</si>
  <si>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</si>
  <si>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</si>
  <si>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</si>
  <si>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</si>
  <si>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</si>
  <si>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</si>
  <si>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</si>
  <si>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</si>
  <si>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</si>
  <si>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</si>
  <si>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</si>
  <si>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</si>
  <si>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</si>
  <si>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</si>
  <si>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</si>
  <si>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</si>
  <si>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</si>
  <si>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</si>
  <si>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</si>
  <si>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</si>
  <si>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</si>
  <si>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</si>
  <si>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</si>
  <si>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</si>
  <si>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</si>
  <si>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</si>
  <si>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</si>
  <si>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</si>
  <si>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</si>
  <si>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</si>
  <si>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</si>
  <si>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</si>
  <si>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</si>
  <si>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</si>
  <si>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</si>
  <si>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</si>
  <si>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</si>
  <si>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</si>
  <si>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</si>
  <si>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</si>
  <si>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</si>
  <si>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</si>
  <si>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</si>
  <si>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</si>
  <si>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</si>
  <si>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</si>
  <si>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</si>
  <si>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</si>
  <si>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</si>
  <si>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</si>
  <si>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</si>
  <si>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</si>
  <si>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</si>
  <si>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</si>
  <si>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</si>
  <si>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</si>
  <si>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</si>
  <si>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</si>
  <si>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</si>
  <si>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</si>
  <si>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</si>
  <si>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</si>
  <si>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</si>
  <si>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</si>
  <si>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</si>
  <si>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</si>
  <si>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</si>
  <si>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</si>
  <si>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</si>
  <si>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</si>
  <si>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</si>
  <si>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</si>
  <si>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</si>
  <si>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</si>
  <si>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</si>
  <si>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</si>
  <si>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</si>
  <si>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</si>
  <si>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</si>
  <si>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</si>
  <si>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</si>
  <si>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</si>
  <si>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</si>
  <si>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</si>
  <si>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</si>
  <si>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</si>
  <si>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</si>
  <si>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</si>
  <si>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</si>
  <si>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</si>
  <si>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</si>
  <si>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</si>
  <si>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</si>
  <si>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</si>
  <si>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</si>
  <si>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</si>
  <si>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</si>
  <si>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</si>
  <si>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</si>
  <si>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</si>
  <si>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</si>
  <si>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</si>
  <si>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</si>
  <si>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</si>
  <si>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</si>
  <si>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</si>
  <si>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</si>
  <si>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</si>
  <si>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</si>
  <si>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</si>
  <si>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</si>
  <si>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</si>
  <si>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</si>
  <si>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</si>
  <si>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</si>
  <si>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</si>
  <si>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</si>
  <si>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</si>
  <si>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</si>
  <si>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</si>
  <si>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</si>
  <si>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</si>
  <si>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</si>
  <si>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</si>
  <si>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</si>
  <si>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</si>
  <si>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</si>
  <si>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</si>
  <si>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</si>
  <si>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</si>
  <si>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</si>
  <si>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</si>
  <si>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</si>
  <si>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</si>
  <si>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</si>
  <si>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</si>
  <si>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</si>
  <si>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</si>
  <si>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</si>
  <si>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</si>
  <si>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</si>
  <si>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</si>
  <si>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</si>
  <si>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</si>
  <si>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</si>
  <si>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</si>
  <si>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</si>
  <si>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</si>
  <si>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</si>
  <si>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</si>
  <si>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</si>
  <si>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</si>
  <si>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</si>
  <si>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</si>
  <si>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</si>
  <si>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</si>
  <si>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</si>
  <si>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</si>
  <si>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</si>
  <si>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</si>
  <si>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</si>
  <si>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</si>
  <si>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</si>
  <si>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</si>
  <si>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</si>
  <si>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</si>
  <si>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</si>
  <si>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</si>
  <si>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</si>
  <si>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</si>
  <si>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</si>
  <si>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</si>
  <si>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</si>
  <si>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</si>
  <si>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</si>
  <si>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</si>
  <si>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</si>
  <si>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</si>
  <si>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</si>
  <si>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</si>
  <si>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</si>
  <si>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</si>
  <si>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</si>
  <si>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</si>
  <si>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</si>
  <si>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13010</t>
  </si>
  <si>
    <t>GROBBENDONK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</si>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</sst>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99875.321506108914</c:v>
                </c:pt>
                <c:pt idx="1">
                  <c:v>45016.547454365624</c:v>
                </c:pt>
                <c:pt idx="2">
                  <c:v>568.87</c:v>
                </c:pt>
                <c:pt idx="3">
                  <c:v>2559.2093168398501</c:v>
                </c:pt>
                <c:pt idx="4">
                  <c:v>91695.053171394931</c:v>
                </c:pt>
                <c:pt idx="5">
                  <c:v>232269.4639105227</c:v>
                </c:pt>
                <c:pt idx="6">
                  <c:v>965.12665225708417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99875.321506108914</c:v>
                </c:pt>
                <c:pt idx="1">
                  <c:v>45016.547454365624</c:v>
                </c:pt>
                <c:pt idx="2">
                  <c:v>568.87</c:v>
                </c:pt>
                <c:pt idx="3">
                  <c:v>2559.2093168398501</c:v>
                </c:pt>
                <c:pt idx="4">
                  <c:v>91695.053171394931</c:v>
                </c:pt>
                <c:pt idx="5">
                  <c:v>232269.4639105227</c:v>
                </c:pt>
                <c:pt idx="6">
                  <c:v>965.12665225708417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18037.682109593003</c:v>
                </c:pt>
                <c:pt idx="1">
                  <c:v>8600.2731020298907</c:v>
                </c:pt>
                <c:pt idx="2">
                  <c:v>118.12541262601258</c:v>
                </c:pt>
                <c:pt idx="3">
                  <c:v>661.28550697292121</c:v>
                </c:pt>
                <c:pt idx="4">
                  <c:v>18961.586932934431</c:v>
                </c:pt>
                <c:pt idx="5">
                  <c:v>57934.054985285089</c:v>
                </c:pt>
                <c:pt idx="6">
                  <c:v>244.12259027945871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18037.682109593003</c:v>
                </c:pt>
                <c:pt idx="1">
                  <c:v>8600.2731020298907</c:v>
                </c:pt>
                <c:pt idx="2">
                  <c:v>118.12541262601258</c:v>
                </c:pt>
                <c:pt idx="3">
                  <c:v>661.28550697292121</c:v>
                </c:pt>
                <c:pt idx="4">
                  <c:v>18961.586932934431</c:v>
                </c:pt>
                <c:pt idx="5">
                  <c:v>57934.054985285089</c:v>
                </c:pt>
                <c:pt idx="6">
                  <c:v>244.12259027945871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13010</v>
      </c>
      <c r="B6" s="390"/>
      <c r="C6" s="391"/>
    </row>
    <row r="7" spans="1:7" s="388" customFormat="1" ht="15.75" customHeight="1">
      <c r="A7" s="392" t="str">
        <f>txtMunicipality</f>
        <v>GROBBENDONK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0.20764922148471984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0.20764922148471984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4694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752.75</v>
      </c>
      <c r="C14" s="330"/>
      <c r="D14" s="330"/>
      <c r="E14" s="330"/>
      <c r="F14" s="330"/>
    </row>
    <row r="15" spans="1:6">
      <c r="A15" s="1298" t="s">
        <v>183</v>
      </c>
      <c r="B15" s="1299">
        <v>297</v>
      </c>
      <c r="C15" s="330"/>
      <c r="D15" s="330"/>
      <c r="E15" s="330"/>
      <c r="F15" s="330"/>
    </row>
    <row r="16" spans="1:6">
      <c r="A16" s="1298" t="s">
        <v>6</v>
      </c>
      <c r="B16" s="1299">
        <v>710</v>
      </c>
      <c r="C16" s="330"/>
      <c r="D16" s="330"/>
      <c r="E16" s="330"/>
      <c r="F16" s="330"/>
    </row>
    <row r="17" spans="1:6">
      <c r="A17" s="1298" t="s">
        <v>7</v>
      </c>
      <c r="B17" s="1299">
        <v>5</v>
      </c>
      <c r="C17" s="330"/>
      <c r="D17" s="330"/>
      <c r="E17" s="330"/>
      <c r="F17" s="330"/>
    </row>
    <row r="18" spans="1:6">
      <c r="A18" s="1298" t="s">
        <v>8</v>
      </c>
      <c r="B18" s="1299">
        <v>381</v>
      </c>
      <c r="C18" s="330"/>
      <c r="D18" s="330"/>
      <c r="E18" s="330"/>
      <c r="F18" s="330"/>
    </row>
    <row r="19" spans="1:6">
      <c r="A19" s="1298" t="s">
        <v>9</v>
      </c>
      <c r="B19" s="1299">
        <v>369</v>
      </c>
      <c r="C19" s="330"/>
      <c r="D19" s="330"/>
      <c r="E19" s="330"/>
      <c r="F19" s="330"/>
    </row>
    <row r="20" spans="1:6">
      <c r="A20" s="1298" t="s">
        <v>10</v>
      </c>
      <c r="B20" s="1299">
        <v>127</v>
      </c>
      <c r="C20" s="330"/>
      <c r="D20" s="330"/>
      <c r="E20" s="330"/>
      <c r="F20" s="330"/>
    </row>
    <row r="21" spans="1:6">
      <c r="A21" s="1298" t="s">
        <v>11</v>
      </c>
      <c r="B21" s="1299">
        <v>780</v>
      </c>
      <c r="C21" s="330"/>
      <c r="D21" s="330"/>
      <c r="E21" s="330"/>
      <c r="F21" s="330"/>
    </row>
    <row r="22" spans="1:6">
      <c r="A22" s="1298" t="s">
        <v>12</v>
      </c>
      <c r="B22" s="1299">
        <v>3464</v>
      </c>
      <c r="C22" s="330"/>
      <c r="D22" s="330"/>
      <c r="E22" s="330"/>
      <c r="F22" s="330"/>
    </row>
    <row r="23" spans="1:6">
      <c r="A23" s="1298" t="s">
        <v>13</v>
      </c>
      <c r="B23" s="1299">
        <v>17</v>
      </c>
      <c r="C23" s="330"/>
      <c r="D23" s="330"/>
      <c r="E23" s="330"/>
      <c r="F23" s="330"/>
    </row>
    <row r="24" spans="1:6">
      <c r="A24" s="1298" t="s">
        <v>14</v>
      </c>
      <c r="B24" s="1299">
        <v>2</v>
      </c>
      <c r="C24" s="330"/>
      <c r="D24" s="330"/>
      <c r="E24" s="330"/>
      <c r="F24" s="330"/>
    </row>
    <row r="25" spans="1:6">
      <c r="A25" s="1298" t="s">
        <v>15</v>
      </c>
      <c r="B25" s="1299">
        <v>178</v>
      </c>
      <c r="C25" s="330"/>
      <c r="D25" s="330"/>
      <c r="E25" s="330"/>
      <c r="F25" s="330"/>
    </row>
    <row r="26" spans="1:6">
      <c r="A26" s="1298" t="s">
        <v>16</v>
      </c>
      <c r="B26" s="1299">
        <v>36</v>
      </c>
      <c r="C26" s="330"/>
      <c r="D26" s="330"/>
      <c r="E26" s="330"/>
      <c r="F26" s="330"/>
    </row>
    <row r="27" spans="1:6">
      <c r="A27" s="1298" t="s">
        <v>17</v>
      </c>
      <c r="B27" s="1299">
        <v>4</v>
      </c>
      <c r="C27" s="330"/>
      <c r="D27" s="330"/>
      <c r="E27" s="330"/>
      <c r="F27" s="330"/>
    </row>
    <row r="28" spans="1:6" s="43" customFormat="1">
      <c r="A28" s="1300" t="s">
        <v>18</v>
      </c>
      <c r="B28" s="1301">
        <v>0</v>
      </c>
      <c r="C28" s="336"/>
      <c r="D28" s="336"/>
      <c r="E28" s="336"/>
      <c r="F28" s="336"/>
    </row>
    <row r="29" spans="1:6">
      <c r="A29" s="1300" t="s">
        <v>705</v>
      </c>
      <c r="B29" s="1301">
        <v>264</v>
      </c>
      <c r="C29" s="336"/>
      <c r="D29" s="336"/>
      <c r="E29" s="336"/>
      <c r="F29" s="336"/>
    </row>
    <row r="30" spans="1:6">
      <c r="A30" s="1293" t="s">
        <v>706</v>
      </c>
      <c r="B30" s="1302">
        <v>58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288981</v>
      </c>
      <c r="E38" s="1299">
        <v>4</v>
      </c>
      <c r="F38" s="1299">
        <v>27987.530999999999</v>
      </c>
    </row>
    <row r="39" spans="1:6">
      <c r="A39" s="1298" t="s">
        <v>29</v>
      </c>
      <c r="B39" s="1298" t="s">
        <v>30</v>
      </c>
      <c r="C39" s="1299">
        <v>3102</v>
      </c>
      <c r="D39" s="1299">
        <v>54393314.748999998</v>
      </c>
      <c r="E39" s="1299">
        <v>4549</v>
      </c>
      <c r="F39" s="1299">
        <v>18631336.289999999</v>
      </c>
    </row>
    <row r="40" spans="1:6">
      <c r="A40" s="1298" t="s">
        <v>29</v>
      </c>
      <c r="B40" s="1298" t="s">
        <v>28</v>
      </c>
      <c r="C40" s="1299">
        <v>0</v>
      </c>
      <c r="D40" s="1299">
        <v>0</v>
      </c>
      <c r="E40" s="1299">
        <v>0</v>
      </c>
      <c r="F40" s="1299">
        <v>0</v>
      </c>
    </row>
    <row r="41" spans="1:6">
      <c r="A41" s="1298" t="s">
        <v>31</v>
      </c>
      <c r="B41" s="1298" t="s">
        <v>32</v>
      </c>
      <c r="C41" s="1299">
        <v>47</v>
      </c>
      <c r="D41" s="1299">
        <v>12776164.199999999</v>
      </c>
      <c r="E41" s="1299">
        <v>78</v>
      </c>
      <c r="F41" s="1299">
        <v>911404.92</v>
      </c>
    </row>
    <row r="42" spans="1:6">
      <c r="A42" s="1298" t="s">
        <v>31</v>
      </c>
      <c r="B42" s="1298" t="s">
        <v>33</v>
      </c>
      <c r="C42" s="1299">
        <v>3</v>
      </c>
      <c r="D42" s="1299">
        <v>10821889</v>
      </c>
      <c r="E42" s="1299">
        <v>0</v>
      </c>
      <c r="F42" s="1299">
        <v>0</v>
      </c>
    </row>
    <row r="43" spans="1:6">
      <c r="A43" s="1298" t="s">
        <v>31</v>
      </c>
      <c r="B43" s="1298" t="s">
        <v>34</v>
      </c>
      <c r="C43" s="1299">
        <v>0</v>
      </c>
      <c r="D43" s="1299">
        <v>0</v>
      </c>
      <c r="E43" s="1299">
        <v>0</v>
      </c>
      <c r="F43" s="1299">
        <v>0</v>
      </c>
    </row>
    <row r="44" spans="1:6">
      <c r="A44" s="1298" t="s">
        <v>31</v>
      </c>
      <c r="B44" s="1298" t="s">
        <v>35</v>
      </c>
      <c r="C44" s="1299">
        <v>7</v>
      </c>
      <c r="D44" s="1299">
        <v>1544776</v>
      </c>
      <c r="E44" s="1299">
        <v>7</v>
      </c>
      <c r="F44" s="1299">
        <v>70311.307000000001</v>
      </c>
    </row>
    <row r="45" spans="1:6">
      <c r="A45" s="1298" t="s">
        <v>31</v>
      </c>
      <c r="B45" s="1298" t="s">
        <v>36</v>
      </c>
      <c r="C45" s="1299">
        <v>0</v>
      </c>
      <c r="D45" s="1299">
        <v>0</v>
      </c>
      <c r="E45" s="1299">
        <v>7</v>
      </c>
      <c r="F45" s="1299">
        <v>3443691.1710000001</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5</v>
      </c>
      <c r="D48" s="1299">
        <v>10022355</v>
      </c>
      <c r="E48" s="1299">
        <v>54</v>
      </c>
      <c r="F48" s="1299">
        <v>38810105.509999998</v>
      </c>
    </row>
    <row r="49" spans="1:6">
      <c r="A49" s="1298" t="s">
        <v>31</v>
      </c>
      <c r="B49" s="1298" t="s">
        <v>39</v>
      </c>
      <c r="C49" s="1299">
        <v>0</v>
      </c>
      <c r="D49" s="1299">
        <v>0</v>
      </c>
      <c r="E49" s="1299">
        <v>0</v>
      </c>
      <c r="F49" s="1299">
        <v>0</v>
      </c>
    </row>
    <row r="50" spans="1:6">
      <c r="A50" s="1298" t="s">
        <v>31</v>
      </c>
      <c r="B50" s="1298" t="s">
        <v>40</v>
      </c>
      <c r="C50" s="1299">
        <v>10</v>
      </c>
      <c r="D50" s="1299">
        <v>2145844</v>
      </c>
      <c r="E50" s="1299">
        <v>6</v>
      </c>
      <c r="F50" s="1299">
        <v>710677.26699999999</v>
      </c>
    </row>
    <row r="51" spans="1:6">
      <c r="A51" s="1298" t="s">
        <v>41</v>
      </c>
      <c r="B51" s="1298" t="s">
        <v>42</v>
      </c>
      <c r="C51" s="1299">
        <v>3</v>
      </c>
      <c r="D51" s="1299">
        <v>51310</v>
      </c>
      <c r="E51" s="1299">
        <v>19</v>
      </c>
      <c r="F51" s="1299">
        <v>263648.55300000001</v>
      </c>
    </row>
    <row r="52" spans="1:6">
      <c r="A52" s="1298" t="s">
        <v>41</v>
      </c>
      <c r="B52" s="1298" t="s">
        <v>28</v>
      </c>
      <c r="C52" s="1299">
        <v>0</v>
      </c>
      <c r="D52" s="1299">
        <v>0</v>
      </c>
      <c r="E52" s="1299">
        <v>12</v>
      </c>
      <c r="F52" s="1299">
        <v>255462.644</v>
      </c>
    </row>
    <row r="53" spans="1:6">
      <c r="A53" s="1298" t="s">
        <v>43</v>
      </c>
      <c r="B53" s="1298" t="s">
        <v>44</v>
      </c>
      <c r="C53" s="1299">
        <v>51</v>
      </c>
      <c r="D53" s="1299">
        <v>2084377.4950000001</v>
      </c>
      <c r="E53" s="1299">
        <v>147</v>
      </c>
      <c r="F53" s="1299">
        <v>522477.54399999999</v>
      </c>
    </row>
    <row r="54" spans="1:6">
      <c r="A54" s="1298" t="s">
        <v>45</v>
      </c>
      <c r="B54" s="1298" t="s">
        <v>46</v>
      </c>
      <c r="C54" s="1299">
        <v>0</v>
      </c>
      <c r="D54" s="1299">
        <v>0</v>
      </c>
      <c r="E54" s="1299">
        <v>1</v>
      </c>
      <c r="F54" s="1299">
        <v>568870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30</v>
      </c>
      <c r="D57" s="1299">
        <v>2299525.2000000002</v>
      </c>
      <c r="E57" s="1299">
        <v>32</v>
      </c>
      <c r="F57" s="1299">
        <v>5153639.8830000004</v>
      </c>
    </row>
    <row r="58" spans="1:6">
      <c r="A58" s="1298" t="s">
        <v>48</v>
      </c>
      <c r="B58" s="1298" t="s">
        <v>50</v>
      </c>
      <c r="C58" s="1299">
        <v>27</v>
      </c>
      <c r="D58" s="1299">
        <v>1607529</v>
      </c>
      <c r="E58" s="1299">
        <v>22</v>
      </c>
      <c r="F58" s="1299">
        <v>265390.185</v>
      </c>
    </row>
    <row r="59" spans="1:6">
      <c r="A59" s="1298" t="s">
        <v>48</v>
      </c>
      <c r="B59" s="1298" t="s">
        <v>51</v>
      </c>
      <c r="C59" s="1299">
        <v>69</v>
      </c>
      <c r="D59" s="1299">
        <v>3899126.7</v>
      </c>
      <c r="E59" s="1299">
        <v>120</v>
      </c>
      <c r="F59" s="1299">
        <v>3359467.034</v>
      </c>
    </row>
    <row r="60" spans="1:6">
      <c r="A60" s="1298" t="s">
        <v>48</v>
      </c>
      <c r="B60" s="1298" t="s">
        <v>52</v>
      </c>
      <c r="C60" s="1299">
        <v>51</v>
      </c>
      <c r="D60" s="1299">
        <v>2836779</v>
      </c>
      <c r="E60" s="1299">
        <v>65</v>
      </c>
      <c r="F60" s="1299">
        <v>1435072.409</v>
      </c>
    </row>
    <row r="61" spans="1:6">
      <c r="A61" s="1298" t="s">
        <v>48</v>
      </c>
      <c r="B61" s="1298" t="s">
        <v>53</v>
      </c>
      <c r="C61" s="1299">
        <v>125</v>
      </c>
      <c r="D61" s="1299">
        <v>6221517.6430000002</v>
      </c>
      <c r="E61" s="1299">
        <v>161</v>
      </c>
      <c r="F61" s="1299">
        <v>5544306.0109999999</v>
      </c>
    </row>
    <row r="62" spans="1:6">
      <c r="A62" s="1298" t="s">
        <v>48</v>
      </c>
      <c r="B62" s="1298" t="s">
        <v>54</v>
      </c>
      <c r="C62" s="1299">
        <v>0</v>
      </c>
      <c r="D62" s="1299">
        <v>0</v>
      </c>
      <c r="E62" s="1299">
        <v>0</v>
      </c>
      <c r="F62" s="1299">
        <v>0</v>
      </c>
    </row>
    <row r="63" spans="1:6">
      <c r="A63" s="1298" t="s">
        <v>48</v>
      </c>
      <c r="B63" s="1298" t="s">
        <v>28</v>
      </c>
      <c r="C63" s="1299">
        <v>0</v>
      </c>
      <c r="D63" s="1299">
        <v>0</v>
      </c>
      <c r="E63" s="1299">
        <v>140</v>
      </c>
      <c r="F63" s="1299">
        <v>6993543.0930000003</v>
      </c>
    </row>
    <row r="64" spans="1:6">
      <c r="A64" s="1298" t="s">
        <v>55</v>
      </c>
      <c r="B64" s="1298" t="s">
        <v>56</v>
      </c>
      <c r="C64" s="1299">
        <v>0</v>
      </c>
      <c r="D64" s="1299">
        <v>0</v>
      </c>
      <c r="E64" s="1299">
        <v>0</v>
      </c>
      <c r="F64" s="1299">
        <v>0</v>
      </c>
    </row>
    <row r="65" spans="1:6">
      <c r="A65" s="1298" t="s">
        <v>55</v>
      </c>
      <c r="B65" s="1298" t="s">
        <v>28</v>
      </c>
      <c r="C65" s="1299">
        <v>0</v>
      </c>
      <c r="D65" s="1299">
        <v>0</v>
      </c>
      <c r="E65" s="1299">
        <v>4</v>
      </c>
      <c r="F65" s="1299">
        <v>115709.788</v>
      </c>
    </row>
    <row r="66" spans="1:6">
      <c r="A66" s="1298" t="s">
        <v>55</v>
      </c>
      <c r="B66" s="1298" t="s">
        <v>57</v>
      </c>
      <c r="C66" s="1299">
        <v>0</v>
      </c>
      <c r="D66" s="1299">
        <v>0</v>
      </c>
      <c r="E66" s="1299">
        <v>7</v>
      </c>
      <c r="F66" s="1299">
        <v>336381.49699999997</v>
      </c>
    </row>
    <row r="67" spans="1:6">
      <c r="A67" s="1300" t="s">
        <v>55</v>
      </c>
      <c r="B67" s="1300" t="s">
        <v>58</v>
      </c>
      <c r="C67" s="1299">
        <v>0</v>
      </c>
      <c r="D67" s="1299">
        <v>0</v>
      </c>
      <c r="E67" s="1299">
        <v>0</v>
      </c>
      <c r="F67" s="1299">
        <v>0</v>
      </c>
    </row>
    <row r="68" spans="1:6">
      <c r="A68" s="1293" t="s">
        <v>55</v>
      </c>
      <c r="B68" s="1293" t="s">
        <v>59</v>
      </c>
      <c r="C68" s="1302">
        <v>3</v>
      </c>
      <c r="D68" s="1302">
        <v>45204</v>
      </c>
      <c r="E68" s="1302">
        <v>8</v>
      </c>
      <c r="F68" s="1302">
        <v>86490.03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70137340</v>
      </c>
      <c r="E73" s="450"/>
      <c r="F73" s="330"/>
    </row>
    <row r="74" spans="1:6">
      <c r="A74" s="1298" t="s">
        <v>63</v>
      </c>
      <c r="B74" s="1298" t="s">
        <v>647</v>
      </c>
      <c r="C74" s="1312" t="s">
        <v>649</v>
      </c>
      <c r="D74" s="1313">
        <v>4056505.5</v>
      </c>
      <c r="E74" s="450"/>
      <c r="F74" s="330"/>
    </row>
    <row r="75" spans="1:6">
      <c r="A75" s="1298" t="s">
        <v>64</v>
      </c>
      <c r="B75" s="1298" t="s">
        <v>646</v>
      </c>
      <c r="C75" s="1312" t="s">
        <v>650</v>
      </c>
      <c r="D75" s="1313">
        <v>6421368</v>
      </c>
      <c r="E75" s="450"/>
      <c r="F75" s="330"/>
    </row>
    <row r="76" spans="1:6">
      <c r="A76" s="1298" t="s">
        <v>64</v>
      </c>
      <c r="B76" s="1298" t="s">
        <v>647</v>
      </c>
      <c r="C76" s="1312" t="s">
        <v>651</v>
      </c>
      <c r="D76" s="1313">
        <v>177408.5</v>
      </c>
      <c r="E76" s="450"/>
      <c r="F76" s="330"/>
    </row>
    <row r="77" spans="1:6">
      <c r="A77" s="1298" t="s">
        <v>65</v>
      </c>
      <c r="B77" s="1298" t="s">
        <v>646</v>
      </c>
      <c r="C77" s="1312" t="s">
        <v>652</v>
      </c>
      <c r="D77" s="1313">
        <v>143210569</v>
      </c>
      <c r="E77" s="450"/>
      <c r="F77" s="330"/>
    </row>
    <row r="78" spans="1:6">
      <c r="A78" s="1293" t="s">
        <v>65</v>
      </c>
      <c r="B78" s="1293" t="s">
        <v>647</v>
      </c>
      <c r="C78" s="1293" t="s">
        <v>653</v>
      </c>
      <c r="D78" s="1314">
        <v>28878298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264935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2659.812601209635</v>
      </c>
      <c r="C91" s="330"/>
      <c r="D91" s="330"/>
      <c r="E91" s="330"/>
      <c r="F91" s="330"/>
    </row>
    <row r="92" spans="1:6">
      <c r="A92" s="1293" t="s">
        <v>68</v>
      </c>
      <c r="B92" s="1294">
        <v>2759.293985017554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1931</v>
      </c>
      <c r="C97" s="330"/>
      <c r="D97" s="330"/>
      <c r="E97" s="330"/>
      <c r="F97" s="330"/>
    </row>
    <row r="98" spans="1:6">
      <c r="A98" s="1298" t="s">
        <v>71</v>
      </c>
      <c r="B98" s="1299">
        <v>5</v>
      </c>
      <c r="C98" s="330"/>
      <c r="D98" s="330"/>
      <c r="E98" s="330"/>
      <c r="F98" s="330"/>
    </row>
    <row r="99" spans="1:6">
      <c r="A99" s="1298" t="s">
        <v>72</v>
      </c>
      <c r="B99" s="1299">
        <v>68</v>
      </c>
      <c r="C99" s="330"/>
      <c r="D99" s="330"/>
      <c r="E99" s="330"/>
      <c r="F99" s="330"/>
    </row>
    <row r="100" spans="1:6">
      <c r="A100" s="1298" t="s">
        <v>73</v>
      </c>
      <c r="B100" s="1299">
        <v>364</v>
      </c>
      <c r="C100" s="330"/>
      <c r="D100" s="330"/>
      <c r="E100" s="330"/>
      <c r="F100" s="330"/>
    </row>
    <row r="101" spans="1:6">
      <c r="A101" s="1298" t="s">
        <v>74</v>
      </c>
      <c r="B101" s="1299">
        <v>85</v>
      </c>
      <c r="C101" s="330"/>
      <c r="D101" s="330"/>
      <c r="E101" s="330"/>
      <c r="F101" s="330"/>
    </row>
    <row r="102" spans="1:6">
      <c r="A102" s="1298" t="s">
        <v>75</v>
      </c>
      <c r="B102" s="1299">
        <v>45</v>
      </c>
      <c r="C102" s="330"/>
      <c r="D102" s="330"/>
      <c r="E102" s="330"/>
      <c r="F102" s="330"/>
    </row>
    <row r="103" spans="1:6">
      <c r="A103" s="1298" t="s">
        <v>76</v>
      </c>
      <c r="B103" s="1299">
        <v>135</v>
      </c>
      <c r="C103" s="330"/>
      <c r="D103" s="330"/>
      <c r="E103" s="330"/>
      <c r="F103" s="330"/>
    </row>
    <row r="104" spans="1:6">
      <c r="A104" s="1298" t="s">
        <v>77</v>
      </c>
      <c r="B104" s="1299">
        <v>1349</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28</v>
      </c>
      <c r="C123" s="1299">
        <v>16</v>
      </c>
      <c r="D123" s="330"/>
      <c r="E123" s="330"/>
      <c r="F123" s="330"/>
    </row>
    <row r="124" spans="1:6" s="43" customFormat="1">
      <c r="A124" s="1300" t="s">
        <v>88</v>
      </c>
      <c r="B124" s="1321">
        <v>4</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77</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22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89704.323548286906</v>
      </c>
      <c r="C3" s="43" t="s">
        <v>169</v>
      </c>
      <c r="D3" s="43"/>
      <c r="E3" s="154"/>
      <c r="F3" s="43"/>
      <c r="G3" s="43"/>
      <c r="H3" s="43"/>
      <c r="I3" s="43"/>
      <c r="J3" s="43"/>
      <c r="K3" s="96"/>
    </row>
    <row r="4" spans="1:11">
      <c r="A4" s="358" t="s">
        <v>170</v>
      </c>
      <c r="B4" s="49">
        <f>IF(ISERROR('SEAP template'!B78+'SEAP template'!C78),0,'SEAP template'!B78+'SEAP template'!C78)</f>
        <v>5419.1065862271889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0.20764922148471984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568.87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568.87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0.20764922148471984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118.12541262601258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18631.336289999999</v>
      </c>
      <c r="C5" s="17">
        <f>IF(ISERROR('Eigen informatie GS &amp; warmtenet'!B59),0,'Eigen informatie GS &amp; warmtenet'!B59)</f>
        <v>0</v>
      </c>
      <c r="D5" s="30">
        <f>(SUM(HH_hh_gas_kWh,HH_rest_gas_kWh)/1000)*0.902</f>
        <v>49062.769903597997</v>
      </c>
      <c r="E5" s="17">
        <f>B46*B57</f>
        <v>8754.323504244383</v>
      </c>
      <c r="F5" s="17">
        <f>B51*B62</f>
        <v>6124.4693612650763</v>
      </c>
      <c r="G5" s="18"/>
      <c r="H5" s="17"/>
      <c r="I5" s="17"/>
      <c r="J5" s="17">
        <f>B50*B61+C50*C61</f>
        <v>235.72695584751489</v>
      </c>
      <c r="K5" s="17"/>
      <c r="L5" s="17"/>
      <c r="M5" s="17"/>
      <c r="N5" s="17">
        <f>B48*B59+C48*C59</f>
        <v>13653.540972926339</v>
      </c>
      <c r="O5" s="17">
        <f>B69*B70*B71</f>
        <v>184.50811440299395</v>
      </c>
      <c r="P5" s="17">
        <f>B77*B78*B79/1000-B77*B78*B79/1000/B80</f>
        <v>568.83380261499121</v>
      </c>
    </row>
    <row r="6" spans="1:16">
      <c r="A6" s="16" t="s">
        <v>611</v>
      </c>
      <c r="B6" s="783">
        <f>kWh_PV_kleiner_dan_10kW</f>
        <v>2659.812601209635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21291.148891209636</v>
      </c>
      <c r="C8" s="21">
        <f>C5</f>
        <v>0</v>
      </c>
      <c r="D8" s="21">
        <f>D5</f>
        <v>49062.769903597997</v>
      </c>
      <c r="E8" s="21">
        <f>E5</f>
        <v>8754.323504244383</v>
      </c>
      <c r="F8" s="21">
        <f>F5</f>
        <v>6124.4693612650763</v>
      </c>
      <c r="G8" s="21"/>
      <c r="H8" s="21"/>
      <c r="I8" s="21"/>
      <c r="J8" s="21">
        <f>J5</f>
        <v>235.72695584751489</v>
      </c>
      <c r="K8" s="21"/>
      <c r="L8" s="21">
        <f>L5</f>
        <v>0</v>
      </c>
      <c r="M8" s="21">
        <f>M5</f>
        <v>0</v>
      </c>
      <c r="N8" s="21">
        <f>N5</f>
        <v>13653.540972926339</v>
      </c>
      <c r="O8" s="21">
        <f>O5</f>
        <v>184.50811440299395</v>
      </c>
      <c r="P8" s="21">
        <f>P5</f>
        <v>568.83380261499121</v>
      </c>
    </row>
    <row r="9" spans="1:16">
      <c r="B9" s="19"/>
      <c r="C9" s="19"/>
      <c r="D9" s="258"/>
      <c r="E9" s="19"/>
      <c r="F9" s="19"/>
      <c r="G9" s="19"/>
      <c r="H9" s="19"/>
      <c r="I9" s="19"/>
      <c r="J9" s="19"/>
      <c r="K9" s="19"/>
      <c r="L9" s="19"/>
      <c r="M9" s="19"/>
      <c r="N9" s="19"/>
      <c r="O9" s="19"/>
      <c r="P9" s="19"/>
    </row>
    <row r="10" spans="1:16">
      <c r="A10" s="24" t="s">
        <v>213</v>
      </c>
      <c r="B10" s="25">
        <f ca="1">'EF ele_warmte'!B12</f>
        <v>0.20764922148471984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4421.0904917749367</v>
      </c>
      <c r="C12" s="23">
        <f ca="1">C10*C8</f>
        <v>0</v>
      </c>
      <c r="D12" s="23">
        <f>D8*D10</f>
        <v>9910.6795205267954</v>
      </c>
      <c r="E12" s="23">
        <f>E10*E8</f>
        <v>1987.231435463475</v>
      </c>
      <c r="F12" s="23">
        <f>F10*F8</f>
        <v>1635.2333194577755</v>
      </c>
      <c r="G12" s="23"/>
      <c r="H12" s="23"/>
      <c r="I12" s="23"/>
      <c r="J12" s="23">
        <f>J10*J8</f>
        <v>83.447342370020266</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1931</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13.152804642166343</v>
      </c>
      <c r="D20" s="229"/>
      <c r="E20" s="15"/>
    </row>
    <row r="21" spans="1:7">
      <c r="A21" s="171" t="s">
        <v>73</v>
      </c>
      <c r="B21" s="37">
        <f>aantalw2001_elektriciteit</f>
        <v>364</v>
      </c>
      <c r="C21" s="167">
        <f>IF(ISERROR(B21/SUM($B$20,$B$21,$B$22)*100),0,B21/SUM($B$20,$B$21,$B$22)*100)</f>
        <v>70.406189555125721</v>
      </c>
      <c r="D21" s="229"/>
      <c r="E21" s="15"/>
    </row>
    <row r="22" spans="1:7">
      <c r="A22" s="171" t="s">
        <v>74</v>
      </c>
      <c r="B22" s="37">
        <f>aantalw2001_hout</f>
        <v>85</v>
      </c>
      <c r="C22" s="167">
        <f>IF(ISERROR(B22/SUM($B$20,$B$21,$B$22)*100),0,B22/SUM($B$20,$B$21,$B$22)*100)</f>
        <v>16.441005802707931</v>
      </c>
      <c r="D22" s="229"/>
      <c r="E22" s="15"/>
    </row>
    <row r="23" spans="1:7">
      <c r="A23" s="171" t="s">
        <v>75</v>
      </c>
      <c r="B23" s="37">
        <f>aantalw2001_niet_gespec</f>
        <v>45</v>
      </c>
      <c r="C23" s="166" t="s">
        <v>110</v>
      </c>
      <c r="D23" s="228"/>
      <c r="E23" s="15"/>
    </row>
    <row r="24" spans="1:7">
      <c r="A24" s="171" t="s">
        <v>76</v>
      </c>
      <c r="B24" s="37">
        <f>aantalw2001_steenkool</f>
        <v>135</v>
      </c>
      <c r="C24" s="166" t="s">
        <v>110</v>
      </c>
      <c r="D24" s="229"/>
      <c r="E24" s="15"/>
    </row>
    <row r="25" spans="1:7">
      <c r="A25" s="171" t="s">
        <v>77</v>
      </c>
      <c r="B25" s="37">
        <f>aantalw2001_stookolie</f>
        <v>1349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4694</v>
      </c>
      <c r="C28" s="36"/>
      <c r="D28" s="228"/>
    </row>
    <row r="29" spans="1:7" s="15" customFormat="1">
      <c r="A29" s="230" t="s">
        <v>819</v>
      </c>
      <c r="B29" s="37">
        <f>SUM(HH_hh_gas_aantal,HH_rest_gas_aantal)</f>
        <v>3102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3102</v>
      </c>
      <c r="C32" s="167">
        <f>IF(ISERROR(B32/SUM($B$32,$B$34,$B$35,$B$36,$B$38,$B$39)*100),0,B32/SUM($B$32,$B$34,$B$35,$B$36,$B$38,$B$39)*100)</f>
        <v>66.853448275862064</v>
      </c>
      <c r="D32" s="233"/>
      <c r="G32" s="15"/>
    </row>
    <row r="33" spans="1:7">
      <c r="A33" s="171" t="s">
        <v>71</v>
      </c>
      <c r="B33" s="34" t="s">
        <v>110</v>
      </c>
      <c r="C33" s="167"/>
      <c r="D33" s="233"/>
      <c r="G33" s="15"/>
    </row>
    <row r="34" spans="1:7">
      <c r="A34" s="171" t="s">
        <v>72</v>
      </c>
      <c r="B34" s="33">
        <f>IF((($B$28-$B$32-$B$39-$B$77-$B$38)*C20/100)&lt;0,0,($B$28-$B$32-$B$39-$B$77-$B$38)*C20/100)</f>
        <v>161.12185686653771</v>
      </c>
      <c r="C34" s="167">
        <f>IF(ISERROR(B34/SUM($B$32,$B$34,$B$35,$B$36,$B$38,$B$39)*100),0,B34/SUM($B$32,$B$34,$B$35,$B$36,$B$38,$B$39)*100)</f>
        <v>3.4724538117788297</v>
      </c>
      <c r="D34" s="233"/>
      <c r="G34" s="15"/>
    </row>
    <row r="35" spans="1:7">
      <c r="A35" s="171" t="s">
        <v>73</v>
      </c>
      <c r="B35" s="33">
        <f>IF((($B$28-$B$32-$B$39-$B$77-$B$38)*C21/100)&lt;0,0,($B$28-$B$32-$B$39-$B$77-$B$38)*C21/100)</f>
        <v>862.47582205029016</v>
      </c>
      <c r="C35" s="167">
        <f>IF(ISERROR(B35/SUM($B$32,$B$34,$B$35,$B$36,$B$38,$B$39)*100),0,B35/SUM($B$32,$B$34,$B$35,$B$36,$B$38,$B$39)*100)</f>
        <v>18.58784099246315</v>
      </c>
      <c r="D35" s="233"/>
      <c r="G35" s="15"/>
    </row>
    <row r="36" spans="1:7">
      <c r="A36" s="171" t="s">
        <v>74</v>
      </c>
      <c r="B36" s="33">
        <f>IF((($B$28-$B$32-$B$39-$B$77-$B$38)*C22/100)&lt;0,0,($B$28-$B$32-$B$39-$B$77-$B$38)*C22/100)</f>
        <v>201.40232108317213</v>
      </c>
      <c r="C36" s="167">
        <f>IF(ISERROR(B36/SUM($B$32,$B$34,$B$35,$B$36,$B$38,$B$39)*100),0,B36/SUM($B$32,$B$34,$B$35,$B$36,$B$38,$B$39)*100)</f>
        <v>4.3405672647235365</v>
      </c>
      <c r="D36" s="233"/>
      <c r="G36" s="15"/>
    </row>
    <row r="37" spans="1:7">
      <c r="A37" s="171" t="s">
        <v>75</v>
      </c>
      <c r="B37" s="34" t="s">
        <v>110</v>
      </c>
      <c r="C37" s="167"/>
      <c r="D37" s="173"/>
      <c r="G37" s="15"/>
    </row>
    <row r="38" spans="1:7">
      <c r="A38" s="171" t="s">
        <v>76</v>
      </c>
      <c r="B38" s="33">
        <f>IF((B24-(B29-B18)*0.1)&lt;0,0,B24-(B29-B18)*0.1)</f>
        <v>17.899999999999991</v>
      </c>
      <c r="C38" s="167">
        <f>IF(ISERROR(B38/SUM($B$32,$B$34,$B$35,$B$36,$B$38,$B$39)*100),0,B38/SUM($B$32,$B$34,$B$35,$B$36,$B$38,$B$39)*100)</f>
        <v>0.38577586206896536</v>
      </c>
      <c r="D38" s="234"/>
      <c r="G38" s="15"/>
    </row>
    <row r="39" spans="1:7">
      <c r="A39" s="171" t="s">
        <v>77</v>
      </c>
      <c r="B39" s="33">
        <f>IF((B25-(B29-B18))&lt;0,0,B25-(B29-B18)*0.9)</f>
        <v>295.09999999999991</v>
      </c>
      <c r="C39" s="167">
        <f>IF(ISERROR(B39/SUM($B$32,$B$34,$B$35,$B$36,$B$38,$B$39)*100),0,B39/SUM($B$32,$B$34,$B$35,$B$36,$B$38,$B$39)*100)</f>
        <v>6.3599137931034457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3102</v>
      </c>
      <c r="C44" s="34" t="s">
        <v>110</v>
      </c>
      <c r="D44" s="174"/>
    </row>
    <row r="45" spans="1:7">
      <c r="A45" s="171" t="s">
        <v>71</v>
      </c>
      <c r="B45" s="33" t="str">
        <f t="shared" si="0"/>
        <v>-</v>
      </c>
      <c r="C45" s="34" t="s">
        <v>110</v>
      </c>
      <c r="D45" s="174"/>
    </row>
    <row r="46" spans="1:7">
      <c r="A46" s="171" t="s">
        <v>72</v>
      </c>
      <c r="B46" s="33">
        <f t="shared" si="0"/>
        <v>161.12185686653771</v>
      </c>
      <c r="C46" s="34" t="s">
        <v>110</v>
      </c>
      <c r="D46" s="174"/>
    </row>
    <row r="47" spans="1:7">
      <c r="A47" s="171" t="s">
        <v>73</v>
      </c>
      <c r="B47" s="33">
        <f t="shared" si="0"/>
        <v>862.47582205029016</v>
      </c>
      <c r="C47" s="34" t="s">
        <v>110</v>
      </c>
      <c r="D47" s="174"/>
    </row>
    <row r="48" spans="1:7">
      <c r="A48" s="171" t="s">
        <v>74</v>
      </c>
      <c r="B48" s="33">
        <f t="shared" si="0"/>
        <v>201.40232108317213</v>
      </c>
      <c r="C48" s="33">
        <f>B48*10</f>
        <v>2014.0232108317214</v>
      </c>
      <c r="D48" s="234"/>
    </row>
    <row r="49" spans="1:6">
      <c r="A49" s="171" t="s">
        <v>75</v>
      </c>
      <c r="B49" s="33" t="str">
        <f t="shared" si="0"/>
        <v>-</v>
      </c>
      <c r="C49" s="34" t="s">
        <v>110</v>
      </c>
      <c r="D49" s="234"/>
    </row>
    <row r="50" spans="1:6">
      <c r="A50" s="171" t="s">
        <v>76</v>
      </c>
      <c r="B50" s="33">
        <f t="shared" si="0"/>
        <v>17.899999999999991</v>
      </c>
      <c r="C50" s="33">
        <f>B50*2</f>
        <v>35.799999999999983</v>
      </c>
      <c r="D50" s="234"/>
    </row>
    <row r="51" spans="1:6">
      <c r="A51" s="171" t="s">
        <v>77</v>
      </c>
      <c r="B51" s="33">
        <f t="shared" si="0"/>
        <v>295.09999999999991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22751.418614999999</v>
      </c>
      <c r="C5" s="17">
        <f>IF(ISERROR('Eigen informatie GS &amp; warmtenet'!B60),0,'Eigen informatie GS &amp; warmtenet'!B60)</f>
        <v>0</v>
      </c>
      <c r="D5" s="30">
        <f>SUM(D6:D12)</f>
        <v>15211.758743786</v>
      </c>
      <c r="E5" s="17">
        <f>SUM(E6:E12)</f>
        <v>248.89739878983715</v>
      </c>
      <c r="F5" s="17">
        <f>SUM(F6:F12)</f>
        <v>2796.4346355340099</v>
      </c>
      <c r="G5" s="18"/>
      <c r="H5" s="17"/>
      <c r="I5" s="17"/>
      <c r="J5" s="17">
        <f>SUM(J6:J12)</f>
        <v>0.10089122749073784</v>
      </c>
      <c r="K5" s="17"/>
      <c r="L5" s="17"/>
      <c r="M5" s="17"/>
      <c r="N5" s="17">
        <f>SUM(N6:N12)</f>
        <v>3945.6035101901139</v>
      </c>
      <c r="O5" s="17">
        <f>B38*B39*B40</f>
        <v>9.7945215316823084</v>
      </c>
      <c r="P5" s="17">
        <f>B46*B47*B48/1000-B46*B47*B48/1000/B49</f>
        <v>52.539138306495019</v>
      </c>
      <c r="R5" s="32"/>
    </row>
    <row r="6" spans="1:18">
      <c r="A6" s="32" t="s">
        <v>53</v>
      </c>
      <c r="B6" s="37">
        <f>B26</f>
        <v>5544.3060109999997</v>
      </c>
      <c r="C6" s="33"/>
      <c r="D6" s="37">
        <f>IF(ISERROR(TER_kantoor_gas_kWh/1000),0,TER_kantoor_gas_kWh/1000)*0.902</f>
        <v>5611.8089139860003</v>
      </c>
      <c r="E6" s="33">
        <f>$C$26*'E Balans VL '!I12/100/3.6*1000000</f>
        <v>44.613252825962775</v>
      </c>
      <c r="F6" s="33">
        <f>$C$26*('E Balans VL '!L12+'E Balans VL '!N12)/100/3.6*1000000</f>
        <v>677.84973407669702</v>
      </c>
      <c r="G6" s="34"/>
      <c r="H6" s="33"/>
      <c r="I6" s="33"/>
      <c r="J6" s="33">
        <f>$C$26*('E Balans VL '!D12+'E Balans VL '!E12)/100/3.6*1000000</f>
        <v>0</v>
      </c>
      <c r="K6" s="33"/>
      <c r="L6" s="33"/>
      <c r="M6" s="33"/>
      <c r="N6" s="33">
        <f>$C$26*'E Balans VL '!Y12/100/3.6*1000000</f>
        <v>2.9797914533924539</v>
      </c>
      <c r="O6" s="33"/>
      <c r="P6" s="33"/>
      <c r="R6" s="32"/>
    </row>
    <row r="7" spans="1:18">
      <c r="A7" s="32" t="s">
        <v>52</v>
      </c>
      <c r="B7" s="37">
        <f t="shared" ref="B7:B12" si="0">B27</f>
        <v>1435.0724089999999</v>
      </c>
      <c r="C7" s="33"/>
      <c r="D7" s="37">
        <f>IF(ISERROR(TER_horeca_gas_kWh/1000),0,TER_horeca_gas_kWh/1000)*0.902</f>
        <v>2558.7746580000003</v>
      </c>
      <c r="E7" s="33">
        <f>$C$27*'E Balans VL '!I9/100/3.6*1000000</f>
        <v>15.409153750904631</v>
      </c>
      <c r="F7" s="33">
        <f>$C$27*('E Balans VL '!L9+'E Balans VL '!N9)/100/3.6*1000000</f>
        <v>172.60441217284409</v>
      </c>
      <c r="G7" s="34"/>
      <c r="H7" s="33"/>
      <c r="I7" s="33"/>
      <c r="J7" s="33">
        <f>$C$27*('E Balans VL '!D9+'E Balans VL '!E9)/100/3.6*1000000</f>
        <v>0</v>
      </c>
      <c r="K7" s="33"/>
      <c r="L7" s="33"/>
      <c r="M7" s="33"/>
      <c r="N7" s="33">
        <f>$C$27*'E Balans VL '!Y9/100/3.6*1000000</f>
        <v>0.21514643965004174</v>
      </c>
      <c r="O7" s="33"/>
      <c r="P7" s="33"/>
      <c r="R7" s="32"/>
    </row>
    <row r="8" spans="1:18">
      <c r="A8" s="6" t="s">
        <v>51</v>
      </c>
      <c r="B8" s="37">
        <f t="shared" si="0"/>
        <v>3359.4670339999998</v>
      </c>
      <c r="C8" s="33"/>
      <c r="D8" s="37">
        <f>IF(ISERROR(TER_handel_gas_kWh/1000),0,TER_handel_gas_kWh/1000)*0.902</f>
        <v>3517.0122834000003</v>
      </c>
      <c r="E8" s="33">
        <f>$C$28*'E Balans VL '!I13/100/3.6*1000000</f>
        <v>90.157810284007184</v>
      </c>
      <c r="F8" s="33">
        <f>$C$28*('E Balans VL '!L13+'E Balans VL '!N13)/100/3.6*1000000</f>
        <v>320.59669648737849</v>
      </c>
      <c r="G8" s="34"/>
      <c r="H8" s="33"/>
      <c r="I8" s="33"/>
      <c r="J8" s="33">
        <f>$C$28*('E Balans VL '!D13+'E Balans VL '!E13)/100/3.6*1000000</f>
        <v>0</v>
      </c>
      <c r="K8" s="33"/>
      <c r="L8" s="33"/>
      <c r="M8" s="33"/>
      <c r="N8" s="33">
        <f>$C$28*'E Balans VL '!Y13/100/3.6*1000000</f>
        <v>1.331730930712786</v>
      </c>
      <c r="O8" s="33"/>
      <c r="P8" s="33"/>
      <c r="R8" s="32"/>
    </row>
    <row r="9" spans="1:18">
      <c r="A9" s="32" t="s">
        <v>50</v>
      </c>
      <c r="B9" s="37">
        <f t="shared" si="0"/>
        <v>265.39018499999997</v>
      </c>
      <c r="C9" s="33"/>
      <c r="D9" s="37">
        <f>IF(ISERROR(TER_gezond_gas_kWh/1000),0,TER_gezond_gas_kWh/1000)*0.902</f>
        <v>1449.991158</v>
      </c>
      <c r="E9" s="33">
        <f>$C$29*'E Balans VL '!I10/100/3.6*1000000</f>
        <v>0.49742762148669456</v>
      </c>
      <c r="F9" s="33">
        <f>$C$29*('E Balans VL '!L10+'E Balans VL '!N10)/100/3.6*1000000</f>
        <v>21.817494705853608</v>
      </c>
      <c r="G9" s="34"/>
      <c r="H9" s="33"/>
      <c r="I9" s="33"/>
      <c r="J9" s="33">
        <f>$C$29*('E Balans VL '!D10+'E Balans VL '!E10)/100/3.6*1000000</f>
        <v>0</v>
      </c>
      <c r="K9" s="33"/>
      <c r="L9" s="33"/>
      <c r="M9" s="33"/>
      <c r="N9" s="33">
        <f>$C$29*'E Balans VL '!Y10/100/3.6*1000000</f>
        <v>2.0649336488293955</v>
      </c>
      <c r="O9" s="33"/>
      <c r="P9" s="33"/>
      <c r="R9" s="32"/>
    </row>
    <row r="10" spans="1:18">
      <c r="A10" s="32" t="s">
        <v>49</v>
      </c>
      <c r="B10" s="37">
        <f t="shared" si="0"/>
        <v>5153.6398830000007</v>
      </c>
      <c r="C10" s="33"/>
      <c r="D10" s="37">
        <f>IF(ISERROR(TER_ander_gas_kWh/1000),0,TER_ander_gas_kWh/1000)*0.902</f>
        <v>2074.1717303999999</v>
      </c>
      <c r="E10" s="33">
        <f>$C$30*'E Balans VL '!I14/100/3.6*1000000</f>
        <v>7.9443881006705555</v>
      </c>
      <c r="F10" s="33">
        <f>$C$30*('E Balans VL '!L14+'E Balans VL '!N14)/100/3.6*1000000</f>
        <v>800.1040145762604</v>
      </c>
      <c r="G10" s="34"/>
      <c r="H10" s="33"/>
      <c r="I10" s="33"/>
      <c r="J10" s="33">
        <f>$C$30*('E Balans VL '!D14+'E Balans VL '!E14)/100/3.6*1000000</f>
        <v>8.7488472170355047E-2</v>
      </c>
      <c r="K10" s="33"/>
      <c r="L10" s="33"/>
      <c r="M10" s="33"/>
      <c r="N10" s="33">
        <f>$C$30*'E Balans VL '!Y14/100/3.6*1000000</f>
        <v>3409.4829736744005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6993.5430930000002</v>
      </c>
      <c r="C12" s="33"/>
      <c r="D12" s="37">
        <f>IF(ISERROR(TER_rest_gas_kWh/1000),0,TER_rest_gas_kWh/1000)*0.902</f>
        <v>0</v>
      </c>
      <c r="E12" s="33">
        <f>$C$32*'E Balans VL '!I8/100/3.6*1000000</f>
        <v>90.275366206805316</v>
      </c>
      <c r="F12" s="33">
        <f>$C$32*('E Balans VL '!L8+'E Balans VL '!N8)/100/3.6*1000000</f>
        <v>803.46228351497632</v>
      </c>
      <c r="G12" s="34"/>
      <c r="H12" s="33"/>
      <c r="I12" s="33"/>
      <c r="J12" s="33">
        <f>$C$32*('E Balans VL '!D8+'E Balans VL '!E8)/100/3.6*1000000</f>
        <v>1.340275532038279E-2</v>
      </c>
      <c r="K12" s="33"/>
      <c r="L12" s="33"/>
      <c r="M12" s="33"/>
      <c r="N12" s="33">
        <f>$C$32*'E Balans VL '!Y8/100/3.6*1000000</f>
        <v>529.52893404312863</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22751.418614999999</v>
      </c>
      <c r="C16" s="21">
        <f t="shared" ca="1" si="1"/>
        <v>0</v>
      </c>
      <c r="D16" s="21">
        <f t="shared" ca="1" si="1"/>
        <v>15211.758743786</v>
      </c>
      <c r="E16" s="21">
        <f t="shared" si="1"/>
        <v>248.89739878983715</v>
      </c>
      <c r="F16" s="21">
        <f t="shared" ca="1" si="1"/>
        <v>2796.4346355340099</v>
      </c>
      <c r="G16" s="21">
        <f t="shared" si="1"/>
        <v>0</v>
      </c>
      <c r="H16" s="21">
        <f t="shared" si="1"/>
        <v>0</v>
      </c>
      <c r="I16" s="21">
        <f t="shared" si="1"/>
        <v>0</v>
      </c>
      <c r="J16" s="21">
        <f t="shared" si="1"/>
        <v>0.10089122749073784</v>
      </c>
      <c r="K16" s="21">
        <f t="shared" si="1"/>
        <v>0</v>
      </c>
      <c r="L16" s="21">
        <f t="shared" ca="1" si="1"/>
        <v>0</v>
      </c>
      <c r="M16" s="21">
        <f t="shared" si="1"/>
        <v>0</v>
      </c>
      <c r="N16" s="21">
        <f t="shared" ca="1" si="1"/>
        <v>3945.6035101901139</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0.20764922148471984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4724.3143630777131</v>
      </c>
      <c r="C20" s="23">
        <f t="shared" ref="C20:P20" ca="1" si="2">C16*C18</f>
        <v>0</v>
      </c>
      <c r="D20" s="23">
        <f t="shared" ca="1" si="2"/>
        <v>3072.7752662447724</v>
      </c>
      <c r="E20" s="23">
        <f t="shared" si="2"/>
        <v>56.499709525293035</v>
      </c>
      <c r="F20" s="23">
        <f t="shared" ca="1" si="2"/>
        <v>746.64804768758063</v>
      </c>
      <c r="G20" s="23">
        <f t="shared" si="2"/>
        <v>0</v>
      </c>
      <c r="H20" s="23">
        <f t="shared" si="2"/>
        <v>0</v>
      </c>
      <c r="I20" s="23">
        <f t="shared" si="2"/>
        <v>0</v>
      </c>
      <c r="J20" s="23">
        <f t="shared" si="2"/>
        <v>3.5715494531721195E-2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5544.3060109999997</v>
      </c>
      <c r="C26" s="39">
        <f>IF(ISERROR(B26*3.6/1000000/'E Balans VL '!Z12*100),0,B26*3.6/1000000/'E Balans VL '!Z12*100)</f>
        <v>0.11761737956585382</v>
      </c>
      <c r="D26" s="237" t="s">
        <v>708</v>
      </c>
      <c r="F26" s="6"/>
    </row>
    <row r="27" spans="1:18">
      <c r="A27" s="231" t="s">
        <v>52</v>
      </c>
      <c r="B27" s="33">
        <f>IF(ISERROR(TER_horeca_ele_kWh/1000),0,TER_horeca_ele_kWh/1000)</f>
        <v>1435.0724089999999</v>
      </c>
      <c r="C27" s="39">
        <f>IF(ISERROR(B27*3.6/1000000/'E Balans VL '!Z9*100),0,B27*3.6/1000000/'E Balans VL '!Z9*100)</f>
        <v>0.10807366499604573</v>
      </c>
      <c r="D27" s="237" t="s">
        <v>708</v>
      </c>
      <c r="F27" s="6"/>
    </row>
    <row r="28" spans="1:18">
      <c r="A28" s="171" t="s">
        <v>51</v>
      </c>
      <c r="B28" s="33">
        <f>IF(ISERROR(TER_handel_ele_kWh/1000),0,TER_handel_ele_kWh/1000)</f>
        <v>3359.4670339999998</v>
      </c>
      <c r="C28" s="39">
        <f>IF(ISERROR(B28*3.6/1000000/'E Balans VL '!Z13*100),0,B28*3.6/1000000/'E Balans VL '!Z13*100)</f>
        <v>9.7513424476584398E-2</v>
      </c>
      <c r="D28" s="237" t="s">
        <v>708</v>
      </c>
      <c r="F28" s="6"/>
    </row>
    <row r="29" spans="1:18">
      <c r="A29" s="231" t="s">
        <v>50</v>
      </c>
      <c r="B29" s="33">
        <f>IF(ISERROR(TER_gezond_ele_kWh/1000),0,TER_gezond_ele_kWh/1000)</f>
        <v>265.39018499999997</v>
      </c>
      <c r="C29" s="39">
        <f>IF(ISERROR(B29*3.6/1000000/'E Balans VL '!Z10*100),0,B29*3.6/1000000/'E Balans VL '!Z10*100)</f>
        <v>2.6764916647935993E-2</v>
      </c>
      <c r="D29" s="237" t="s">
        <v>708</v>
      </c>
      <c r="F29" s="6"/>
    </row>
    <row r="30" spans="1:18">
      <c r="A30" s="231" t="s">
        <v>49</v>
      </c>
      <c r="B30" s="33">
        <f>IF(ISERROR(TER_ander_ele_kWh/1000),0,TER_ander_ele_kWh/1000)</f>
        <v>5153.6398830000007</v>
      </c>
      <c r="C30" s="39">
        <f>IF(ISERROR(B30*3.6/1000000/'E Balans VL '!Z14*100),0,B30*3.6/1000000/'E Balans VL '!Z14*100)</f>
        <v>0.37396688205108236</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6993.5430930000002</v>
      </c>
      <c r="C32" s="39">
        <f>IF(ISERROR(B32*3.6/1000000/'E Balans VL '!Z8*100),0,B32*3.6/1000000/'E Balans VL '!Z8*100)</f>
        <v>5.728968049982084E-2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43946.190175000003</v>
      </c>
      <c r="C5" s="17">
        <f>IF(ISERROR('Eigen informatie GS &amp; warmtenet'!B61),0,'Eigen informatie GS &amp; warmtenet'!B61)</f>
        <v>0</v>
      </c>
      <c r="D5" s="30">
        <f>SUM(D6:D15)</f>
        <v>33654.547436399997</v>
      </c>
      <c r="E5" s="17">
        <f>SUM(E6:E15)</f>
        <v>2240.1638639297507</v>
      </c>
      <c r="F5" s="17">
        <f>SUM(F6:F15)</f>
        <v>9047.0592395537296</v>
      </c>
      <c r="G5" s="18"/>
      <c r="H5" s="17"/>
      <c r="I5" s="17"/>
      <c r="J5" s="17">
        <f>SUM(J6:J15)</f>
        <v>321.73491426705397</v>
      </c>
      <c r="K5" s="17"/>
      <c r="L5" s="17"/>
      <c r="M5" s="17"/>
      <c r="N5" s="17">
        <f>SUM(N6:N15)</f>
        <v>2485.3575422444101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70.311306999999999</v>
      </c>
      <c r="C8" s="33"/>
      <c r="D8" s="37">
        <f>IF( ISERROR(IND_metaal_Gas_kWH/1000),0,IND_metaal_Gas_kWH/1000)*0.902</f>
        <v>1393.387952</v>
      </c>
      <c r="E8" s="33">
        <f>C30*'E Balans VL '!I18/100/3.6*1000000</f>
        <v>0.50724673091760331</v>
      </c>
      <c r="F8" s="33">
        <f>C30*'E Balans VL '!L18/100/3.6*1000000+C30*'E Balans VL '!N18/100/3.6*1000000</f>
        <v>6.6501531925154955</v>
      </c>
      <c r="G8" s="34"/>
      <c r="H8" s="33"/>
      <c r="I8" s="33"/>
      <c r="J8" s="40">
        <f>C30*'E Balans VL '!D18/100/3.6*1000000+C30*'E Balans VL '!E18/100/3.6*1000000</f>
        <v>7.0719521173534847E-2</v>
      </c>
      <c r="K8" s="33"/>
      <c r="L8" s="33"/>
      <c r="M8" s="33"/>
      <c r="N8" s="33">
        <f>C30*'E Balans VL '!Y18/100/3.6*1000000</f>
        <v>0.88892094583269921</v>
      </c>
      <c r="O8" s="33"/>
      <c r="P8" s="33"/>
      <c r="R8" s="32"/>
    </row>
    <row r="9" spans="1:18">
      <c r="A9" s="6" t="s">
        <v>32</v>
      </c>
      <c r="B9" s="37">
        <f t="shared" si="0"/>
        <v>911.40492000000006</v>
      </c>
      <c r="C9" s="33"/>
      <c r="D9" s="37">
        <f>IF( ISERROR(IND_andere_gas_kWh/1000),0,IND_andere_gas_kWh/1000)*0.902</f>
        <v>11524.1001084</v>
      </c>
      <c r="E9" s="33">
        <f>C31*'E Balans VL '!I19/100/3.6*1000000</f>
        <v>252.56249034259631</v>
      </c>
      <c r="F9" s="33">
        <f>C31*'E Balans VL '!L19/100/3.6*1000000+C31*'E Balans VL '!N19/100/3.6*1000000</f>
        <v>755.37436725721136</v>
      </c>
      <c r="G9" s="34"/>
      <c r="H9" s="33"/>
      <c r="I9" s="33"/>
      <c r="J9" s="40">
        <f>C31*'E Balans VL '!D19/100/3.6*1000000+C31*'E Balans VL '!E19/100/3.6*1000000</f>
        <v>0</v>
      </c>
      <c r="K9" s="33"/>
      <c r="L9" s="33"/>
      <c r="M9" s="33"/>
      <c r="N9" s="33">
        <f>C31*'E Balans VL '!Y19/100/3.6*1000000</f>
        <v>66.156849502998952</v>
      </c>
      <c r="O9" s="33"/>
      <c r="P9" s="33"/>
      <c r="R9" s="32"/>
    </row>
    <row r="10" spans="1:18">
      <c r="A10" s="6" t="s">
        <v>40</v>
      </c>
      <c r="B10" s="37">
        <f t="shared" si="0"/>
        <v>710.67726700000003</v>
      </c>
      <c r="C10" s="33"/>
      <c r="D10" s="37">
        <f>IF( ISERROR(IND_voed_gas_kWh/1000),0,IND_voed_gas_kWh/1000)*0.902</f>
        <v>1935.5512880000001</v>
      </c>
      <c r="E10" s="33">
        <f>C32*'E Balans VL '!I20/100/3.6*1000000</f>
        <v>1.2581394844136982</v>
      </c>
      <c r="F10" s="33">
        <f>C32*'E Balans VL '!L20/100/3.6*1000000+C32*'E Balans VL '!N20/100/3.6*1000000</f>
        <v>38.382871094117363</v>
      </c>
      <c r="G10" s="34"/>
      <c r="H10" s="33"/>
      <c r="I10" s="33"/>
      <c r="J10" s="40">
        <f>C32*'E Balans VL '!D20/100/3.6*1000000+C32*'E Balans VL '!E20/100/3.6*1000000</f>
        <v>0</v>
      </c>
      <c r="K10" s="33"/>
      <c r="L10" s="33"/>
      <c r="M10" s="33"/>
      <c r="N10" s="33">
        <f>C32*'E Balans VL '!Y20/100/3.6*1000000</f>
        <v>41.295776722619678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3443.6911709999999</v>
      </c>
      <c r="C12" s="33"/>
      <c r="D12" s="37">
        <f>IF( ISERROR(IND_min_gas_kWh/1000),0,IND_min_gas_kWh/1000)*0.902</f>
        <v>0</v>
      </c>
      <c r="E12" s="33">
        <f>C34*'E Balans VL '!I22/100/3.6*1000000</f>
        <v>151.64787540739763</v>
      </c>
      <c r="F12" s="33">
        <f>C34*'E Balans VL '!L22/100/3.6*1000000+C34*'E Balans VL '!N22/100/3.6*1000000</f>
        <v>1346.6223232559662</v>
      </c>
      <c r="G12" s="34"/>
      <c r="H12" s="33"/>
      <c r="I12" s="33"/>
      <c r="J12" s="40">
        <f>C34*'E Balans VL '!D22/100/3.6*1000000+C34*'E Balans VL '!E22/100/3.6*1000000</f>
        <v>1.0456270143906885</v>
      </c>
      <c r="K12" s="33"/>
      <c r="L12" s="33"/>
      <c r="M12" s="33"/>
      <c r="N12" s="33">
        <f>C34*'E Balans VL '!Y22/100/3.6*1000000</f>
        <v>851.86483436899721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9761.3438779999997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38810.105510000001</v>
      </c>
      <c r="C15" s="33"/>
      <c r="D15" s="37">
        <f>IF( ISERROR(IND_rest_gas_kWh/1000),0,IND_rest_gas_kWh/1000)*0.902</f>
        <v>9040.164209999999</v>
      </c>
      <c r="E15" s="33">
        <f>C37*'E Balans VL '!I15/100/3.6*1000000</f>
        <v>1834.1881119644256</v>
      </c>
      <c r="F15" s="33">
        <f>C37*'E Balans VL '!L15/100/3.6*1000000+C37*'E Balans VL '!N15/100/3.6*1000000</f>
        <v>6900.0295247539198</v>
      </c>
      <c r="G15" s="34"/>
      <c r="H15" s="33"/>
      <c r="I15" s="33"/>
      <c r="J15" s="40">
        <f>C37*'E Balans VL '!D15/100/3.6*1000000+C37*'E Balans VL '!E15/100/3.6*1000000</f>
        <v>320.61856773148975</v>
      </c>
      <c r="K15" s="33"/>
      <c r="L15" s="33"/>
      <c r="M15" s="33"/>
      <c r="N15" s="33">
        <f>C37*'E Balans VL '!Y15/100/3.6*1000000</f>
        <v>1525.1511607039615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43946.190175000003</v>
      </c>
      <c r="C18" s="21">
        <f>C5+C16</f>
        <v>0</v>
      </c>
      <c r="D18" s="21">
        <f>MAX((D5+D16),0)</f>
        <v>33654.547436399997</v>
      </c>
      <c r="E18" s="21">
        <f>MAX((E5+E16),0)</f>
        <v>2240.1638639297507</v>
      </c>
      <c r="F18" s="21">
        <f>MAX((F5+F16),0)</f>
        <v>9047.0592395537296</v>
      </c>
      <c r="G18" s="21"/>
      <c r="H18" s="21"/>
      <c r="I18" s="21"/>
      <c r="J18" s="21">
        <f>MAX((J5+J16),0)</f>
        <v>321.73491426705397</v>
      </c>
      <c r="K18" s="21"/>
      <c r="L18" s="21">
        <f>MAX((L5+L16),0)</f>
        <v>0</v>
      </c>
      <c r="M18" s="21"/>
      <c r="N18" s="21">
        <f>MAX((N5+N16),0)</f>
        <v>2485.3575422444101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0.20764922148471984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9125.3921770581946</v>
      </c>
      <c r="C22" s="23">
        <f ca="1">C18*C20</f>
        <v>0</v>
      </c>
      <c r="D22" s="23">
        <f>D18*D20</f>
        <v>6798.2185821528001</v>
      </c>
      <c r="E22" s="23">
        <f>E18*E20</f>
        <v>508.51719711205345</v>
      </c>
      <c r="F22" s="23">
        <f>F18*F20</f>
        <v>2415.5648169608457</v>
      </c>
      <c r="G22" s="23"/>
      <c r="H22" s="23"/>
      <c r="I22" s="23"/>
      <c r="J22" s="23">
        <f>J18*J20</f>
        <v>113.89415965053709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70.311306999999999</v>
      </c>
      <c r="C30" s="39">
        <f>IF(ISERROR(B30*3.6/1000000/'E Balans VL '!Z18*100),0,B30*3.6/1000000/'E Balans VL '!Z18*100)</f>
        <v>4.0589620430261028E-3</v>
      </c>
      <c r="D30" s="237" t="s">
        <v>708</v>
      </c>
    </row>
    <row r="31" spans="1:18">
      <c r="A31" s="6" t="s">
        <v>32</v>
      </c>
      <c r="B31" s="37">
        <f>IF( ISERROR(IND_ander_ele_kWh/1000),0,IND_ander_ele_kWh/1000)</f>
        <v>911.40492000000006</v>
      </c>
      <c r="C31" s="39">
        <f>IF(ISERROR(B31*3.6/1000000/'E Balans VL '!Z19*100),0,B31*3.6/1000000/'E Balans VL '!Z19*100)</f>
        <v>4.584071327134151E-2</v>
      </c>
      <c r="D31" s="237" t="s">
        <v>708</v>
      </c>
    </row>
    <row r="32" spans="1:18">
      <c r="A32" s="171" t="s">
        <v>40</v>
      </c>
      <c r="B32" s="37">
        <f>IF( ISERROR(IND_voed_ele_kWh/1000),0,IND_voed_ele_kWh/1000)</f>
        <v>710.67726700000003</v>
      </c>
      <c r="C32" s="39">
        <f>IF(ISERROR(B32*3.6/1000000/'E Balans VL '!Z20*100),0,B32*3.6/1000000/'E Balans VL '!Z20*100)</f>
        <v>2.3669773169020077E-2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3443.6911709999999</v>
      </c>
      <c r="C34" s="39">
        <f>IF(ISERROR(B34*3.6/1000000/'E Balans VL '!Z22*100),0,B34*3.6/1000000/'E Balans VL '!Z22*100)</f>
        <v>0.64236471873827306</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38810.105510000001</v>
      </c>
      <c r="C37" s="39">
        <f>IF(ISERROR(B37*3.6/1000000/'E Balans VL '!Z15*100),0,B37*3.6/1000000/'E Balans VL '!Z15*100)</f>
        <v>0.30282495430313555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519.11119700000006</v>
      </c>
      <c r="C5" s="17">
        <f>'Eigen informatie GS &amp; warmtenet'!B62</f>
        <v>0</v>
      </c>
      <c r="D5" s="30">
        <f>IF(ISERROR(SUM(LB_lb_gas_kWh,LB_rest_gas_kWh)/1000),0,SUM(LB_lb_gas_kWh,LB_rest_gas_kWh)/1000)*0.902</f>
        <v>46.281620000000004</v>
      </c>
      <c r="E5" s="17">
        <f>B17*'E Balans VL '!I25/3.6*1000000/100</f>
        <v>16.201289276615562</v>
      </c>
      <c r="F5" s="17">
        <f>B17*('E Balans VL '!L25/3.6*1000000+'E Balans VL '!N25/3.6*1000000)/100</f>
        <v>1834.5964757851334</v>
      </c>
      <c r="G5" s="18"/>
      <c r="H5" s="17"/>
      <c r="I5" s="17"/>
      <c r="J5" s="17">
        <f>('E Balans VL '!D25+'E Balans VL '!E25)/3.6*1000000*landbouw!B17/100</f>
        <v>143.01873477810102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519.11119700000006</v>
      </c>
      <c r="C8" s="21">
        <f>C5+C6</f>
        <v>0</v>
      </c>
      <c r="D8" s="21">
        <f>MAX((D5+D6),0)</f>
        <v>46.281620000000004</v>
      </c>
      <c r="E8" s="21">
        <f>MAX((E5+E6),0)</f>
        <v>16.201289276615562</v>
      </c>
      <c r="F8" s="21">
        <f>MAX((F5+F6),0)</f>
        <v>1834.5964757851334</v>
      </c>
      <c r="G8" s="21"/>
      <c r="H8" s="21"/>
      <c r="I8" s="21"/>
      <c r="J8" s="21">
        <f>MAX((J5+J6),0)</f>
        <v>143.01873477810102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0.20764922148471984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107.79303592105104</v>
      </c>
      <c r="C12" s="23">
        <f ca="1">C8*C10</f>
        <v>0</v>
      </c>
      <c r="D12" s="23">
        <f>D8*D10</f>
        <v>9.3488872400000016</v>
      </c>
      <c r="E12" s="23">
        <f>E8*E10</f>
        <v>3.6776926657917328</v>
      </c>
      <c r="F12" s="23">
        <f>F8*F10</f>
        <v>489.83725903463062</v>
      </c>
      <c r="G12" s="23"/>
      <c r="H12" s="23"/>
      <c r="I12" s="23"/>
      <c r="J12" s="23">
        <f>J8*J10</f>
        <v>50.628632111447757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7.7169600775603683E-2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159.89175966167613</v>
      </c>
      <c r="C26" s="247">
        <f>B26*'GWP N2O_CH4'!B5</f>
        <v>3357.7269528951988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52.159427850919926</v>
      </c>
      <c r="C27" s="247">
        <f>B27*'GWP N2O_CH4'!B5</f>
        <v>1095.3479848693185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1.8895890997758715</v>
      </c>
      <c r="C28" s="247">
        <f>B28*'GWP N2O_CH4'!B4</f>
        <v>585.77262093052013</v>
      </c>
      <c r="D28" s="50"/>
    </row>
    <row r="29" spans="1:4">
      <c r="A29" s="41" t="s">
        <v>276</v>
      </c>
      <c r="B29" s="247">
        <f>B34*'ha_N2O bodem landbouw'!B4</f>
        <v>5.082461583938934</v>
      </c>
      <c r="C29" s="247">
        <f>B29*'GWP N2O_CH4'!B4</f>
        <v>1575.5630910210696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1.1144923176945223E-3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3.783856538781546E-4</v>
      </c>
      <c r="C5" s="437" t="s">
        <v>210</v>
      </c>
      <c r="D5" s="422">
        <f>SUM(D6:D11)</f>
        <v>1.2455366950143471E-3</v>
      </c>
      <c r="E5" s="422">
        <f>SUM(E6:E11)</f>
        <v>1.2301112781208446E-3</v>
      </c>
      <c r="F5" s="435" t="s">
        <v>210</v>
      </c>
      <c r="G5" s="422">
        <f>SUM(G6:G11)</f>
        <v>0.66709972392825867</v>
      </c>
      <c r="H5" s="422">
        <f>SUM(H6:H11)</f>
        <v>0.11982958433416115</v>
      </c>
      <c r="I5" s="437" t="s">
        <v>210</v>
      </c>
      <c r="J5" s="437" t="s">
        <v>210</v>
      </c>
      <c r="K5" s="437" t="s">
        <v>210</v>
      </c>
      <c r="L5" s="437" t="s">
        <v>210</v>
      </c>
      <c r="M5" s="422">
        <f>SUM(M6:M11)</f>
        <v>4.638672818844846E-2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1.2075829533340299E-4</v>
      </c>
      <c r="C6" s="423"/>
      <c r="D6" s="890">
        <f>vkm_GW_PW*SUMIFS(TableVerdeelsleutelVkm[CNG],TableVerdeelsleutelVkm[Voertuigtype],"Lichte voertuigen")*SUMIFS(TableECFTransport[EnergieConsumptieFactor (PJ per km)],TableECFTransport[Index],CONCATENATE($A6,"_CNG_CNG"))</f>
        <v>3.8901106295350789E-4</v>
      </c>
      <c r="E6" s="890">
        <f>vkm_GW_PW*SUMIFS(TableVerdeelsleutelVkm[LPG],TableVerdeelsleutelVkm[Voertuigtype],"Lichte voertuigen")*SUMIFS(TableECFTransport[EnergieConsumptieFactor (PJ per km)],TableECFTransport[Index],CONCATENATE($A6,"_LPG_LPG"))</f>
        <v>3.3267316105441532E-4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0.10746987816342855</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3.6442376571156003E-2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8.6076341487936331E-3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3.8509891752738841E-2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5.506568745317545E-7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2.2198028275111944E-3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1.1055929029935601E-5</v>
      </c>
      <c r="C8" s="423"/>
      <c r="D8" s="425">
        <f>vkm_NGW_PW*SUMIFS(TableVerdeelsleutelVkm[CNG],TableVerdeelsleutelVkm[Voertuigtype],"Lichte voertuigen")*SUMIFS(TableECFTransport[EnergieConsumptieFactor (PJ per km)],TableECFTransport[Index],CONCATENATE($A8,"_CNG_CNG"))</f>
        <v>6.0342883129953104E-5</v>
      </c>
      <c r="E8" s="425">
        <f>vkm_NGW_PW*SUMIFS(TableVerdeelsleutelVkm[LPG],TableVerdeelsleutelVkm[Voertuigtype],"Lichte voertuigen")*SUMIFS(TableECFTransport[EnergieConsumptieFactor (PJ per km)],TableECFTransport[Index],CONCATENATE($A8,"_LPG_LPG"))</f>
        <v>4.9032145226642236E-5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1.4801339171253354E-2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5.5584148146117151E-3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1.2212031632300659E-3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2.1680887106025693E-3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3.9307138222592761E-8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1.2497440029702911E-4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2.4657142951481603E-4</v>
      </c>
      <c r="C10" s="423"/>
      <c r="D10" s="425">
        <f>vkm_SW_PW*SUMIFS(TableVerdeelsleutelVkm[CNG],TableVerdeelsleutelVkm[Voertuigtype],"Lichte voertuigen")*SUMIFS(TableECFTransport[EnergieConsumptieFactor (PJ per km)],TableECFTransport[Index],CONCATENATE($A10,"_CNG_CNG"))</f>
        <v>7.9618274893088605E-4</v>
      </c>
      <c r="E10" s="425">
        <f>vkm_SW_PW*SUMIFS(TableVerdeelsleutelVkm[LPG],TableVerdeelsleutelVkm[Voertuigtype],"Lichte voertuigen")*SUMIFS(TableECFTransport[EnergieConsumptieFactor (PJ per km)],TableECFTransport[Index],CONCATENATE($A10,"_LPG_LPG"))</f>
        <v>8.4840597183978702E-4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0.24420090230476835</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7.7824231312174127E-2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1.9228974951721389E-2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0.25994962382546705</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3.9716722065415046E-6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1.4984138696895145E-2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105.10712607726516</v>
      </c>
      <c r="C14" s="21"/>
      <c r="D14" s="21">
        <f t="shared" ref="D14:M14" si="0">((D5)*10^9/3600)+D12</f>
        <v>345.98241528176305</v>
      </c>
      <c r="E14" s="21">
        <f t="shared" si="0"/>
        <v>341.69757725579018</v>
      </c>
      <c r="F14" s="21"/>
      <c r="G14" s="21">
        <f t="shared" si="0"/>
        <v>185305.47886896075</v>
      </c>
      <c r="H14" s="21">
        <f t="shared" si="0"/>
        <v>33285.995648378099</v>
      </c>
      <c r="I14" s="21"/>
      <c r="J14" s="21"/>
      <c r="K14" s="21"/>
      <c r="L14" s="21"/>
      <c r="M14" s="21">
        <f t="shared" si="0"/>
        <v>12885.202274569016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0.20764922148471984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21.825412902440405</v>
      </c>
      <c r="C18" s="23"/>
      <c r="D18" s="23">
        <f t="shared" ref="D18:M18" si="1">D14*D16</f>
        <v>69.88844788691614</v>
      </c>
      <c r="E18" s="23">
        <f t="shared" si="1"/>
        <v>77.565350037064377</v>
      </c>
      <c r="F18" s="23"/>
      <c r="G18" s="23">
        <f t="shared" si="1"/>
        <v>49476.562858012527</v>
      </c>
      <c r="H18" s="23">
        <f t="shared" si="1"/>
        <v>8288.2129164461458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3.291540543093825E-3</v>
      </c>
      <c r="H50" s="319">
        <f t="shared" si="2"/>
        <v>0</v>
      </c>
      <c r="I50" s="319">
        <f t="shared" si="2"/>
        <v>0</v>
      </c>
      <c r="J50" s="319">
        <f t="shared" si="2"/>
        <v>0</v>
      </c>
      <c r="K50" s="319">
        <f t="shared" si="2"/>
        <v>0</v>
      </c>
      <c r="L50" s="319">
        <f t="shared" si="2"/>
        <v>0</v>
      </c>
      <c r="M50" s="319">
        <f t="shared" si="2"/>
        <v>1.82915405031678E-4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3.291540543093825E-3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1.82915405031678E-4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914.31681752606255</v>
      </c>
      <c r="H54" s="21">
        <f t="shared" si="3"/>
        <v>0</v>
      </c>
      <c r="I54" s="21">
        <f t="shared" si="3"/>
        <v>0</v>
      </c>
      <c r="J54" s="21">
        <f t="shared" si="3"/>
        <v>0</v>
      </c>
      <c r="K54" s="21">
        <f t="shared" si="3"/>
        <v>0</v>
      </c>
      <c r="L54" s="21">
        <f t="shared" si="3"/>
        <v>0</v>
      </c>
      <c r="M54" s="21">
        <f t="shared" si="3"/>
        <v>50.809834731021667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0.20764922148471984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244.12259027945871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23320.288614999998</v>
      </c>
      <c r="D10" s="686">
        <f ca="1">tertiair!C16</f>
        <v>0</v>
      </c>
      <c r="E10" s="686">
        <f ca="1">tertiair!D16</f>
        <v>15211.758743786</v>
      </c>
      <c r="F10" s="686">
        <f>tertiair!E16</f>
        <v>248.89739878983715</v>
      </c>
      <c r="G10" s="686">
        <f ca="1">tertiair!F16</f>
        <v>2796.4346355340099</v>
      </c>
      <c r="H10" s="686">
        <f>tertiair!G16</f>
        <v>0</v>
      </c>
      <c r="I10" s="686">
        <f>tertiair!H16</f>
        <v>0</v>
      </c>
      <c r="J10" s="686">
        <f>tertiair!I16</f>
        <v>0</v>
      </c>
      <c r="K10" s="686">
        <f>tertiair!J16</f>
        <v>0.10089122749073784</v>
      </c>
      <c r="L10" s="686">
        <f>tertiair!K16</f>
        <v>0</v>
      </c>
      <c r="M10" s="686">
        <f ca="1">tertiair!L16</f>
        <v>0</v>
      </c>
      <c r="N10" s="686">
        <f>tertiair!M16</f>
        <v>0</v>
      </c>
      <c r="O10" s="686">
        <f ca="1">tertiair!N16</f>
        <v>3945.6035101901139</v>
      </c>
      <c r="P10" s="686">
        <f>tertiair!O16</f>
        <v>9.7945215316823084</v>
      </c>
      <c r="Q10" s="687">
        <f>tertiair!P16</f>
        <v>52.539138306495019</v>
      </c>
      <c r="R10" s="689">
        <f ca="1">SUM(C10:Q10)</f>
        <v>45585.417454365619</v>
      </c>
      <c r="S10" s="67"/>
    </row>
    <row r="11" spans="1:19" s="448" customFormat="1">
      <c r="A11" s="808" t="s">
        <v>224</v>
      </c>
      <c r="B11" s="813"/>
      <c r="C11" s="686">
        <f>huishoudens!B8</f>
        <v>21291.148891209636</v>
      </c>
      <c r="D11" s="686">
        <f>huishoudens!C8</f>
        <v>0</v>
      </c>
      <c r="E11" s="686">
        <f>huishoudens!D8</f>
        <v>49062.769903597997</v>
      </c>
      <c r="F11" s="686">
        <f>huishoudens!E8</f>
        <v>8754.323504244383</v>
      </c>
      <c r="G11" s="686">
        <f>huishoudens!F8</f>
        <v>6124.4693612650763</v>
      </c>
      <c r="H11" s="686">
        <f>huishoudens!G8</f>
        <v>0</v>
      </c>
      <c r="I11" s="686">
        <f>huishoudens!H8</f>
        <v>0</v>
      </c>
      <c r="J11" s="686">
        <f>huishoudens!I8</f>
        <v>0</v>
      </c>
      <c r="K11" s="686">
        <f>huishoudens!J8</f>
        <v>235.72695584751489</v>
      </c>
      <c r="L11" s="686">
        <f>huishoudens!K8</f>
        <v>0</v>
      </c>
      <c r="M11" s="686">
        <f>huishoudens!L8</f>
        <v>0</v>
      </c>
      <c r="N11" s="686">
        <f>huishoudens!M8</f>
        <v>0</v>
      </c>
      <c r="O11" s="686">
        <f>huishoudens!N8</f>
        <v>13653.540972926339</v>
      </c>
      <c r="P11" s="686">
        <f>huishoudens!O8</f>
        <v>184.50811440299395</v>
      </c>
      <c r="Q11" s="687">
        <f>huishoudens!P8</f>
        <v>568.83380261499121</v>
      </c>
      <c r="R11" s="689">
        <f>SUM(C11:Q11)</f>
        <v>99875.321506108914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43946.190175000003</v>
      </c>
      <c r="D13" s="686">
        <f>industrie!C18</f>
        <v>0</v>
      </c>
      <c r="E13" s="686">
        <f>industrie!D18</f>
        <v>33654.547436399997</v>
      </c>
      <c r="F13" s="686">
        <f>industrie!E18</f>
        <v>2240.1638639297507</v>
      </c>
      <c r="G13" s="686">
        <f>industrie!F18</f>
        <v>9047.0592395537296</v>
      </c>
      <c r="H13" s="686">
        <f>industrie!G18</f>
        <v>0</v>
      </c>
      <c r="I13" s="686">
        <f>industrie!H18</f>
        <v>0</v>
      </c>
      <c r="J13" s="686">
        <f>industrie!I18</f>
        <v>0</v>
      </c>
      <c r="K13" s="686">
        <f>industrie!J18</f>
        <v>321.73491426705397</v>
      </c>
      <c r="L13" s="686">
        <f>industrie!K18</f>
        <v>0</v>
      </c>
      <c r="M13" s="686">
        <f>industrie!L18</f>
        <v>0</v>
      </c>
      <c r="N13" s="686">
        <f>industrie!M18</f>
        <v>0</v>
      </c>
      <c r="O13" s="686">
        <f>industrie!N18</f>
        <v>2485.3575422444101</v>
      </c>
      <c r="P13" s="686">
        <f>industrie!O18</f>
        <v>0</v>
      </c>
      <c r="Q13" s="687">
        <f>industrie!P18</f>
        <v>0</v>
      </c>
      <c r="R13" s="689">
        <f>SUM(C13:Q13)</f>
        <v>91695.053171394931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88557.627681209648</v>
      </c>
      <c r="D16" s="722">
        <f t="shared" ref="D16:R16" ca="1" si="0">SUM(D9:D15)</f>
        <v>0</v>
      </c>
      <c r="E16" s="722">
        <f t="shared" ca="1" si="0"/>
        <v>97929.076083783992</v>
      </c>
      <c r="F16" s="722">
        <f t="shared" si="0"/>
        <v>11243.384766963971</v>
      </c>
      <c r="G16" s="722">
        <f t="shared" ca="1" si="0"/>
        <v>17967.963236352814</v>
      </c>
      <c r="H16" s="722">
        <f t="shared" si="0"/>
        <v>0</v>
      </c>
      <c r="I16" s="722">
        <f t="shared" si="0"/>
        <v>0</v>
      </c>
      <c r="J16" s="722">
        <f t="shared" si="0"/>
        <v>0</v>
      </c>
      <c r="K16" s="722">
        <f t="shared" si="0"/>
        <v>557.56276134205962</v>
      </c>
      <c r="L16" s="722">
        <f t="shared" si="0"/>
        <v>0</v>
      </c>
      <c r="M16" s="722">
        <f t="shared" ca="1" si="0"/>
        <v>0</v>
      </c>
      <c r="N16" s="722">
        <f t="shared" si="0"/>
        <v>0</v>
      </c>
      <c r="O16" s="722">
        <f t="shared" ca="1" si="0"/>
        <v>20084.50202536086</v>
      </c>
      <c r="P16" s="722">
        <f t="shared" si="0"/>
        <v>194.30263593467626</v>
      </c>
      <c r="Q16" s="722">
        <f t="shared" si="0"/>
        <v>621.37294092148625</v>
      </c>
      <c r="R16" s="722">
        <f t="shared" ca="1" si="0"/>
        <v>237155.79213186947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914.31681752606255</v>
      </c>
      <c r="I19" s="686">
        <f>transport!H54</f>
        <v>0</v>
      </c>
      <c r="J19" s="686">
        <f>transport!I54</f>
        <v>0</v>
      </c>
      <c r="K19" s="686">
        <f>transport!J54</f>
        <v>0</v>
      </c>
      <c r="L19" s="686">
        <f>transport!K54</f>
        <v>0</v>
      </c>
      <c r="M19" s="686">
        <f>transport!L54</f>
        <v>0</v>
      </c>
      <c r="N19" s="686">
        <f>transport!M54</f>
        <v>50.809834731021667</v>
      </c>
      <c r="O19" s="686">
        <f>transport!N54</f>
        <v>0</v>
      </c>
      <c r="P19" s="686">
        <f>transport!O54</f>
        <v>0</v>
      </c>
      <c r="Q19" s="687">
        <f>transport!P54</f>
        <v>0</v>
      </c>
      <c r="R19" s="689">
        <f>SUM(C19:Q19)</f>
        <v>965.12665225708417</v>
      </c>
      <c r="S19" s="67"/>
    </row>
    <row r="20" spans="1:19" s="448" customFormat="1">
      <c r="A20" s="808" t="s">
        <v>306</v>
      </c>
      <c r="B20" s="813"/>
      <c r="C20" s="686">
        <f>transport!B14</f>
        <v>105.10712607726516</v>
      </c>
      <c r="D20" s="686">
        <f>transport!C14</f>
        <v>0</v>
      </c>
      <c r="E20" s="686">
        <f>transport!D14</f>
        <v>345.98241528176305</v>
      </c>
      <c r="F20" s="686">
        <f>transport!E14</f>
        <v>341.69757725579018</v>
      </c>
      <c r="G20" s="686">
        <f>transport!F14</f>
        <v>0</v>
      </c>
      <c r="H20" s="686">
        <f>transport!G14</f>
        <v>185305.47886896075</v>
      </c>
      <c r="I20" s="686">
        <f>transport!H14</f>
        <v>33285.995648378099</v>
      </c>
      <c r="J20" s="686">
        <f>transport!I14</f>
        <v>0</v>
      </c>
      <c r="K20" s="686">
        <f>transport!J14</f>
        <v>0</v>
      </c>
      <c r="L20" s="686">
        <f>transport!K14</f>
        <v>0</v>
      </c>
      <c r="M20" s="686">
        <f>transport!L14</f>
        <v>0</v>
      </c>
      <c r="N20" s="686">
        <f>transport!M14</f>
        <v>12885.202274569016</v>
      </c>
      <c r="O20" s="686">
        <f>transport!N14</f>
        <v>0</v>
      </c>
      <c r="P20" s="686">
        <f>transport!O14</f>
        <v>0</v>
      </c>
      <c r="Q20" s="687">
        <f>transport!P14</f>
        <v>0</v>
      </c>
      <c r="R20" s="689">
        <f>SUM(C20:Q20)</f>
        <v>232269.4639105227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105.10712607726516</v>
      </c>
      <c r="D22" s="811">
        <f t="shared" ref="D22:R22" si="1">SUM(D18:D21)</f>
        <v>0</v>
      </c>
      <c r="E22" s="811">
        <f t="shared" si="1"/>
        <v>345.98241528176305</v>
      </c>
      <c r="F22" s="811">
        <f t="shared" si="1"/>
        <v>341.69757725579018</v>
      </c>
      <c r="G22" s="811">
        <f t="shared" si="1"/>
        <v>0</v>
      </c>
      <c r="H22" s="811">
        <f t="shared" si="1"/>
        <v>186219.79568648682</v>
      </c>
      <c r="I22" s="811">
        <f t="shared" si="1"/>
        <v>33285.995648378099</v>
      </c>
      <c r="J22" s="811">
        <f t="shared" si="1"/>
        <v>0</v>
      </c>
      <c r="K22" s="811">
        <f t="shared" si="1"/>
        <v>0</v>
      </c>
      <c r="L22" s="811">
        <f t="shared" si="1"/>
        <v>0</v>
      </c>
      <c r="M22" s="811">
        <f t="shared" si="1"/>
        <v>0</v>
      </c>
      <c r="N22" s="811">
        <f t="shared" si="1"/>
        <v>12936.012109300038</v>
      </c>
      <c r="O22" s="811">
        <f t="shared" si="1"/>
        <v>0</v>
      </c>
      <c r="P22" s="811">
        <f t="shared" si="1"/>
        <v>0</v>
      </c>
      <c r="Q22" s="811">
        <f t="shared" si="1"/>
        <v>0</v>
      </c>
      <c r="R22" s="811">
        <f t="shared" si="1"/>
        <v>233234.59056277978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519.11119700000006</v>
      </c>
      <c r="D24" s="686">
        <f>+landbouw!C8</f>
        <v>0</v>
      </c>
      <c r="E24" s="686">
        <f>+landbouw!D8</f>
        <v>46.281620000000004</v>
      </c>
      <c r="F24" s="686">
        <f>+landbouw!E8</f>
        <v>16.201289276615562</v>
      </c>
      <c r="G24" s="686">
        <f>+landbouw!F8</f>
        <v>1834.5964757851334</v>
      </c>
      <c r="H24" s="686">
        <f>+landbouw!G8</f>
        <v>0</v>
      </c>
      <c r="I24" s="686">
        <f>+landbouw!H8</f>
        <v>0</v>
      </c>
      <c r="J24" s="686">
        <f>+landbouw!I8</f>
        <v>0</v>
      </c>
      <c r="K24" s="686">
        <f>+landbouw!J8</f>
        <v>143.01873477810102</v>
      </c>
      <c r="L24" s="686">
        <f>+landbouw!K8</f>
        <v>0</v>
      </c>
      <c r="M24" s="686">
        <f>+landbouw!L8</f>
        <v>0</v>
      </c>
      <c r="N24" s="686">
        <f>+landbouw!M8</f>
        <v>0</v>
      </c>
      <c r="O24" s="686">
        <f>+landbouw!N8</f>
        <v>0</v>
      </c>
      <c r="P24" s="686">
        <f>+landbouw!O8</f>
        <v>0</v>
      </c>
      <c r="Q24" s="687">
        <f>+landbouw!P8</f>
        <v>0</v>
      </c>
      <c r="R24" s="689">
        <f>SUM(C24:Q24)</f>
        <v>2559.2093168398501</v>
      </c>
      <c r="S24" s="67"/>
    </row>
    <row r="25" spans="1:19" s="448" customFormat="1" ht="15" thickBot="1">
      <c r="A25" s="830" t="s">
        <v>724</v>
      </c>
      <c r="B25" s="949"/>
      <c r="C25" s="950">
        <f>IF(Onbekend_ele_kWh="---",0,Onbekend_ele_kWh)/1000+IF(REST_rest_ele_kWh="---",0,REST_rest_ele_kWh)/1000</f>
        <v>522.47754399999997</v>
      </c>
      <c r="D25" s="950"/>
      <c r="E25" s="950">
        <f>IF(onbekend_gas_kWh="---",0,onbekend_gas_kWh)/1000+IF(REST_rest_gas_kWh="---",0,REST_rest_gas_kWh)/1000</f>
        <v>2084.3774950000002</v>
      </c>
      <c r="F25" s="950"/>
      <c r="G25" s="950"/>
      <c r="H25" s="950"/>
      <c r="I25" s="950"/>
      <c r="J25" s="950"/>
      <c r="K25" s="950"/>
      <c r="L25" s="950"/>
      <c r="M25" s="950"/>
      <c r="N25" s="950"/>
      <c r="O25" s="950"/>
      <c r="P25" s="950"/>
      <c r="Q25" s="951"/>
      <c r="R25" s="689">
        <f>SUM(C25:Q25)</f>
        <v>2606.855039</v>
      </c>
      <c r="S25" s="67"/>
    </row>
    <row r="26" spans="1:19" s="448" customFormat="1" ht="15.75" thickBot="1">
      <c r="A26" s="694" t="s">
        <v>725</v>
      </c>
      <c r="B26" s="816"/>
      <c r="C26" s="811">
        <f>SUM(C24:C25)</f>
        <v>1041.588741</v>
      </c>
      <c r="D26" s="811">
        <f t="shared" ref="D26:R26" si="2">SUM(D24:D25)</f>
        <v>0</v>
      </c>
      <c r="E26" s="811">
        <f t="shared" si="2"/>
        <v>2130.6591150000004</v>
      </c>
      <c r="F26" s="811">
        <f t="shared" si="2"/>
        <v>16.201289276615562</v>
      </c>
      <c r="G26" s="811">
        <f t="shared" si="2"/>
        <v>1834.5964757851334</v>
      </c>
      <c r="H26" s="811">
        <f t="shared" si="2"/>
        <v>0</v>
      </c>
      <c r="I26" s="811">
        <f t="shared" si="2"/>
        <v>0</v>
      </c>
      <c r="J26" s="811">
        <f t="shared" si="2"/>
        <v>0</v>
      </c>
      <c r="K26" s="811">
        <f t="shared" si="2"/>
        <v>143.01873477810102</v>
      </c>
      <c r="L26" s="811">
        <f t="shared" si="2"/>
        <v>0</v>
      </c>
      <c r="M26" s="811">
        <f t="shared" si="2"/>
        <v>0</v>
      </c>
      <c r="N26" s="811">
        <f t="shared" si="2"/>
        <v>0</v>
      </c>
      <c r="O26" s="811">
        <f t="shared" si="2"/>
        <v>0</v>
      </c>
      <c r="P26" s="811">
        <f t="shared" si="2"/>
        <v>0</v>
      </c>
      <c r="Q26" s="811">
        <f t="shared" si="2"/>
        <v>0</v>
      </c>
      <c r="R26" s="811">
        <f t="shared" si="2"/>
        <v>5166.0643558398497</v>
      </c>
      <c r="S26" s="67"/>
    </row>
    <row r="27" spans="1:19" s="448" customFormat="1" ht="17.25" thickTop="1" thickBot="1">
      <c r="A27" s="695" t="s">
        <v>115</v>
      </c>
      <c r="B27" s="803"/>
      <c r="C27" s="696">
        <f ca="1">C22+C16+C26</f>
        <v>89704.323548286906</v>
      </c>
      <c r="D27" s="696">
        <f t="shared" ref="D27:R27" ca="1" si="3">D22+D16+D26</f>
        <v>0</v>
      </c>
      <c r="E27" s="696">
        <f t="shared" ca="1" si="3"/>
        <v>100405.71761406575</v>
      </c>
      <c r="F27" s="696">
        <f t="shared" si="3"/>
        <v>11601.283633496378</v>
      </c>
      <c r="G27" s="696">
        <f t="shared" ca="1" si="3"/>
        <v>19802.559712137947</v>
      </c>
      <c r="H27" s="696">
        <f t="shared" si="3"/>
        <v>186219.79568648682</v>
      </c>
      <c r="I27" s="696">
        <f t="shared" si="3"/>
        <v>33285.995648378099</v>
      </c>
      <c r="J27" s="696">
        <f t="shared" si="3"/>
        <v>0</v>
      </c>
      <c r="K27" s="696">
        <f t="shared" si="3"/>
        <v>700.58149612016064</v>
      </c>
      <c r="L27" s="696">
        <f t="shared" si="3"/>
        <v>0</v>
      </c>
      <c r="M27" s="696">
        <f t="shared" ca="1" si="3"/>
        <v>0</v>
      </c>
      <c r="N27" s="696">
        <f t="shared" si="3"/>
        <v>12936.012109300038</v>
      </c>
      <c r="O27" s="696">
        <f t="shared" ca="1" si="3"/>
        <v>20084.50202536086</v>
      </c>
      <c r="P27" s="696">
        <f t="shared" si="3"/>
        <v>194.30263593467626</v>
      </c>
      <c r="Q27" s="696">
        <f t="shared" si="3"/>
        <v>621.37294092148625</v>
      </c>
      <c r="R27" s="696">
        <f t="shared" ca="1" si="3"/>
        <v>475556.44705048914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4842.4397757037259</v>
      </c>
      <c r="D40" s="686">
        <f ca="1">tertiair!C20</f>
        <v>0</v>
      </c>
      <c r="E40" s="686">
        <f ca="1">tertiair!D20</f>
        <v>3072.7752662447724</v>
      </c>
      <c r="F40" s="686">
        <f>tertiair!E20</f>
        <v>56.499709525293035</v>
      </c>
      <c r="G40" s="686">
        <f ca="1">tertiair!F20</f>
        <v>746.64804768758063</v>
      </c>
      <c r="H40" s="686">
        <f>tertiair!G20</f>
        <v>0</v>
      </c>
      <c r="I40" s="686">
        <f>tertiair!H20</f>
        <v>0</v>
      </c>
      <c r="J40" s="686">
        <f>tertiair!I20</f>
        <v>0</v>
      </c>
      <c r="K40" s="686">
        <f>tertiair!J20</f>
        <v>3.5715494531721195E-2</v>
      </c>
      <c r="L40" s="686">
        <f>tertiair!K20</f>
        <v>0</v>
      </c>
      <c r="M40" s="686">
        <f ca="1">tertiair!L20</f>
        <v>0</v>
      </c>
      <c r="N40" s="686">
        <f>tertiair!M20</f>
        <v>0</v>
      </c>
      <c r="O40" s="686">
        <f ca="1">tertiair!N20</f>
        <v>0</v>
      </c>
      <c r="P40" s="686">
        <f>tertiair!O20</f>
        <v>0</v>
      </c>
      <c r="Q40" s="769">
        <f>tertiair!P20</f>
        <v>0</v>
      </c>
      <c r="R40" s="849">
        <f t="shared" ca="1" si="4"/>
        <v>8718.3985146559044</v>
      </c>
    </row>
    <row r="41" spans="1:18">
      <c r="A41" s="821" t="s">
        <v>224</v>
      </c>
      <c r="B41" s="828"/>
      <c r="C41" s="686">
        <f ca="1">huishoudens!B12</f>
        <v>4421.0904917749367</v>
      </c>
      <c r="D41" s="686">
        <f ca="1">huishoudens!C12</f>
        <v>0</v>
      </c>
      <c r="E41" s="686">
        <f>huishoudens!D12</f>
        <v>9910.6795205267954</v>
      </c>
      <c r="F41" s="686">
        <f>huishoudens!E12</f>
        <v>1987.231435463475</v>
      </c>
      <c r="G41" s="686">
        <f>huishoudens!F12</f>
        <v>1635.2333194577755</v>
      </c>
      <c r="H41" s="686">
        <f>huishoudens!G12</f>
        <v>0</v>
      </c>
      <c r="I41" s="686">
        <f>huishoudens!H12</f>
        <v>0</v>
      </c>
      <c r="J41" s="686">
        <f>huishoudens!I12</f>
        <v>0</v>
      </c>
      <c r="K41" s="686">
        <f>huishoudens!J12</f>
        <v>83.447342370020266</v>
      </c>
      <c r="L41" s="686">
        <f>huishoudens!K12</f>
        <v>0</v>
      </c>
      <c r="M41" s="686">
        <f>huishoudens!L12</f>
        <v>0</v>
      </c>
      <c r="N41" s="686">
        <f>huishoudens!M12</f>
        <v>0</v>
      </c>
      <c r="O41" s="686">
        <f>huishoudens!N12</f>
        <v>0</v>
      </c>
      <c r="P41" s="686">
        <f>huishoudens!O12</f>
        <v>0</v>
      </c>
      <c r="Q41" s="769">
        <f>huishoudens!P12</f>
        <v>0</v>
      </c>
      <c r="R41" s="849">
        <f t="shared" ca="1" si="4"/>
        <v>18037.682109593003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9125.3921770581946</v>
      </c>
      <c r="D43" s="686">
        <f ca="1">industrie!C22</f>
        <v>0</v>
      </c>
      <c r="E43" s="686">
        <f>industrie!D22</f>
        <v>6798.2185821528001</v>
      </c>
      <c r="F43" s="686">
        <f>industrie!E22</f>
        <v>508.51719711205345</v>
      </c>
      <c r="G43" s="686">
        <f>industrie!F22</f>
        <v>2415.5648169608457</v>
      </c>
      <c r="H43" s="686">
        <f>industrie!G22</f>
        <v>0</v>
      </c>
      <c r="I43" s="686">
        <f>industrie!H22</f>
        <v>0</v>
      </c>
      <c r="J43" s="686">
        <f>industrie!I22</f>
        <v>0</v>
      </c>
      <c r="K43" s="686">
        <f>industrie!J22</f>
        <v>113.89415965053709</v>
      </c>
      <c r="L43" s="686">
        <f>industrie!K22</f>
        <v>0</v>
      </c>
      <c r="M43" s="686">
        <f>industrie!L22</f>
        <v>0</v>
      </c>
      <c r="N43" s="686">
        <f>industrie!M22</f>
        <v>0</v>
      </c>
      <c r="O43" s="686">
        <f>industrie!N22</f>
        <v>0</v>
      </c>
      <c r="P43" s="686">
        <f>industrie!O22</f>
        <v>0</v>
      </c>
      <c r="Q43" s="769">
        <f>industrie!P22</f>
        <v>0</v>
      </c>
      <c r="R43" s="848">
        <f t="shared" ca="1" si="4"/>
        <v>18961.586932934431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18388.922444536856</v>
      </c>
      <c r="D46" s="722">
        <f t="shared" ref="D46:Q46" ca="1" si="5">SUM(D39:D45)</f>
        <v>0</v>
      </c>
      <c r="E46" s="722">
        <f t="shared" ca="1" si="5"/>
        <v>19781.67336892437</v>
      </c>
      <c r="F46" s="722">
        <f t="shared" si="5"/>
        <v>2552.2483421008214</v>
      </c>
      <c r="G46" s="722">
        <f t="shared" ca="1" si="5"/>
        <v>4797.4461841062021</v>
      </c>
      <c r="H46" s="722">
        <f t="shared" si="5"/>
        <v>0</v>
      </c>
      <c r="I46" s="722">
        <f t="shared" si="5"/>
        <v>0</v>
      </c>
      <c r="J46" s="722">
        <f t="shared" si="5"/>
        <v>0</v>
      </c>
      <c r="K46" s="722">
        <f t="shared" si="5"/>
        <v>197.37721751508906</v>
      </c>
      <c r="L46" s="722">
        <f t="shared" si="5"/>
        <v>0</v>
      </c>
      <c r="M46" s="722">
        <f t="shared" ca="1" si="5"/>
        <v>0</v>
      </c>
      <c r="N46" s="722">
        <f t="shared" si="5"/>
        <v>0</v>
      </c>
      <c r="O46" s="722">
        <f t="shared" ca="1" si="5"/>
        <v>0</v>
      </c>
      <c r="P46" s="722">
        <f t="shared" si="5"/>
        <v>0</v>
      </c>
      <c r="Q46" s="722">
        <f t="shared" si="5"/>
        <v>0</v>
      </c>
      <c r="R46" s="722">
        <f ca="1">SUM(R39:R45)</f>
        <v>45717.667557183333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244.12259027945871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244.12259027945871</v>
      </c>
    </row>
    <row r="50" spans="1:18">
      <c r="A50" s="824" t="s">
        <v>306</v>
      </c>
      <c r="B50" s="834"/>
      <c r="C50" s="692">
        <f ca="1">transport!B18</f>
        <v>21.825412902440405</v>
      </c>
      <c r="D50" s="692">
        <f>transport!C18</f>
        <v>0</v>
      </c>
      <c r="E50" s="692">
        <f>transport!D18</f>
        <v>69.88844788691614</v>
      </c>
      <c r="F50" s="692">
        <f>transport!E18</f>
        <v>77.565350037064377</v>
      </c>
      <c r="G50" s="692">
        <f>transport!F18</f>
        <v>0</v>
      </c>
      <c r="H50" s="692">
        <f>transport!G18</f>
        <v>49476.562858012527</v>
      </c>
      <c r="I50" s="692">
        <f>transport!H18</f>
        <v>8288.2129164461458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57934.054985285089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21.825412902440405</v>
      </c>
      <c r="D52" s="722">
        <f t="shared" ref="D52:Q52" ca="1" si="6">SUM(D48:D51)</f>
        <v>0</v>
      </c>
      <c r="E52" s="722">
        <f t="shared" si="6"/>
        <v>69.88844788691614</v>
      </c>
      <c r="F52" s="722">
        <f t="shared" si="6"/>
        <v>77.565350037064377</v>
      </c>
      <c r="G52" s="722">
        <f t="shared" si="6"/>
        <v>0</v>
      </c>
      <c r="H52" s="722">
        <f t="shared" si="6"/>
        <v>49720.685448291988</v>
      </c>
      <c r="I52" s="722">
        <f t="shared" si="6"/>
        <v>8288.2129164461458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58178.17757556455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107.79303592105104</v>
      </c>
      <c r="D54" s="692">
        <f ca="1">+landbouw!C12</f>
        <v>0</v>
      </c>
      <c r="E54" s="692">
        <f>+landbouw!D12</f>
        <v>9.3488872400000016</v>
      </c>
      <c r="F54" s="692">
        <f>+landbouw!E12</f>
        <v>3.6776926657917328</v>
      </c>
      <c r="G54" s="692">
        <f>+landbouw!F12</f>
        <v>489.83725903463062</v>
      </c>
      <c r="H54" s="692">
        <f>+landbouw!G12</f>
        <v>0</v>
      </c>
      <c r="I54" s="692">
        <f>+landbouw!H12</f>
        <v>0</v>
      </c>
      <c r="J54" s="692">
        <f>+landbouw!I12</f>
        <v>0</v>
      </c>
      <c r="K54" s="692">
        <f>+landbouw!J12</f>
        <v>50.628632111447757</v>
      </c>
      <c r="L54" s="692">
        <f>+landbouw!K12</f>
        <v>0</v>
      </c>
      <c r="M54" s="692">
        <f>+landbouw!L12</f>
        <v>0</v>
      </c>
      <c r="N54" s="692">
        <f>+landbouw!M12</f>
        <v>0</v>
      </c>
      <c r="O54" s="692">
        <f>+landbouw!N12</f>
        <v>0</v>
      </c>
      <c r="P54" s="692">
        <f>+landbouw!O12</f>
        <v>0</v>
      </c>
      <c r="Q54" s="693">
        <f>+landbouw!P12</f>
        <v>0</v>
      </c>
      <c r="R54" s="721">
        <f ca="1">SUM(C54:Q54)</f>
        <v>661.28550697292121</v>
      </c>
    </row>
    <row r="55" spans="1:18" ht="15" thickBot="1">
      <c r="A55" s="824" t="s">
        <v>724</v>
      </c>
      <c r="B55" s="834"/>
      <c r="C55" s="692">
        <f ca="1">C25*'EF ele_warmte'!B12</f>
        <v>108.49205525484845</v>
      </c>
      <c r="D55" s="692"/>
      <c r="E55" s="692">
        <f>E25*EF_CO2_aardgas</f>
        <v>421.04425399000007</v>
      </c>
      <c r="F55" s="692"/>
      <c r="G55" s="692"/>
      <c r="H55" s="692"/>
      <c r="I55" s="692"/>
      <c r="J55" s="692"/>
      <c r="K55" s="692"/>
      <c r="L55" s="692"/>
      <c r="M55" s="692"/>
      <c r="N55" s="692"/>
      <c r="O55" s="692"/>
      <c r="P55" s="692"/>
      <c r="Q55" s="693"/>
      <c r="R55" s="721">
        <f ca="1">SUM(C55:Q55)</f>
        <v>529.53630924484855</v>
      </c>
    </row>
    <row r="56" spans="1:18" ht="15.75" thickBot="1">
      <c r="A56" s="822" t="s">
        <v>725</v>
      </c>
      <c r="B56" s="835"/>
      <c r="C56" s="722">
        <f ca="1">SUM(C54:C55)</f>
        <v>216.28509117589948</v>
      </c>
      <c r="D56" s="722">
        <f t="shared" ref="D56:Q56" ca="1" si="7">SUM(D54:D55)</f>
        <v>0</v>
      </c>
      <c r="E56" s="722">
        <f t="shared" si="7"/>
        <v>430.39314123000008</v>
      </c>
      <c r="F56" s="722">
        <f t="shared" si="7"/>
        <v>3.6776926657917328</v>
      </c>
      <c r="G56" s="722">
        <f t="shared" si="7"/>
        <v>489.83725903463062</v>
      </c>
      <c r="H56" s="722">
        <f t="shared" si="7"/>
        <v>0</v>
      </c>
      <c r="I56" s="722">
        <f t="shared" si="7"/>
        <v>0</v>
      </c>
      <c r="J56" s="722">
        <f t="shared" si="7"/>
        <v>0</v>
      </c>
      <c r="K56" s="722">
        <f t="shared" si="7"/>
        <v>50.628632111447757</v>
      </c>
      <c r="L56" s="722">
        <f t="shared" si="7"/>
        <v>0</v>
      </c>
      <c r="M56" s="722">
        <f t="shared" si="7"/>
        <v>0</v>
      </c>
      <c r="N56" s="722">
        <f t="shared" si="7"/>
        <v>0</v>
      </c>
      <c r="O56" s="722">
        <f t="shared" si="7"/>
        <v>0</v>
      </c>
      <c r="P56" s="722">
        <f t="shared" si="7"/>
        <v>0</v>
      </c>
      <c r="Q56" s="723">
        <f t="shared" si="7"/>
        <v>0</v>
      </c>
      <c r="R56" s="724">
        <f ca="1">SUM(R54:R55)</f>
        <v>1190.8218162177698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18627.032948615193</v>
      </c>
      <c r="D61" s="730">
        <f t="shared" ref="D61:Q61" ca="1" si="8">D46+D52+D56</f>
        <v>0</v>
      </c>
      <c r="E61" s="730">
        <f t="shared" ca="1" si="8"/>
        <v>20281.954958041286</v>
      </c>
      <c r="F61" s="730">
        <f t="shared" si="8"/>
        <v>2633.4913848036776</v>
      </c>
      <c r="G61" s="730">
        <f t="shared" ca="1" si="8"/>
        <v>5287.2834431408328</v>
      </c>
      <c r="H61" s="730">
        <f t="shared" si="8"/>
        <v>49720.685448291988</v>
      </c>
      <c r="I61" s="730">
        <f t="shared" si="8"/>
        <v>8288.2129164461458</v>
      </c>
      <c r="J61" s="730">
        <f t="shared" si="8"/>
        <v>0</v>
      </c>
      <c r="K61" s="730">
        <f t="shared" si="8"/>
        <v>248.00584962653681</v>
      </c>
      <c r="L61" s="730">
        <f t="shared" si="8"/>
        <v>0</v>
      </c>
      <c r="M61" s="730">
        <f t="shared" ca="1" si="8"/>
        <v>0</v>
      </c>
      <c r="N61" s="730">
        <f t="shared" si="8"/>
        <v>0</v>
      </c>
      <c r="O61" s="730">
        <f t="shared" ca="1" si="8"/>
        <v>0</v>
      </c>
      <c r="P61" s="730">
        <f t="shared" si="8"/>
        <v>0</v>
      </c>
      <c r="Q61" s="730">
        <f t="shared" si="8"/>
        <v>0</v>
      </c>
      <c r="R61" s="730">
        <f ca="1">R46+R52+R56</f>
        <v>105086.66694896565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0.20764922148471979</v>
      </c>
      <c r="D63" s="776">
        <f t="shared" ca="1" si="9"/>
        <v>0</v>
      </c>
      <c r="E63" s="975">
        <f t="shared" ca="1" si="9"/>
        <v>0.20200000000000004</v>
      </c>
      <c r="F63" s="776">
        <f t="shared" si="9"/>
        <v>0.22699999999999998</v>
      </c>
      <c r="G63" s="776">
        <f t="shared" ca="1" si="9"/>
        <v>0.26700000000000007</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5419.1065862271889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5419.1065862271889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5419.1065862271889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5419.1065862271889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21291.148891209636</v>
      </c>
      <c r="C4" s="452">
        <f>huishoudens!C8</f>
        <v>0</v>
      </c>
      <c r="D4" s="452">
        <f>huishoudens!D8</f>
        <v>49062.769903597997</v>
      </c>
      <c r="E4" s="452">
        <f>huishoudens!E8</f>
        <v>8754.323504244383</v>
      </c>
      <c r="F4" s="452">
        <f>huishoudens!F8</f>
        <v>6124.4693612650763</v>
      </c>
      <c r="G4" s="452">
        <f>huishoudens!G8</f>
        <v>0</v>
      </c>
      <c r="H4" s="452">
        <f>huishoudens!H8</f>
        <v>0</v>
      </c>
      <c r="I4" s="452">
        <f>huishoudens!I8</f>
        <v>0</v>
      </c>
      <c r="J4" s="452">
        <f>huishoudens!J8</f>
        <v>235.72695584751489</v>
      </c>
      <c r="K4" s="452">
        <f>huishoudens!K8</f>
        <v>0</v>
      </c>
      <c r="L4" s="452">
        <f>huishoudens!L8</f>
        <v>0</v>
      </c>
      <c r="M4" s="452">
        <f>huishoudens!M8</f>
        <v>0</v>
      </c>
      <c r="N4" s="452">
        <f>huishoudens!N8</f>
        <v>13653.540972926339</v>
      </c>
      <c r="O4" s="452">
        <f>huishoudens!O8</f>
        <v>184.50811440299395</v>
      </c>
      <c r="P4" s="453">
        <f>huishoudens!P8</f>
        <v>568.83380261499121</v>
      </c>
      <c r="Q4" s="454">
        <f>SUM(B4:P4)</f>
        <v>99875.321506108914</v>
      </c>
    </row>
    <row r="5" spans="1:17">
      <c r="A5" s="451" t="s">
        <v>155</v>
      </c>
      <c r="B5" s="452">
        <f ca="1">tertiair!B16</f>
        <v>22751.418614999999</v>
      </c>
      <c r="C5" s="452">
        <f ca="1">tertiair!C16</f>
        <v>0</v>
      </c>
      <c r="D5" s="452">
        <f ca="1">tertiair!D16</f>
        <v>15211.758743786</v>
      </c>
      <c r="E5" s="452">
        <f>tertiair!E16</f>
        <v>248.89739878983715</v>
      </c>
      <c r="F5" s="452">
        <f ca="1">tertiair!F16</f>
        <v>2796.4346355340099</v>
      </c>
      <c r="G5" s="452">
        <f>tertiair!G16</f>
        <v>0</v>
      </c>
      <c r="H5" s="452">
        <f>tertiair!H16</f>
        <v>0</v>
      </c>
      <c r="I5" s="452">
        <f>tertiair!I16</f>
        <v>0</v>
      </c>
      <c r="J5" s="452">
        <f>tertiair!J16</f>
        <v>0.10089122749073784</v>
      </c>
      <c r="K5" s="452">
        <f>tertiair!K16</f>
        <v>0</v>
      </c>
      <c r="L5" s="452">
        <f ca="1">tertiair!L16</f>
        <v>0</v>
      </c>
      <c r="M5" s="452">
        <f>tertiair!M16</f>
        <v>0</v>
      </c>
      <c r="N5" s="452">
        <f ca="1">tertiair!N16</f>
        <v>3945.6035101901139</v>
      </c>
      <c r="O5" s="452">
        <f>tertiair!O16</f>
        <v>9.7945215316823084</v>
      </c>
      <c r="P5" s="453">
        <f>tertiair!P16</f>
        <v>52.539138306495019</v>
      </c>
      <c r="Q5" s="451">
        <f t="shared" ref="Q5:Q14" ca="1" si="0">SUM(B5:P5)</f>
        <v>45016.547454365624</v>
      </c>
    </row>
    <row r="6" spans="1:17">
      <c r="A6" s="451" t="s">
        <v>193</v>
      </c>
      <c r="B6" s="452">
        <f>'openbare verlichting'!B8</f>
        <v>568.87</v>
      </c>
      <c r="C6" s="452"/>
      <c r="D6" s="452"/>
      <c r="E6" s="452"/>
      <c r="F6" s="452"/>
      <c r="G6" s="452"/>
      <c r="H6" s="452"/>
      <c r="I6" s="452"/>
      <c r="J6" s="452"/>
      <c r="K6" s="452"/>
      <c r="L6" s="452"/>
      <c r="M6" s="452"/>
      <c r="N6" s="452"/>
      <c r="O6" s="452"/>
      <c r="P6" s="453"/>
      <c r="Q6" s="451">
        <f t="shared" si="0"/>
        <v>568.87</v>
      </c>
    </row>
    <row r="7" spans="1:17">
      <c r="A7" s="451" t="s">
        <v>111</v>
      </c>
      <c r="B7" s="452">
        <f>landbouw!B8</f>
        <v>519.11119700000006</v>
      </c>
      <c r="C7" s="452">
        <f>landbouw!C8</f>
        <v>0</v>
      </c>
      <c r="D7" s="452">
        <f>landbouw!D8</f>
        <v>46.281620000000004</v>
      </c>
      <c r="E7" s="452">
        <f>landbouw!E8</f>
        <v>16.201289276615562</v>
      </c>
      <c r="F7" s="452">
        <f>landbouw!F8</f>
        <v>1834.5964757851334</v>
      </c>
      <c r="G7" s="452">
        <f>landbouw!G8</f>
        <v>0</v>
      </c>
      <c r="H7" s="452">
        <f>landbouw!H8</f>
        <v>0</v>
      </c>
      <c r="I7" s="452">
        <f>landbouw!I8</f>
        <v>0</v>
      </c>
      <c r="J7" s="452">
        <f>landbouw!J8</f>
        <v>143.01873477810102</v>
      </c>
      <c r="K7" s="452">
        <f>landbouw!K8</f>
        <v>0</v>
      </c>
      <c r="L7" s="452">
        <f>landbouw!L8</f>
        <v>0</v>
      </c>
      <c r="M7" s="452">
        <f>landbouw!M8</f>
        <v>0</v>
      </c>
      <c r="N7" s="452">
        <f>landbouw!N8</f>
        <v>0</v>
      </c>
      <c r="O7" s="452">
        <f>landbouw!O8</f>
        <v>0</v>
      </c>
      <c r="P7" s="453">
        <f>landbouw!P8</f>
        <v>0</v>
      </c>
      <c r="Q7" s="451">
        <f t="shared" si="0"/>
        <v>2559.2093168398501</v>
      </c>
    </row>
    <row r="8" spans="1:17">
      <c r="A8" s="451" t="s">
        <v>625</v>
      </c>
      <c r="B8" s="452">
        <f>industrie!B18</f>
        <v>43946.190175000003</v>
      </c>
      <c r="C8" s="452">
        <f>industrie!C18</f>
        <v>0</v>
      </c>
      <c r="D8" s="452">
        <f>industrie!D18</f>
        <v>33654.547436399997</v>
      </c>
      <c r="E8" s="452">
        <f>industrie!E18</f>
        <v>2240.1638639297507</v>
      </c>
      <c r="F8" s="452">
        <f>industrie!F18</f>
        <v>9047.0592395537296</v>
      </c>
      <c r="G8" s="452">
        <f>industrie!G18</f>
        <v>0</v>
      </c>
      <c r="H8" s="452">
        <f>industrie!H18</f>
        <v>0</v>
      </c>
      <c r="I8" s="452">
        <f>industrie!I18</f>
        <v>0</v>
      </c>
      <c r="J8" s="452">
        <f>industrie!J18</f>
        <v>321.73491426705397</v>
      </c>
      <c r="K8" s="452">
        <f>industrie!K18</f>
        <v>0</v>
      </c>
      <c r="L8" s="452">
        <f>industrie!L18</f>
        <v>0</v>
      </c>
      <c r="M8" s="452">
        <f>industrie!M18</f>
        <v>0</v>
      </c>
      <c r="N8" s="452">
        <f>industrie!N18</f>
        <v>2485.3575422444101</v>
      </c>
      <c r="O8" s="452">
        <f>industrie!O18</f>
        <v>0</v>
      </c>
      <c r="P8" s="453">
        <f>industrie!P18</f>
        <v>0</v>
      </c>
      <c r="Q8" s="451">
        <f t="shared" si="0"/>
        <v>91695.053171394931</v>
      </c>
    </row>
    <row r="9" spans="1:17" s="457" customFormat="1">
      <c r="A9" s="455" t="s">
        <v>551</v>
      </c>
      <c r="B9" s="456">
        <f>transport!B14</f>
        <v>105.10712607726516</v>
      </c>
      <c r="C9" s="456">
        <f>transport!C14</f>
        <v>0</v>
      </c>
      <c r="D9" s="456">
        <f>transport!D14</f>
        <v>345.98241528176305</v>
      </c>
      <c r="E9" s="456">
        <f>transport!E14</f>
        <v>341.69757725579018</v>
      </c>
      <c r="F9" s="456">
        <f>transport!F14</f>
        <v>0</v>
      </c>
      <c r="G9" s="456">
        <f>transport!G14</f>
        <v>185305.47886896075</v>
      </c>
      <c r="H9" s="456">
        <f>transport!H14</f>
        <v>33285.995648378099</v>
      </c>
      <c r="I9" s="456">
        <f>transport!I14</f>
        <v>0</v>
      </c>
      <c r="J9" s="456">
        <f>transport!J14</f>
        <v>0</v>
      </c>
      <c r="K9" s="456">
        <f>transport!K14</f>
        <v>0</v>
      </c>
      <c r="L9" s="456">
        <f>transport!L14</f>
        <v>0</v>
      </c>
      <c r="M9" s="456">
        <f>transport!M14</f>
        <v>12885.202274569016</v>
      </c>
      <c r="N9" s="456">
        <f>transport!N14</f>
        <v>0</v>
      </c>
      <c r="O9" s="456">
        <f>transport!O14</f>
        <v>0</v>
      </c>
      <c r="P9" s="456">
        <f>transport!P14</f>
        <v>0</v>
      </c>
      <c r="Q9" s="455">
        <f>SUM(B9:P9)</f>
        <v>232269.4639105227</v>
      </c>
    </row>
    <row r="10" spans="1:17">
      <c r="A10" s="451" t="s">
        <v>541</v>
      </c>
      <c r="B10" s="452">
        <f>transport!B54</f>
        <v>0</v>
      </c>
      <c r="C10" s="452">
        <f>transport!C54</f>
        <v>0</v>
      </c>
      <c r="D10" s="452">
        <f>transport!D54</f>
        <v>0</v>
      </c>
      <c r="E10" s="452">
        <f>transport!E54</f>
        <v>0</v>
      </c>
      <c r="F10" s="452">
        <f>transport!F54</f>
        <v>0</v>
      </c>
      <c r="G10" s="452">
        <f>transport!G54</f>
        <v>914.31681752606255</v>
      </c>
      <c r="H10" s="452">
        <f>transport!H54</f>
        <v>0</v>
      </c>
      <c r="I10" s="452">
        <f>transport!I54</f>
        <v>0</v>
      </c>
      <c r="J10" s="452">
        <f>transport!J54</f>
        <v>0</v>
      </c>
      <c r="K10" s="452">
        <f>transport!K54</f>
        <v>0</v>
      </c>
      <c r="L10" s="452">
        <f>transport!L54</f>
        <v>0</v>
      </c>
      <c r="M10" s="452">
        <f>transport!M54</f>
        <v>50.809834731021667</v>
      </c>
      <c r="N10" s="452">
        <f>transport!N54</f>
        <v>0</v>
      </c>
      <c r="O10" s="452">
        <f>transport!O54</f>
        <v>0</v>
      </c>
      <c r="P10" s="453">
        <f>transport!P54</f>
        <v>0</v>
      </c>
      <c r="Q10" s="451">
        <f t="shared" si="0"/>
        <v>965.12665225708417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522.47754399999997</v>
      </c>
      <c r="C14" s="459"/>
      <c r="D14" s="459">
        <f>'SEAP template'!E25</f>
        <v>2084.3774950000002</v>
      </c>
      <c r="E14" s="459"/>
      <c r="F14" s="459"/>
      <c r="G14" s="459"/>
      <c r="H14" s="459"/>
      <c r="I14" s="459"/>
      <c r="J14" s="459"/>
      <c r="K14" s="459"/>
      <c r="L14" s="459"/>
      <c r="M14" s="459"/>
      <c r="N14" s="459"/>
      <c r="O14" s="459"/>
      <c r="P14" s="460"/>
      <c r="Q14" s="451">
        <f t="shared" si="0"/>
        <v>2606.855039</v>
      </c>
    </row>
    <row r="15" spans="1:17" s="463" customFormat="1">
      <c r="A15" s="461" t="s">
        <v>545</v>
      </c>
      <c r="B15" s="462">
        <f ca="1">SUM(B4:B14)</f>
        <v>89704.323548286891</v>
      </c>
      <c r="C15" s="462">
        <f t="shared" ref="C15:Q15" ca="1" si="1">SUM(C4:C14)</f>
        <v>0</v>
      </c>
      <c r="D15" s="462">
        <f t="shared" ca="1" si="1"/>
        <v>100405.71761406574</v>
      </c>
      <c r="E15" s="462">
        <f t="shared" si="1"/>
        <v>11601.283633496378</v>
      </c>
      <c r="F15" s="462">
        <f t="shared" ca="1" si="1"/>
        <v>19802.559712137947</v>
      </c>
      <c r="G15" s="462">
        <f t="shared" si="1"/>
        <v>186219.79568648682</v>
      </c>
      <c r="H15" s="462">
        <f t="shared" si="1"/>
        <v>33285.995648378099</v>
      </c>
      <c r="I15" s="462">
        <f t="shared" si="1"/>
        <v>0</v>
      </c>
      <c r="J15" s="462">
        <f t="shared" si="1"/>
        <v>700.58149612016064</v>
      </c>
      <c r="K15" s="462">
        <f t="shared" si="1"/>
        <v>0</v>
      </c>
      <c r="L15" s="462">
        <f t="shared" ca="1" si="1"/>
        <v>0</v>
      </c>
      <c r="M15" s="462">
        <f t="shared" si="1"/>
        <v>12936.012109300038</v>
      </c>
      <c r="N15" s="462">
        <f t="shared" ca="1" si="1"/>
        <v>20084.50202536086</v>
      </c>
      <c r="O15" s="462">
        <f t="shared" si="1"/>
        <v>194.30263593467626</v>
      </c>
      <c r="P15" s="462">
        <f t="shared" si="1"/>
        <v>621.37294092148625</v>
      </c>
      <c r="Q15" s="462">
        <f t="shared" ca="1" si="1"/>
        <v>475556.44705048908</v>
      </c>
    </row>
    <row r="17" spans="1:17">
      <c r="A17" s="464" t="s">
        <v>546</v>
      </c>
      <c r="B17" s="781">
        <f ca="1">huishoudens!B10</f>
        <v>0.20764922148471984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4421.0904917749367</v>
      </c>
      <c r="C22" s="452">
        <f t="shared" ref="C22:C32" ca="1" si="3">C4*$C$17</f>
        <v>0</v>
      </c>
      <c r="D22" s="452">
        <f t="shared" ref="D22:D32" si="4">D4*$D$17</f>
        <v>9910.6795205267954</v>
      </c>
      <c r="E22" s="452">
        <f t="shared" ref="E22:E32" si="5">E4*$E$17</f>
        <v>1987.231435463475</v>
      </c>
      <c r="F22" s="452">
        <f t="shared" ref="F22:F32" si="6">F4*$F$17</f>
        <v>1635.2333194577755</v>
      </c>
      <c r="G22" s="452">
        <f t="shared" ref="G22:G32" si="7">G4*$G$17</f>
        <v>0</v>
      </c>
      <c r="H22" s="452">
        <f t="shared" ref="H22:H32" si="8">H4*$H$17</f>
        <v>0</v>
      </c>
      <c r="I22" s="452">
        <f t="shared" ref="I22:I32" si="9">I4*$I$17</f>
        <v>0</v>
      </c>
      <c r="J22" s="452">
        <f t="shared" ref="J22:J32" si="10">J4*$J$17</f>
        <v>83.447342370020266</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18037.682109593003</v>
      </c>
    </row>
    <row r="23" spans="1:17">
      <c r="A23" s="451" t="s">
        <v>155</v>
      </c>
      <c r="B23" s="452">
        <f t="shared" ca="1" si="2"/>
        <v>4724.3143630777131</v>
      </c>
      <c r="C23" s="452">
        <f t="shared" ca="1" si="3"/>
        <v>0</v>
      </c>
      <c r="D23" s="452">
        <f t="shared" ca="1" si="4"/>
        <v>3072.7752662447724</v>
      </c>
      <c r="E23" s="452">
        <f t="shared" si="5"/>
        <v>56.499709525293035</v>
      </c>
      <c r="F23" s="452">
        <f t="shared" ca="1" si="6"/>
        <v>746.64804768758063</v>
      </c>
      <c r="G23" s="452">
        <f t="shared" si="7"/>
        <v>0</v>
      </c>
      <c r="H23" s="452">
        <f t="shared" si="8"/>
        <v>0</v>
      </c>
      <c r="I23" s="452">
        <f t="shared" si="9"/>
        <v>0</v>
      </c>
      <c r="J23" s="452">
        <f t="shared" si="10"/>
        <v>3.5715494531721195E-2</v>
      </c>
      <c r="K23" s="452">
        <f t="shared" si="11"/>
        <v>0</v>
      </c>
      <c r="L23" s="452">
        <f t="shared" ca="1" si="12"/>
        <v>0</v>
      </c>
      <c r="M23" s="452">
        <f t="shared" si="13"/>
        <v>0</v>
      </c>
      <c r="N23" s="452">
        <f t="shared" ca="1" si="14"/>
        <v>0</v>
      </c>
      <c r="O23" s="452">
        <f t="shared" si="15"/>
        <v>0</v>
      </c>
      <c r="P23" s="453">
        <f t="shared" si="16"/>
        <v>0</v>
      </c>
      <c r="Q23" s="451">
        <f t="shared" ref="Q23:Q31" ca="1" si="17">SUM(B23:P23)</f>
        <v>8600.2731020298907</v>
      </c>
    </row>
    <row r="24" spans="1:17">
      <c r="A24" s="451" t="s">
        <v>193</v>
      </c>
      <c r="B24" s="452">
        <f t="shared" ca="1" si="2"/>
        <v>118.12541262601258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118.12541262601258</v>
      </c>
    </row>
    <row r="25" spans="1:17">
      <c r="A25" s="451" t="s">
        <v>111</v>
      </c>
      <c r="B25" s="452">
        <f t="shared" ca="1" si="2"/>
        <v>107.79303592105104</v>
      </c>
      <c r="C25" s="452">
        <f t="shared" ca="1" si="3"/>
        <v>0</v>
      </c>
      <c r="D25" s="452">
        <f t="shared" si="4"/>
        <v>9.3488872400000016</v>
      </c>
      <c r="E25" s="452">
        <f t="shared" si="5"/>
        <v>3.6776926657917328</v>
      </c>
      <c r="F25" s="452">
        <f t="shared" si="6"/>
        <v>489.83725903463062</v>
      </c>
      <c r="G25" s="452">
        <f t="shared" si="7"/>
        <v>0</v>
      </c>
      <c r="H25" s="452">
        <f t="shared" si="8"/>
        <v>0</v>
      </c>
      <c r="I25" s="452">
        <f t="shared" si="9"/>
        <v>0</v>
      </c>
      <c r="J25" s="452">
        <f t="shared" si="10"/>
        <v>50.628632111447757</v>
      </c>
      <c r="K25" s="452">
        <f t="shared" si="11"/>
        <v>0</v>
      </c>
      <c r="L25" s="452">
        <f t="shared" si="12"/>
        <v>0</v>
      </c>
      <c r="M25" s="452">
        <f t="shared" si="13"/>
        <v>0</v>
      </c>
      <c r="N25" s="452">
        <f t="shared" si="14"/>
        <v>0</v>
      </c>
      <c r="O25" s="452">
        <f t="shared" si="15"/>
        <v>0</v>
      </c>
      <c r="P25" s="453">
        <f t="shared" si="16"/>
        <v>0</v>
      </c>
      <c r="Q25" s="451">
        <f t="shared" ca="1" si="17"/>
        <v>661.28550697292121</v>
      </c>
    </row>
    <row r="26" spans="1:17">
      <c r="A26" s="451" t="s">
        <v>625</v>
      </c>
      <c r="B26" s="452">
        <f t="shared" ca="1" si="2"/>
        <v>9125.3921770581946</v>
      </c>
      <c r="C26" s="452">
        <f t="shared" ca="1" si="3"/>
        <v>0</v>
      </c>
      <c r="D26" s="452">
        <f t="shared" si="4"/>
        <v>6798.2185821528001</v>
      </c>
      <c r="E26" s="452">
        <f t="shared" si="5"/>
        <v>508.51719711205345</v>
      </c>
      <c r="F26" s="452">
        <f t="shared" si="6"/>
        <v>2415.5648169608457</v>
      </c>
      <c r="G26" s="452">
        <f t="shared" si="7"/>
        <v>0</v>
      </c>
      <c r="H26" s="452">
        <f t="shared" si="8"/>
        <v>0</v>
      </c>
      <c r="I26" s="452">
        <f t="shared" si="9"/>
        <v>0</v>
      </c>
      <c r="J26" s="452">
        <f t="shared" si="10"/>
        <v>113.89415965053709</v>
      </c>
      <c r="K26" s="452">
        <f t="shared" si="11"/>
        <v>0</v>
      </c>
      <c r="L26" s="452">
        <f t="shared" si="12"/>
        <v>0</v>
      </c>
      <c r="M26" s="452">
        <f t="shared" si="13"/>
        <v>0</v>
      </c>
      <c r="N26" s="452">
        <f t="shared" si="14"/>
        <v>0</v>
      </c>
      <c r="O26" s="452">
        <f t="shared" si="15"/>
        <v>0</v>
      </c>
      <c r="P26" s="453">
        <f t="shared" si="16"/>
        <v>0</v>
      </c>
      <c r="Q26" s="451">
        <f t="shared" ca="1" si="17"/>
        <v>18961.586932934431</v>
      </c>
    </row>
    <row r="27" spans="1:17" s="457" customFormat="1">
      <c r="A27" s="455" t="s">
        <v>551</v>
      </c>
      <c r="B27" s="775">
        <f t="shared" ca="1" si="2"/>
        <v>21.825412902440405</v>
      </c>
      <c r="C27" s="456">
        <f t="shared" ca="1" si="3"/>
        <v>0</v>
      </c>
      <c r="D27" s="456">
        <f t="shared" si="4"/>
        <v>69.88844788691614</v>
      </c>
      <c r="E27" s="456">
        <f t="shared" si="5"/>
        <v>77.565350037064377</v>
      </c>
      <c r="F27" s="456">
        <f t="shared" si="6"/>
        <v>0</v>
      </c>
      <c r="G27" s="456">
        <f t="shared" si="7"/>
        <v>49476.562858012527</v>
      </c>
      <c r="H27" s="456">
        <f t="shared" si="8"/>
        <v>8288.2129164461458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57934.054985285089</v>
      </c>
    </row>
    <row r="28" spans="1:17" ht="16.5" customHeight="1">
      <c r="A28" s="451" t="s">
        <v>541</v>
      </c>
      <c r="B28" s="452">
        <f t="shared" ca="1" si="2"/>
        <v>0</v>
      </c>
      <c r="C28" s="452">
        <f t="shared" ca="1" si="3"/>
        <v>0</v>
      </c>
      <c r="D28" s="452">
        <f t="shared" si="4"/>
        <v>0</v>
      </c>
      <c r="E28" s="452">
        <f t="shared" si="5"/>
        <v>0</v>
      </c>
      <c r="F28" s="452">
        <f t="shared" si="6"/>
        <v>0</v>
      </c>
      <c r="G28" s="452">
        <f t="shared" si="7"/>
        <v>244.12259027945871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244.12259027945871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108.49205525484845</v>
      </c>
      <c r="C32" s="452">
        <f t="shared" ca="1" si="3"/>
        <v>0</v>
      </c>
      <c r="D32" s="452">
        <f t="shared" si="4"/>
        <v>421.04425399000007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529.53630924484855</v>
      </c>
    </row>
    <row r="33" spans="1:17" s="463" customFormat="1">
      <c r="A33" s="461" t="s">
        <v>545</v>
      </c>
      <c r="B33" s="462">
        <f ca="1">SUM(B22:B32)</f>
        <v>18627.032948615197</v>
      </c>
      <c r="C33" s="462">
        <f t="shared" ref="C33:Q33" ca="1" si="19">SUM(C22:C32)</f>
        <v>0</v>
      </c>
      <c r="D33" s="462">
        <f t="shared" ca="1" si="19"/>
        <v>20281.954958041282</v>
      </c>
      <c r="E33" s="462">
        <f t="shared" si="19"/>
        <v>2633.4913848036776</v>
      </c>
      <c r="F33" s="462">
        <f t="shared" ca="1" si="19"/>
        <v>5287.2834431408328</v>
      </c>
      <c r="G33" s="462">
        <f t="shared" si="19"/>
        <v>49720.685448291988</v>
      </c>
      <c r="H33" s="462">
        <f t="shared" si="19"/>
        <v>8288.2129164461458</v>
      </c>
      <c r="I33" s="462">
        <f t="shared" si="19"/>
        <v>0</v>
      </c>
      <c r="J33" s="462">
        <f t="shared" si="19"/>
        <v>248.00584962653684</v>
      </c>
      <c r="K33" s="462">
        <f t="shared" si="19"/>
        <v>0</v>
      </c>
      <c r="L33" s="462">
        <f t="shared" ca="1" si="19"/>
        <v>0</v>
      </c>
      <c r="M33" s="462">
        <f t="shared" si="19"/>
        <v>0</v>
      </c>
      <c r="N33" s="462">
        <f t="shared" ca="1" si="19"/>
        <v>0</v>
      </c>
      <c r="O33" s="462">
        <f t="shared" si="19"/>
        <v>0</v>
      </c>
      <c r="P33" s="462">
        <f t="shared" si="19"/>
        <v>0</v>
      </c>
      <c r="Q33" s="462">
        <f t="shared" ca="1" si="19"/>
        <v>105086.66694896566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5419.1065862271889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5419.1065862271889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0.20764922148471984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0.20764922148471984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2020-06-20T15:29:20Z</dcterms:modified>
</cp:coreProperties>
</file>