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17" i="19"/>
  <c r="C19" i="19" s="1"/>
  <c r="D39" i="14" s="1"/>
  <c r="C20" i="16"/>
  <c r="C22" i="16" s="1"/>
  <c r="D43" i="14" s="1"/>
  <c r="C10" i="17"/>
  <c r="C12" i="17" s="1"/>
  <c r="D54" i="14" s="1"/>
  <c r="D56" i="14" s="1"/>
  <c r="C17" i="49"/>
  <c r="C22" i="59"/>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<sst xmlns="http://schemas.openxmlformats.org/spreadsheetml/2006/main" count="2438" uniqueCount="903">
  <si>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</si>
  <si>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</si>
  <si>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</si>
  <si>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</si>
  <si>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</si>
  <si>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</si>
  <si>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</si>
  <si>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</si>
  <si>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</si>
  <si>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</si>
  <si>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</si>
  <si>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</si>
  <si>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</si>
  <si>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</si>
  <si>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</si>
  <si>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</si>
  <si>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</si>
  <si>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</si>
  <si>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</si>
  <si>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</si>
  <si>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</si>
  <si>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</si>
  <si>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</si>
  <si>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</si>
  <si>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</si>
  <si>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</si>
  <si>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</si>
  <si>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</si>
  <si>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</si>
  <si>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</si>
  <si>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</si>
  <si>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</si>
  <si>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</si>
  <si>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</si>
  <si>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</si>
  <si>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</si>
  <si>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</si>
  <si>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</si>
  <si>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</si>
  <si>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</si>
  <si>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</si>
  <si>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</si>
  <si>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</si>
  <si>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</si>
  <si>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</si>
  <si>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</si>
  <si>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</si>
  <si>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</si>
  <si>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</si>
  <si>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</si>
  <si>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</si>
  <si>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</si>
  <si>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</si>
  <si>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</si>
  <si>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</si>
  <si>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</si>
  <si>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</si>
  <si>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</si>
  <si>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</si>
  <si>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</si>
  <si>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</si>
  <si>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</si>
  <si>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</si>
  <si>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</si>
  <si>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</si>
  <si>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</si>
  <si>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</si>
  <si>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</si>
  <si>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</si>
  <si>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</si>
  <si>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</si>
  <si>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</si>
  <si>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</si>
  <si>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</si>
  <si>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</si>
  <si>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</si>
  <si>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</si>
  <si>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</si>
  <si>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</si>
  <si>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</si>
  <si>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</si>
  <si>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</si>
  <si>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</si>
  <si>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</si>
  <si>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</si>
  <si>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</si>
  <si>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</si>
  <si>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</si>
  <si>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</si>
  <si>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</si>
  <si>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</si>
  <si>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</si>
  <si>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</si>
  <si>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</si>
  <si>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</si>
  <si>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</si>
  <si>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</si>
  <si>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</si>
  <si>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</si>
  <si>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</si>
  <si>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</si>
  <si>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</si>
  <si>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</si>
  <si>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</si>
  <si>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</si>
  <si>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</si>
  <si>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</si>
  <si>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</si>
  <si>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</si>
  <si>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</si>
  <si>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</si>
  <si>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</si>
  <si>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</si>
  <si>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</si>
  <si>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</si>
  <si>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</si>
  <si>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</si>
  <si>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</si>
  <si>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</si>
  <si>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</si>
  <si>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</si>
  <si>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</si>
  <si>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</si>
  <si>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</si>
  <si>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</si>
  <si>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</si>
  <si>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</si>
  <si>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</si>
  <si>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</si>
  <si>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</si>
  <si>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</si>
  <si>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</si>
  <si>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</si>
  <si>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</si>
  <si>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</si>
  <si>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</si>
  <si>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</si>
  <si>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</si>
  <si>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</si>
  <si>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</si>
  <si>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</si>
  <si>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</si>
  <si>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</si>
  <si>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</si>
  <si>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</si>
  <si>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</si>
  <si>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</si>
  <si>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</si>
  <si>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</si>
  <si>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</si>
  <si>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</si>
  <si>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</si>
  <si>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</si>
  <si>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</si>
  <si>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</si>
  <si>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</si>
  <si>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</si>
  <si>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</si>
  <si>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</si>
  <si>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</si>
  <si>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</si>
  <si>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</si>
  <si>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</si>
  <si>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</si>
  <si>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</si>
  <si>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</si>
  <si>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</si>
  <si>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</si>
  <si>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</si>
  <si>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</si>
  <si>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</si>
  <si>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</si>
  <si>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</si>
  <si>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</si>
  <si>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</si>
  <si>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</si>
  <si>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</si>
  <si>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</si>
  <si>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</si>
  <si>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</si>
  <si>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</si>
  <si>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</si>
  <si>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</si>
  <si>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</si>
  <si>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</si>
  <si>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</si>
  <si>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</si>
  <si>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</si>
  <si>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</si>
  <si>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</si>
  <si>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</si>
  <si>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</si>
  <si>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</si>
  <si>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</si>
  <si>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</si>
  <si>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</si>
  <si>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</si>
  <si>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</si>
  <si>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</si>
  <si>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</si>
  <si>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</si>
  <si>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</si>
  <si>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</si>
  <si>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</si>
  <si>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</si>
  <si>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</si>
  <si>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</si>
  <si>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</si>
  <si>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</si>
  <si>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</si>
  <si>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</si>
  <si>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</si>
  <si>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</si>
  <si>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</si>
  <si>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</si>
  <si>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</si>
  <si>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</si>
  <si>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</si>
  <si>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</si>
  <si>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</si>
  <si>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</si>
  <si>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</si>
  <si>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</si>
  <si>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</si>
  <si>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</si>
  <si>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</si>
  <si>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</si>
  <si>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</si>
  <si>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</si>
  <si>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</si>
  <si>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</si>
  <si>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</si>
  <si>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</si>
  <si>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</si>
  <si>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</si>
  <si>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</si>
  <si>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</si>
  <si>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</si>
  <si>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</si>
  <si>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</si>
  <si>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</si>
  <si>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</si>
  <si>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</si>
  <si>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</si>
  <si>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</si>
  <si>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</si>
  <si>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</si>
  <si>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</si>
  <si>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</si>
  <si>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</si>
  <si>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</si>
  <si>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</si>
  <si>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</si>
  <si>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</si>
  <si>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</si>
  <si>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</si>
  <si>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</si>
  <si>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</si>
  <si>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</si>
  <si>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</si>
  <si>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</si>
  <si>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</si>
  <si>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</si>
  <si>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</si>
  <si>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</si>
  <si>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</si>
  <si>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</si>
  <si>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</si>
  <si>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</si>
  <si>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</si>
  <si>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</si>
  <si>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</si>
  <si>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</si>
  <si>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</si>
  <si>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</si>
  <si>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</si>
  <si>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</si>
  <si>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</si>
  <si>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</si>
  <si>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</si>
  <si>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</si>
  <si>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</si>
  <si>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</si>
  <si>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</si>
  <si>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</si>
  <si>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</si>
  <si>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</si>
  <si>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</si>
  <si>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</si>
  <si>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</si>
  <si>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</si>
  <si>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</si>
  <si>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</si>
  <si>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</si>
  <si>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</si>
  <si>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</si>
  <si>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</si>
  <si>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</si>
  <si>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</si>
  <si>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</si>
  <si>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</si>
  <si>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</si>
  <si>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</si>
  <si>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</si>
  <si>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</si>
  <si>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</si>
  <si>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</si>
  <si>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</si>
  <si>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</si>
  <si>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</si>
  <si>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</si>
  <si>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</si>
  <si>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</si>
  <si>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</si>
  <si>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</si>
  <si>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</si>
  <si>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</si>
  <si>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</si>
  <si>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</si>
  <si>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</si>
  <si>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</si>
  <si>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</si>
  <si>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</si>
  <si>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</si>
  <si>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</si>
  <si>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</si>
  <si>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</si>
  <si>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</si>
  <si>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</si>
  <si>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</si>
  <si>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</si>
  <si>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</si>
  <si>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</si>
  <si>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</si>
  <si>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</si>
  <si>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</si>
  <si>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</si>
  <si>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</si>
  <si>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</si>
  <si>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</si>
  <si>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</si>
  <si>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</si>
  <si>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</si>
  <si>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</si>
  <si>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</si>
  <si>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</si>
  <si>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</si>
  <si>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</si>
  <si>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</si>
  <si>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</si>
  <si>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</si>
  <si>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</si>
  <si>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</si>
  <si>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</si>
  <si>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</si>
  <si>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</si>
  <si>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</si>
  <si>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</si>
  <si>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</si>
  <si>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</si>
  <si>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</si>
  <si>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</si>
  <si>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</si>
  <si>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</si>
  <si>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</si>
  <si>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</si>
  <si>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</si>
  <si>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</si>
  <si>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</si>
  <si>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</si>
  <si>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</si>
  <si>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</si>
  <si>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</si>
  <si>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</si>
  <si>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</si>
  <si>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</si>
  <si>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</si>
  <si>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</si>
  <si>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</si>
  <si>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</si>
  <si>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</si>
  <si>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</si>
  <si>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</si>
  <si>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</si>
  <si>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</si>
  <si>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</si>
  <si>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</si>
  <si>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</si>
  <si>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</si>
  <si>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</si>
  <si>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</si>
  <si>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</si>
  <si>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</si>
  <si>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</si>
  <si>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</si>
  <si>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</si>
  <si>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</si>
  <si>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</si>
  <si>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</si>
  <si>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</si>
  <si>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</si>
  <si>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</si>
  <si>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</si>
  <si>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</si>
  <si>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</si>
  <si>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</si>
  <si>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</si>
  <si>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</si>
  <si>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</si>
  <si>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</si>
  <si>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</si>
  <si>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</si>
  <si>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</si>
  <si>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</si>
  <si>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</si>
  <si>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</si>
  <si>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</si>
  <si>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</si>
  <si>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</si>
  <si>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</si>
  <si>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</si>
  <si>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</si>
  <si>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</si>
  <si>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</si>
  <si>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</si>
  <si>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</si>
  <si>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</si>
  <si>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</si>
  <si>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</si>
  <si>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</si>
  <si>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</si>
  <si>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</si>
  <si>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</si>
  <si>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</si>
  <si>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</si>
  <si>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</si>
  <si>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</si>
  <si>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</si>
  <si>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</si>
  <si>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</si>
  <si>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</si>
  <si>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</si>
  <si>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</si>
  <si>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</si>
  <si>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</si>
  <si>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</si>
  <si>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</si>
  <si>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</si>
  <si>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</si>
  <si>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</si>
  <si>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</si>
  <si>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</si>
  <si>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</si>
  <si>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</si>
  <si>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</si>
  <si>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</si>
  <si>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</si>
  <si>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</si>
  <si>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</si>
  <si>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</si>
  <si>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</si>
  <si>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</si>
  <si>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</si>
  <si>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</si>
  <si>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</si>
  <si>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</si>
  <si>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</si>
  <si>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</si>
  <si>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</si>
  <si>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</si>
  <si>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</si>
  <si>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</si>
  <si>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</si>
  <si>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</si>
  <si>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</si>
  <si>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</si>
  <si>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</si>
  <si>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</si>
  <si>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</si>
  <si>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</si>
  <si>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</si>
  <si>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</si>
  <si>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</si>
  <si>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</si>
  <si>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</si>
  <si>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</si>
  <si>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</si>
  <si>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</si>
  <si>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</si>
  <si>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</si>
  <si>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</si>
  <si>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</si>
  <si>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</si>
  <si>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</si>
  <si>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</si>
  <si>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</si>
  <si>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</si>
  <si>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</si>
  <si>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</si>
  <si>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</si>
  <si>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</si>
  <si>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</si>
  <si>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</si>
  <si>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</si>
  <si>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</si>
  <si>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</si>
  <si>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</si>
  <si>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</si>
  <si>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</si>
  <si>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</si>
  <si>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</si>
  <si>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</si>
  <si>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</si>
  <si>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</si>
  <si>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</si>
  <si>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</si>
  <si>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</si>
  <si>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</si>
  <si>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</si>
  <si>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</si>
  <si>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</si>
  <si>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</si>
  <si>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</si>
  <si>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</si>
  <si>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</si>
  <si>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</si>
  <si>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</si>
  <si>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</si>
  <si>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</si>
  <si>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</si>
  <si>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</si>
  <si>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</si>
  <si>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</si>
  <si>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</si>
  <si>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</si>
  <si>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</si>
  <si>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</si>
  <si>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</si>
  <si>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</si>
  <si>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</si>
  <si>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</si>
  <si>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</si>
  <si>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</si>
  <si>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</si>
  <si>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</si>
  <si>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</si>
  <si>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</si>
  <si>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</si>
  <si>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</si>
  <si>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</si>
  <si>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</si>
  <si>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</si>
  <si>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</si>
  <si>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</si>
  <si>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</si>
  <si>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</si>
  <si>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</si>
  <si>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</si>
  <si>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</si>
  <si>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</si>
  <si>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</si>
  <si>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</si>
  <si>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</si>
  <si>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</si>
  <si>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</si>
  <si>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</si>
  <si>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</si>
  <si>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</si>
  <si>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</si>
  <si>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</si>
  <si>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</si>
  <si>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</si>
  <si>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</si>
  <si>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</si>
  <si>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</si>
  <si>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</si>
  <si>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</si>
  <si>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</si>
  <si>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</si>
  <si>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</si>
  <si>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</si>
  <si>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</si>
  <si>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</si>
  <si>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</si>
  <si>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</si>
  <si>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</si>
  <si>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</si>
  <si>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</si>
  <si>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</si>
  <si>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</si>
  <si>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</si>
  <si>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</si>
  <si>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</si>
  <si>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</si>
  <si>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</si>
  <si>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</si>
  <si>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</si>
  <si>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</si>
  <si>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</si>
  <si>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</si>
  <si>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</si>
  <si>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</si>
  <si>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</si>
  <si>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</si>
  <si>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</si>
  <si>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</si>
  <si>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</si>
  <si>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</si>
  <si>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</si>
  <si>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</si>
  <si>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</si>
  <si>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</si>
  <si>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</si>
  <si>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</si>
  <si>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</si>
  <si>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</si>
  <si>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</si>
  <si>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</si>
  <si>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</si>
  <si>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</si>
  <si>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</si>
  <si>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</si>
  <si>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</si>
  <si>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</si>
  <si>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</si>
  <si>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</si>
  <si>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</si>
  <si>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</si>
  <si>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</si>
  <si>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</si>
  <si>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</si>
  <si>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</si>
  <si>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</si>
  <si>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</si>
  <si>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</si>
  <si>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</si>
  <si>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</si>
  <si>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</si>
  <si>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</si>
  <si>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</si>
  <si>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</si>
  <si>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</si>
  <si>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</si>
  <si>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</si>
  <si>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</si>
  <si>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</si>
  <si>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</si>
  <si>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</si>
  <si>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</si>
  <si>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</si>
  <si>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</si>
  <si>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</si>
  <si>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</si>
  <si>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</si>
  <si>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</si>
  <si>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</si>
  <si>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</si>
  <si>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</si>
  <si>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</si>
  <si>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</si>
  <si>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</si>
  <si>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</si>
  <si>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</si>
  <si>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</si>
  <si>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</si>
  <si>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</si>
  <si>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</si>
  <si>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</si>
  <si>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</si>
  <si>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</si>
  <si>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</si>
  <si>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</si>
  <si>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</si>
  <si>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</si>
  <si>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</si>
  <si>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</si>
  <si>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</si>
  <si>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</si>
  <si>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</si>
  <si>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</si>
  <si>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</si>
  <si>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</si>
  <si>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</si>
  <si>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</si>
  <si>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</si>
  <si>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</si>
  <si>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</si>
  <si>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</si>
  <si>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</si>
  <si>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</si>
  <si>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</si>
  <si>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</si>
  <si>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</si>
  <si>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</si>
  <si>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</si>
  <si>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</si>
  <si>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</si>
  <si>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</si>
  <si>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</si>
  <si>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</si>
  <si>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</si>
  <si>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</si>
  <si>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</si>
  <si>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</si>
  <si>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</si>
  <si>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</si>
  <si>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</si>
  <si>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</si>
  <si>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</si>
  <si>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</si>
  <si>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</si>
  <si>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</si>
  <si>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</si>
  <si>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</si>
  <si>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</si>
  <si>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</si>
  <si>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</si>
  <si>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</si>
  <si>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</si>
  <si>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</si>
  <si>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</si>
  <si>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</si>
  <si>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</si>
  <si>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</si>
  <si>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</si>
  <si>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</si>
  <si>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</si>
  <si>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</si>
  <si>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</si>
  <si>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</si>
  <si>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</si>
  <si>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</si>
  <si>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</si>
  <si>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</si>
  <si>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</si>
  <si>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</si>
  <si>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</si>
  <si>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</si>
  <si>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</si>
  <si>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</si>
  <si>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</si>
  <si>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</si>
  <si>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</si>
  <si>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</si>
  <si>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</si>
  <si>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</si>
  <si>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</si>
  <si>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</si>
  <si>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</si>
  <si>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</si>
  <si>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</si>
  <si>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</si>
  <si>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</si>
  <si>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</si>
  <si>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</si>
  <si>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</si>
  <si>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</si>
  <si>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</si>
  <si>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</si>
  <si>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</si>
  <si>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</si>
  <si>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</si>
  <si>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</si>
  <si>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</si>
  <si>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</si>
  <si>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</si>
  <si>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</si>
  <si>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</si>
  <si>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</si>
  <si>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</si>
  <si>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</si>
  <si>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</si>
  <si>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</si>
  <si>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</si>
  <si>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</si>
  <si>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</si>
  <si>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</si>
  <si>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</si>
  <si>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</si>
  <si>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</si>
  <si>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</si>
  <si>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</si>
  <si>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</si>
  <si>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</si>
  <si>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</si>
  <si>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</si>
  <si>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</si>
  <si>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</si>
  <si>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</si>
  <si>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</si>
  <si>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</si>
  <si>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</si>
  <si>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</si>
  <si>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</si>
  <si>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</si>
  <si>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</si>
  <si>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</si>
  <si>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</si>
  <si>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</si>
  <si>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</si>
  <si>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</si>
  <si>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</si>
  <si>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</si>
  <si>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</si>
  <si>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</si>
  <si>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</si>
  <si>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</si>
  <si>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</si>
  <si>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</si>
  <si>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</si>
  <si>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</si>
  <si>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</si>
  <si>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</si>
  <si>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</si>
  <si>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</si>
  <si>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</si>
  <si>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</si>
  <si>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</si>
  <si>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</si>
  <si>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</si>
  <si>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</si>
  <si>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</si>
  <si>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</si>
  <si>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</si>
  <si>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</si>
  <si>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</si>
  <si>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</si>
  <si>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</si>
  <si>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</si>
  <si>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</si>
  <si>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</si>
  <si>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</si>
  <si>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</si>
  <si>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</si>
  <si>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</si>
  <si>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</si>
  <si>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</si>
  <si>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</si>
  <si>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</si>
  <si>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</si>
  <si>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</si>
  <si>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</si>
  <si>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</si>
  <si>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</si>
  <si>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</si>
  <si>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</si>
  <si>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</si>
  <si>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</si>
  <si>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</si>
  <si>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</si>
  <si>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</si>
  <si>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</si>
  <si>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</si>
  <si>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</si>
  <si>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</si>
  <si>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</si>
  <si>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</si>
  <si>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</si>
  <si>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</si>
  <si>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</si>
  <si>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</si>
  <si>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</si>
  <si>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</si>
  <si>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</si>
  <si>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</si>
  <si>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</si>
  <si>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</si>
  <si>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</si>
  <si>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</si>
  <si>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</si>
  <si>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</si>
  <si>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</si>
  <si>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</si>
  <si>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</si>
  <si>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</si>
  <si>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</si>
  <si>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</si>
  <si>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</si>
  <si>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</si>
  <si>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</si>
  <si>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</si>
  <si>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</si>
  <si>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</si>
  <si>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</si>
  <si>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</si>
  <si>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13004</t>
  </si>
  <si>
    <t>BEERSE</t>
  </si>
  <si>
    <t>referentietaak LNE (2017); Jaarverslag De Lijn</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</si>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</sst>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148648.26349819871</c:v>
                </c:pt>
                <c:pt idx="1">
                  <c:v>37537.135359385786</c:v>
                </c:pt>
                <c:pt idx="2">
                  <c:v>842.09699999999998</c:v>
                </c:pt>
                <c:pt idx="3">
                  <c:v>35167.280017929872</c:v>
                </c:pt>
                <c:pt idx="4">
                  <c:v>694950.90191091422</c:v>
                </c:pt>
                <c:pt idx="5">
                  <c:v>58585.16243327663</c:v>
                </c:pt>
                <c:pt idx="6">
                  <c:v>2580.3108302796109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148648.26349819871</c:v>
                </c:pt>
                <c:pt idx="1">
                  <c:v>37537.135359385786</c:v>
                </c:pt>
                <c:pt idx="2">
                  <c:v>842.09699999999998</c:v>
                </c:pt>
                <c:pt idx="3">
                  <c:v>35167.280017929872</c:v>
                </c:pt>
                <c:pt idx="4">
                  <c:v>694950.90191091422</c:v>
                </c:pt>
                <c:pt idx="5">
                  <c:v>58585.16243327663</c:v>
                </c:pt>
                <c:pt idx="6">
                  <c:v>2580.3108302796109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24452.595568083871</c:v>
                </c:pt>
                <c:pt idx="1">
                  <c:v>7662.7910541620777</c:v>
                </c:pt>
                <c:pt idx="2">
                  <c:v>181.07258000783162</c:v>
                </c:pt>
                <c:pt idx="3">
                  <c:v>8483.3336940081044</c:v>
                </c:pt>
                <c:pt idx="4">
                  <c:v>145505.37988514837</c:v>
                </c:pt>
                <c:pt idx="5">
                  <c:v>14564.435726875499</c:v>
                </c:pt>
                <c:pt idx="6">
                  <c:v>652.67305813269309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24452.595568083871</c:v>
                </c:pt>
                <c:pt idx="1">
                  <c:v>7662.7910541620777</c:v>
                </c:pt>
                <c:pt idx="2">
                  <c:v>181.07258000783162</c:v>
                </c:pt>
                <c:pt idx="3">
                  <c:v>8483.3336940081044</c:v>
                </c:pt>
                <c:pt idx="4">
                  <c:v>145505.37988514837</c:v>
                </c:pt>
                <c:pt idx="5">
                  <c:v>14564.435726875499</c:v>
                </c:pt>
                <c:pt idx="6">
                  <c:v>652.67305813269309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13004</v>
      </c>
      <c r="B6" s="390"/>
      <c r="C6" s="391"/>
    </row>
    <row r="7" spans="1:7" s="388" customFormat="1" ht="15.75" customHeight="1">
      <c r="A7" s="392" t="str">
        <f>txtMunicipality</f>
        <v>BEERSE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0.21502579869994981</v>
      </c>
      <c r="C17" s="501">
        <f ca="1">'EF ele_warmte'!B22</f>
        <v>0.23607823565441696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0.21502579869994981</v>
      </c>
      <c r="C29" s="502">
        <f ca="1">'EF ele_warmte'!B22</f>
        <v>0.23607823565441696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7129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1448.12</v>
      </c>
      <c r="C14" s="330"/>
      <c r="D14" s="330"/>
      <c r="E14" s="330"/>
      <c r="F14" s="330"/>
    </row>
    <row r="15" spans="1:6">
      <c r="A15" s="1298" t="s">
        <v>183</v>
      </c>
      <c r="B15" s="1299">
        <v>2914</v>
      </c>
      <c r="C15" s="330"/>
      <c r="D15" s="330"/>
      <c r="E15" s="330"/>
      <c r="F15" s="330"/>
    </row>
    <row r="16" spans="1:6">
      <c r="A16" s="1298" t="s">
        <v>6</v>
      </c>
      <c r="B16" s="1299">
        <v>1039</v>
      </c>
      <c r="C16" s="330"/>
      <c r="D16" s="330"/>
      <c r="E16" s="330"/>
      <c r="F16" s="330"/>
    </row>
    <row r="17" spans="1:6">
      <c r="A17" s="1298" t="s">
        <v>7</v>
      </c>
      <c r="B17" s="1299">
        <v>349</v>
      </c>
      <c r="C17" s="330"/>
      <c r="D17" s="330"/>
      <c r="E17" s="330"/>
      <c r="F17" s="330"/>
    </row>
    <row r="18" spans="1:6">
      <c r="A18" s="1298" t="s">
        <v>8</v>
      </c>
      <c r="B18" s="1299">
        <v>534</v>
      </c>
      <c r="C18" s="330"/>
      <c r="D18" s="330"/>
      <c r="E18" s="330"/>
      <c r="F18" s="330"/>
    </row>
    <row r="19" spans="1:6">
      <c r="A19" s="1298" t="s">
        <v>9</v>
      </c>
      <c r="B19" s="1299">
        <v>378</v>
      </c>
      <c r="C19" s="330"/>
      <c r="D19" s="330"/>
      <c r="E19" s="330"/>
      <c r="F19" s="330"/>
    </row>
    <row r="20" spans="1:6">
      <c r="A20" s="1298" t="s">
        <v>10</v>
      </c>
      <c r="B20" s="1299">
        <v>374</v>
      </c>
      <c r="C20" s="330"/>
      <c r="D20" s="330"/>
      <c r="E20" s="330"/>
      <c r="F20" s="330"/>
    </row>
    <row r="21" spans="1:6">
      <c r="A21" s="1298" t="s">
        <v>11</v>
      </c>
      <c r="B21" s="1299">
        <v>0</v>
      </c>
      <c r="C21" s="330"/>
      <c r="D21" s="330"/>
      <c r="E21" s="330"/>
      <c r="F21" s="330"/>
    </row>
    <row r="22" spans="1:6">
      <c r="A22" s="1298" t="s">
        <v>12</v>
      </c>
      <c r="B22" s="1299">
        <v>1227</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17</v>
      </c>
      <c r="C26" s="330"/>
      <c r="D26" s="330"/>
      <c r="E26" s="330"/>
      <c r="F26" s="330"/>
    </row>
    <row r="27" spans="1:6">
      <c r="A27" s="1298" t="s">
        <v>17</v>
      </c>
      <c r="B27" s="1299">
        <v>24</v>
      </c>
      <c r="C27" s="330"/>
      <c r="D27" s="330"/>
      <c r="E27" s="330"/>
      <c r="F27" s="330"/>
    </row>
    <row r="28" spans="1:6" s="43" customFormat="1">
      <c r="A28" s="1300" t="s">
        <v>18</v>
      </c>
      <c r="B28" s="1301">
        <v>245977</v>
      </c>
      <c r="C28" s="336"/>
      <c r="D28" s="336"/>
      <c r="E28" s="336"/>
      <c r="F28" s="336"/>
    </row>
    <row r="29" spans="1:6">
      <c r="A29" s="1300" t="s">
        <v>705</v>
      </c>
      <c r="B29" s="1301">
        <v>175</v>
      </c>
      <c r="C29" s="336"/>
      <c r="D29" s="336"/>
      <c r="E29" s="336"/>
      <c r="F29" s="336"/>
    </row>
    <row r="30" spans="1:6">
      <c r="A30" s="1293" t="s">
        <v>706</v>
      </c>
      <c r="B30" s="1302">
        <v>31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11267.251</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202888.04</v>
      </c>
    </row>
    <row r="39" spans="1:6">
      <c r="A39" s="1298" t="s">
        <v>29</v>
      </c>
      <c r="B39" s="1298" t="s">
        <v>30</v>
      </c>
      <c r="C39" s="1299">
        <v>5388</v>
      </c>
      <c r="D39" s="1299">
        <v>90704556.560000002</v>
      </c>
      <c r="E39" s="1299">
        <v>6941</v>
      </c>
      <c r="F39" s="1299">
        <v>25060468.84</v>
      </c>
    </row>
    <row r="40" spans="1:6">
      <c r="A40" s="1298" t="s">
        <v>29</v>
      </c>
      <c r="B40" s="1298" t="s">
        <v>28</v>
      </c>
      <c r="C40" s="1299">
        <v>1</v>
      </c>
      <c r="D40" s="1299">
        <v>30972.985000000001</v>
      </c>
      <c r="E40" s="1299">
        <v>1</v>
      </c>
      <c r="F40" s="1299">
        <v>8202</v>
      </c>
    </row>
    <row r="41" spans="1:6">
      <c r="A41" s="1298" t="s">
        <v>31</v>
      </c>
      <c r="B41" s="1298" t="s">
        <v>32</v>
      </c>
      <c r="C41" s="1299">
        <v>88</v>
      </c>
      <c r="D41" s="1299">
        <v>1728652.2209999999</v>
      </c>
      <c r="E41" s="1299">
        <v>169</v>
      </c>
      <c r="F41" s="1299">
        <v>2243166.9130000002</v>
      </c>
    </row>
    <row r="42" spans="1:6">
      <c r="A42" s="1298" t="s">
        <v>31</v>
      </c>
      <c r="B42" s="1298" t="s">
        <v>33</v>
      </c>
      <c r="C42" s="1299">
        <v>5</v>
      </c>
      <c r="D42" s="1299">
        <v>144350199.09999999</v>
      </c>
      <c r="E42" s="1299">
        <v>3</v>
      </c>
      <c r="F42" s="1299">
        <v>77001134.010000005</v>
      </c>
    </row>
    <row r="43" spans="1:6">
      <c r="A43" s="1298" t="s">
        <v>31</v>
      </c>
      <c r="B43" s="1298" t="s">
        <v>34</v>
      </c>
      <c r="C43" s="1299">
        <v>0</v>
      </c>
      <c r="D43" s="1299">
        <v>0</v>
      </c>
      <c r="E43" s="1299">
        <v>0</v>
      </c>
      <c r="F43" s="1299">
        <v>0</v>
      </c>
    </row>
    <row r="44" spans="1:6">
      <c r="A44" s="1298" t="s">
        <v>31</v>
      </c>
      <c r="B44" s="1298" t="s">
        <v>35</v>
      </c>
      <c r="C44" s="1299">
        <v>9</v>
      </c>
      <c r="D44" s="1299">
        <v>342631.185</v>
      </c>
      <c r="E44" s="1299">
        <v>20</v>
      </c>
      <c r="F44" s="1299">
        <v>1185255.4790000001</v>
      </c>
    </row>
    <row r="45" spans="1:6">
      <c r="A45" s="1298" t="s">
        <v>31</v>
      </c>
      <c r="B45" s="1298" t="s">
        <v>36</v>
      </c>
      <c r="C45" s="1299">
        <v>6</v>
      </c>
      <c r="D45" s="1299">
        <v>273724002.69999999</v>
      </c>
      <c r="E45" s="1299">
        <v>10</v>
      </c>
      <c r="F45" s="1299">
        <v>27162408.370000001</v>
      </c>
    </row>
    <row r="46" spans="1:6">
      <c r="A46" s="1298" t="s">
        <v>31</v>
      </c>
      <c r="B46" s="1298" t="s">
        <v>37</v>
      </c>
      <c r="C46" s="1299">
        <v>4</v>
      </c>
      <c r="D46" s="1299">
        <v>45295180.359999999</v>
      </c>
      <c r="E46" s="1299">
        <v>6</v>
      </c>
      <c r="F46" s="1299">
        <v>110228138.40000001</v>
      </c>
    </row>
    <row r="47" spans="1:6">
      <c r="A47" s="1298" t="s">
        <v>31</v>
      </c>
      <c r="B47" s="1298" t="s">
        <v>38</v>
      </c>
      <c r="C47" s="1299">
        <v>0</v>
      </c>
      <c r="D47" s="1299">
        <v>0</v>
      </c>
      <c r="E47" s="1299">
        <v>0</v>
      </c>
      <c r="F47" s="1299">
        <v>0</v>
      </c>
    </row>
    <row r="48" spans="1:6">
      <c r="A48" s="1298" t="s">
        <v>31</v>
      </c>
      <c r="B48" s="1298" t="s">
        <v>28</v>
      </c>
      <c r="C48" s="1299">
        <v>35</v>
      </c>
      <c r="D48" s="1299">
        <v>14633607.640000001</v>
      </c>
      <c r="E48" s="1299">
        <v>45</v>
      </c>
      <c r="F48" s="1299">
        <v>24429967.449999999</v>
      </c>
    </row>
    <row r="49" spans="1:6">
      <c r="A49" s="1298" t="s">
        <v>31</v>
      </c>
      <c r="B49" s="1298" t="s">
        <v>39</v>
      </c>
      <c r="C49" s="1299">
        <v>0</v>
      </c>
      <c r="D49" s="1299">
        <v>0</v>
      </c>
      <c r="E49" s="1299">
        <v>0</v>
      </c>
      <c r="F49" s="1299">
        <v>0</v>
      </c>
    </row>
    <row r="50" spans="1:6">
      <c r="A50" s="1298" t="s">
        <v>31</v>
      </c>
      <c r="B50" s="1298" t="s">
        <v>40</v>
      </c>
      <c r="C50" s="1299">
        <v>3</v>
      </c>
      <c r="D50" s="1299">
        <v>268447.70299999998</v>
      </c>
      <c r="E50" s="1299">
        <v>13</v>
      </c>
      <c r="F50" s="1299">
        <v>11573817.27</v>
      </c>
    </row>
    <row r="51" spans="1:6">
      <c r="A51" s="1298" t="s">
        <v>41</v>
      </c>
      <c r="B51" s="1298" t="s">
        <v>42</v>
      </c>
      <c r="C51" s="1299">
        <v>0</v>
      </c>
      <c r="D51" s="1299">
        <v>0</v>
      </c>
      <c r="E51" s="1299">
        <v>49</v>
      </c>
      <c r="F51" s="1299">
        <v>1312801.449</v>
      </c>
    </row>
    <row r="52" spans="1:6">
      <c r="A52" s="1298" t="s">
        <v>41</v>
      </c>
      <c r="B52" s="1298" t="s">
        <v>28</v>
      </c>
      <c r="C52" s="1299">
        <v>12</v>
      </c>
      <c r="D52" s="1299">
        <v>61382592.82</v>
      </c>
      <c r="E52" s="1299">
        <v>9</v>
      </c>
      <c r="F52" s="1299">
        <v>190969.23499999999</v>
      </c>
    </row>
    <row r="53" spans="1:6">
      <c r="A53" s="1298" t="s">
        <v>43</v>
      </c>
      <c r="B53" s="1298" t="s">
        <v>44</v>
      </c>
      <c r="C53" s="1299">
        <v>99</v>
      </c>
      <c r="D53" s="1299">
        <v>2084091.2209999999</v>
      </c>
      <c r="E53" s="1299">
        <v>211</v>
      </c>
      <c r="F53" s="1299">
        <v>1008011.901</v>
      </c>
    </row>
    <row r="54" spans="1:6">
      <c r="A54" s="1298" t="s">
        <v>45</v>
      </c>
      <c r="B54" s="1298" t="s">
        <v>46</v>
      </c>
      <c r="C54" s="1299">
        <v>0</v>
      </c>
      <c r="D54" s="1299">
        <v>0</v>
      </c>
      <c r="E54" s="1299">
        <v>1</v>
      </c>
      <c r="F54" s="1299">
        <v>842097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32</v>
      </c>
      <c r="D57" s="1299">
        <v>2541200.4700000002</v>
      </c>
      <c r="E57" s="1299">
        <v>46</v>
      </c>
      <c r="F57" s="1299">
        <v>933223.72</v>
      </c>
    </row>
    <row r="58" spans="1:6">
      <c r="A58" s="1298" t="s">
        <v>48</v>
      </c>
      <c r="B58" s="1298" t="s">
        <v>50</v>
      </c>
      <c r="C58" s="1299">
        <v>23</v>
      </c>
      <c r="D58" s="1299">
        <v>2162683.4380000001</v>
      </c>
      <c r="E58" s="1299">
        <v>26</v>
      </c>
      <c r="F58" s="1299">
        <v>267366.90399999998</v>
      </c>
    </row>
    <row r="59" spans="1:6">
      <c r="A59" s="1298" t="s">
        <v>48</v>
      </c>
      <c r="B59" s="1298" t="s">
        <v>51</v>
      </c>
      <c r="C59" s="1299">
        <v>85</v>
      </c>
      <c r="D59" s="1299">
        <v>2451871.176</v>
      </c>
      <c r="E59" s="1299">
        <v>179</v>
      </c>
      <c r="F59" s="1299">
        <v>6343350.2750000004</v>
      </c>
    </row>
    <row r="60" spans="1:6">
      <c r="A60" s="1298" t="s">
        <v>48</v>
      </c>
      <c r="B60" s="1298" t="s">
        <v>52</v>
      </c>
      <c r="C60" s="1299">
        <v>84</v>
      </c>
      <c r="D60" s="1299">
        <v>5860393.2520000003</v>
      </c>
      <c r="E60" s="1299">
        <v>147</v>
      </c>
      <c r="F60" s="1299">
        <v>1850164.669</v>
      </c>
    </row>
    <row r="61" spans="1:6">
      <c r="A61" s="1298" t="s">
        <v>48</v>
      </c>
      <c r="B61" s="1298" t="s">
        <v>53</v>
      </c>
      <c r="C61" s="1299">
        <v>134</v>
      </c>
      <c r="D61" s="1299">
        <v>4114852.9190000002</v>
      </c>
      <c r="E61" s="1299">
        <v>271</v>
      </c>
      <c r="F61" s="1299">
        <v>2365137.06</v>
      </c>
    </row>
    <row r="62" spans="1:6">
      <c r="A62" s="1298" t="s">
        <v>48</v>
      </c>
      <c r="B62" s="1298" t="s">
        <v>54</v>
      </c>
      <c r="C62" s="1299">
        <v>6</v>
      </c>
      <c r="D62" s="1299">
        <v>644722.75199999998</v>
      </c>
      <c r="E62" s="1299">
        <v>3</v>
      </c>
      <c r="F62" s="1299">
        <v>0</v>
      </c>
    </row>
    <row r="63" spans="1:6">
      <c r="A63" s="1298" t="s">
        <v>48</v>
      </c>
      <c r="B63" s="1298" t="s">
        <v>28</v>
      </c>
      <c r="C63" s="1299">
        <v>86</v>
      </c>
      <c r="D63" s="1299">
        <v>2825759.2510000002</v>
      </c>
      <c r="E63" s="1299">
        <v>106</v>
      </c>
      <c r="F63" s="1299">
        <v>4012716.4780000001</v>
      </c>
    </row>
    <row r="64" spans="1:6">
      <c r="A64" s="1298" t="s">
        <v>55</v>
      </c>
      <c r="B64" s="1298" t="s">
        <v>56</v>
      </c>
      <c r="C64" s="1299">
        <v>0</v>
      </c>
      <c r="D64" s="1299">
        <v>0</v>
      </c>
      <c r="E64" s="1299">
        <v>0</v>
      </c>
      <c r="F64" s="1299">
        <v>0</v>
      </c>
    </row>
    <row r="65" spans="1:6">
      <c r="A65" s="1298" t="s">
        <v>55</v>
      </c>
      <c r="B65" s="1298" t="s">
        <v>28</v>
      </c>
      <c r="C65" s="1299">
        <v>0</v>
      </c>
      <c r="D65" s="1299">
        <v>0</v>
      </c>
      <c r="E65" s="1299">
        <v>1</v>
      </c>
      <c r="F65" s="1299">
        <v>5592</v>
      </c>
    </row>
    <row r="66" spans="1:6">
      <c r="A66" s="1298" t="s">
        <v>55</v>
      </c>
      <c r="B66" s="1298" t="s">
        <v>57</v>
      </c>
      <c r="C66" s="1299">
        <v>0</v>
      </c>
      <c r="D66" s="1299">
        <v>0</v>
      </c>
      <c r="E66" s="1299">
        <v>10</v>
      </c>
      <c r="F66" s="1299">
        <v>248066</v>
      </c>
    </row>
    <row r="67" spans="1:6">
      <c r="A67" s="1300" t="s">
        <v>55</v>
      </c>
      <c r="B67" s="1300" t="s">
        <v>58</v>
      </c>
      <c r="C67" s="1299">
        <v>0</v>
      </c>
      <c r="D67" s="1299">
        <v>0</v>
      </c>
      <c r="E67" s="1299">
        <v>0</v>
      </c>
      <c r="F67" s="1299">
        <v>0</v>
      </c>
    </row>
    <row r="68" spans="1:6">
      <c r="A68" s="1293" t="s">
        <v>55</v>
      </c>
      <c r="B68" s="1293" t="s">
        <v>59</v>
      </c>
      <c r="C68" s="1302">
        <v>5</v>
      </c>
      <c r="D68" s="1302">
        <v>101793.728</v>
      </c>
      <c r="E68" s="1302">
        <v>10</v>
      </c>
      <c r="F68" s="1302">
        <v>45037.023000000001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58466877</v>
      </c>
      <c r="E73" s="450"/>
      <c r="F73" s="330"/>
    </row>
    <row r="74" spans="1:6">
      <c r="A74" s="1298" t="s">
        <v>63</v>
      </c>
      <c r="B74" s="1298" t="s">
        <v>647</v>
      </c>
      <c r="C74" s="1312" t="s">
        <v>649</v>
      </c>
      <c r="D74" s="1313">
        <v>4908107</v>
      </c>
      <c r="E74" s="450"/>
      <c r="F74" s="330"/>
    </row>
    <row r="75" spans="1:6">
      <c r="A75" s="1298" t="s">
        <v>64</v>
      </c>
      <c r="B75" s="1298" t="s">
        <v>646</v>
      </c>
      <c r="C75" s="1312" t="s">
        <v>650</v>
      </c>
      <c r="D75" s="1313">
        <v>9421431</v>
      </c>
      <c r="E75" s="450"/>
      <c r="F75" s="330"/>
    </row>
    <row r="76" spans="1:6">
      <c r="A76" s="1298" t="s">
        <v>64</v>
      </c>
      <c r="B76" s="1298" t="s">
        <v>647</v>
      </c>
      <c r="C76" s="1312" t="s">
        <v>651</v>
      </c>
      <c r="D76" s="1313">
        <v>150220</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708316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5349.4723408187629</v>
      </c>
      <c r="C91" s="330"/>
      <c r="D91" s="330"/>
      <c r="E91" s="330"/>
      <c r="F91" s="330"/>
    </row>
    <row r="92" spans="1:6">
      <c r="A92" s="1293" t="s">
        <v>68</v>
      </c>
      <c r="B92" s="1294">
        <v>4214.1260095365906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3245</v>
      </c>
      <c r="C97" s="330"/>
      <c r="D97" s="330"/>
      <c r="E97" s="330"/>
      <c r="F97" s="330"/>
    </row>
    <row r="98" spans="1:6">
      <c r="A98" s="1298" t="s">
        <v>71</v>
      </c>
      <c r="B98" s="1299">
        <v>5</v>
      </c>
      <c r="C98" s="330"/>
      <c r="D98" s="330"/>
      <c r="E98" s="330"/>
      <c r="F98" s="330"/>
    </row>
    <row r="99" spans="1:6">
      <c r="A99" s="1298" t="s">
        <v>72</v>
      </c>
      <c r="B99" s="1299">
        <v>40</v>
      </c>
      <c r="C99" s="330"/>
      <c r="D99" s="330"/>
      <c r="E99" s="330"/>
      <c r="F99" s="330"/>
    </row>
    <row r="100" spans="1:6">
      <c r="A100" s="1298" t="s">
        <v>73</v>
      </c>
      <c r="B100" s="1299">
        <v>397</v>
      </c>
      <c r="C100" s="330"/>
      <c r="D100" s="330"/>
      <c r="E100" s="330"/>
      <c r="F100" s="330"/>
    </row>
    <row r="101" spans="1:6">
      <c r="A101" s="1298" t="s">
        <v>74</v>
      </c>
      <c r="B101" s="1299">
        <v>152</v>
      </c>
      <c r="C101" s="330"/>
      <c r="D101" s="330"/>
      <c r="E101" s="330"/>
      <c r="F101" s="330"/>
    </row>
    <row r="102" spans="1:6">
      <c r="A102" s="1298" t="s">
        <v>75</v>
      </c>
      <c r="B102" s="1299">
        <v>60</v>
      </c>
      <c r="C102" s="330"/>
      <c r="D102" s="330"/>
      <c r="E102" s="330"/>
      <c r="F102" s="330"/>
    </row>
    <row r="103" spans="1:6">
      <c r="A103" s="1298" t="s">
        <v>76</v>
      </c>
      <c r="B103" s="1299">
        <v>156</v>
      </c>
      <c r="C103" s="330"/>
      <c r="D103" s="330"/>
      <c r="E103" s="330"/>
      <c r="F103" s="330"/>
    </row>
    <row r="104" spans="1:6">
      <c r="A104" s="1298" t="s">
        <v>77</v>
      </c>
      <c r="B104" s="1299">
        <v>1690</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0</v>
      </c>
      <c r="C122" s="1299">
        <v>0</v>
      </c>
      <c r="D122" s="330"/>
      <c r="E122" s="330"/>
      <c r="F122" s="330"/>
    </row>
    <row r="123" spans="1:6">
      <c r="A123" s="1298" t="s">
        <v>87</v>
      </c>
      <c r="B123" s="1299">
        <v>57</v>
      </c>
      <c r="C123" s="1299">
        <v>64</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195</v>
      </c>
      <c r="C129" s="330"/>
      <c r="D129" s="330"/>
      <c r="E129" s="330"/>
      <c r="F129" s="330"/>
    </row>
    <row r="130" spans="1:6">
      <c r="A130" s="1298" t="s">
        <v>294</v>
      </c>
      <c r="B130" s="1299">
        <v>3</v>
      </c>
      <c r="C130" s="330"/>
      <c r="D130" s="330"/>
      <c r="E130" s="330"/>
      <c r="F130" s="330"/>
    </row>
    <row r="131" spans="1:6">
      <c r="A131" s="1298" t="s">
        <v>295</v>
      </c>
      <c r="B131" s="1299">
        <v>4</v>
      </c>
      <c r="C131" s="330"/>
      <c r="D131" s="330"/>
      <c r="E131" s="330"/>
      <c r="F131" s="330"/>
    </row>
    <row r="132" spans="1:6">
      <c r="A132" s="1293" t="s">
        <v>296</v>
      </c>
      <c r="B132" s="1294">
        <v>35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303715.33810992033</v>
      </c>
      <c r="C3" s="43" t="s">
        <v>169</v>
      </c>
      <c r="D3" s="43"/>
      <c r="E3" s="154"/>
      <c r="F3" s="43"/>
      <c r="G3" s="43"/>
      <c r="H3" s="43"/>
      <c r="I3" s="43"/>
      <c r="J3" s="43"/>
      <c r="K3" s="96"/>
    </row>
    <row r="4" spans="1:11">
      <c r="A4" s="358" t="s">
        <v>170</v>
      </c>
      <c r="B4" s="49">
        <f>IF(ISERROR('SEAP template'!B78+'SEAP template'!C78),0,'SEAP template'!B78+'SEAP template'!C78)</f>
        <v>29400.048350355355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4682.9541176470593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0.21502579869994981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6689.9344537815132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28337.785714285714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0.23607823565441696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842.09699999999998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842.09699999999998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0.21502579869994981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181.07258000783162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25068.670839999999</v>
      </c>
      <c r="C5" s="17">
        <f>IF(ISERROR('Eigen informatie GS &amp; warmtenet'!B59),0,'Eigen informatie GS &amp; warmtenet'!B59)</f>
        <v>0</v>
      </c>
      <c r="D5" s="30">
        <f>(SUM(HH_hh_gas_kWh,HH_rest_gas_kWh)/1000)*0.902</f>
        <v>81843.447649590002</v>
      </c>
      <c r="E5" s="17">
        <f>B46*B57</f>
        <v>6077.2405746330487</v>
      </c>
      <c r="F5" s="17">
        <f>B51*B62</f>
        <v>0</v>
      </c>
      <c r="G5" s="18"/>
      <c r="H5" s="17"/>
      <c r="I5" s="17"/>
      <c r="J5" s="17">
        <f>B50*B61+C50*C61</f>
        <v>0</v>
      </c>
      <c r="K5" s="17"/>
      <c r="L5" s="17"/>
      <c r="M5" s="17"/>
      <c r="N5" s="17">
        <f>B48*B59+C48*C59</f>
        <v>28813.944740501553</v>
      </c>
      <c r="O5" s="17">
        <f>B69*B70*B71</f>
        <v>515.82913704062821</v>
      </c>
      <c r="P5" s="17">
        <f>B77*B78*B79/1000-B77*B78*B79/1000/B80</f>
        <v>979.65821561470705</v>
      </c>
    </row>
    <row r="6" spans="1:16">
      <c r="A6" s="16" t="s">
        <v>611</v>
      </c>
      <c r="B6" s="783">
        <f>kWh_PV_kleiner_dan_10kW</f>
        <v>5349.4723408187629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30418.143180818763</v>
      </c>
      <c r="C8" s="21">
        <f>C5</f>
        <v>0</v>
      </c>
      <c r="D8" s="21">
        <f>D5</f>
        <v>81843.447649590002</v>
      </c>
      <c r="E8" s="21">
        <f>E5</f>
        <v>6077.2405746330487</v>
      </c>
      <c r="F8" s="21">
        <f>F5</f>
        <v>0</v>
      </c>
      <c r="G8" s="21"/>
      <c r="H8" s="21"/>
      <c r="I8" s="21"/>
      <c r="J8" s="21">
        <f>J5</f>
        <v>0</v>
      </c>
      <c r="K8" s="21"/>
      <c r="L8" s="21">
        <f>L5</f>
        <v>0</v>
      </c>
      <c r="M8" s="21">
        <f>M5</f>
        <v>0</v>
      </c>
      <c r="N8" s="21">
        <f>N5</f>
        <v>28813.944740501553</v>
      </c>
      <c r="O8" s="21">
        <f>O5</f>
        <v>515.82913704062821</v>
      </c>
      <c r="P8" s="21">
        <f>P5</f>
        <v>979.65821561470705</v>
      </c>
    </row>
    <row r="9" spans="1:16">
      <c r="B9" s="19"/>
      <c r="C9" s="19"/>
      <c r="D9" s="258"/>
      <c r="E9" s="19"/>
      <c r="F9" s="19"/>
      <c r="G9" s="19"/>
      <c r="H9" s="19"/>
      <c r="I9" s="19"/>
      <c r="J9" s="19"/>
      <c r="K9" s="19"/>
      <c r="L9" s="19"/>
      <c r="M9" s="19"/>
      <c r="N9" s="19"/>
      <c r="O9" s="19"/>
      <c r="P9" s="19"/>
    </row>
    <row r="10" spans="1:16">
      <c r="A10" s="24" t="s">
        <v>213</v>
      </c>
      <c r="B10" s="25">
        <f ca="1">'EF ele_warmte'!B12</f>
        <v>0.21502579869994981</v>
      </c>
      <c r="C10" s="25">
        <f ca="1">'EF ele_warmte'!B22</f>
        <v>0.23607823565441696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6540.6855324249864</v>
      </c>
      <c r="C12" s="23">
        <f ca="1">C10*C8</f>
        <v>0</v>
      </c>
      <c r="D12" s="23">
        <f>D8*D10</f>
        <v>16532.376425217182</v>
      </c>
      <c r="E12" s="23">
        <f>E10*E8</f>
        <v>1379.5336104417022</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3245</v>
      </c>
      <c r="C18" s="166" t="s">
        <v>110</v>
      </c>
      <c r="D18" s="228"/>
      <c r="E18" s="15"/>
    </row>
    <row r="19" spans="1:7">
      <c r="A19" s="171" t="s">
        <v>71</v>
      </c>
      <c r="B19" s="37">
        <f>aantalw2001_ander</f>
        <v>5</v>
      </c>
      <c r="C19" s="166" t="s">
        <v>110</v>
      </c>
      <c r="D19" s="229"/>
      <c r="E19" s="15"/>
    </row>
    <row r="20" spans="1:7">
      <c r="A20" s="171" t="s">
        <v>72</v>
      </c>
      <c r="B20" s="37">
        <f>aantalw2001_propaan</f>
        <v>40</v>
      </c>
      <c r="C20" s="167">
        <f>IF(ISERROR(B20/SUM($B$20,$B$21,$B$22)*100),0,B20/SUM($B$20,$B$21,$B$22)*100)</f>
        <v>6.7911714770797964</v>
      </c>
      <c r="D20" s="229"/>
      <c r="E20" s="15"/>
    </row>
    <row r="21" spans="1:7">
      <c r="A21" s="171" t="s">
        <v>73</v>
      </c>
      <c r="B21" s="37">
        <f>aantalw2001_elektriciteit</f>
        <v>397</v>
      </c>
      <c r="C21" s="167">
        <f>IF(ISERROR(B21/SUM($B$20,$B$21,$B$22)*100),0,B21/SUM($B$20,$B$21,$B$22)*100)</f>
        <v>67.402376910016983</v>
      </c>
      <c r="D21" s="229"/>
      <c r="E21" s="15"/>
    </row>
    <row r="22" spans="1:7">
      <c r="A22" s="171" t="s">
        <v>74</v>
      </c>
      <c r="B22" s="37">
        <f>aantalw2001_hout</f>
        <v>152</v>
      </c>
      <c r="C22" s="167">
        <f>IF(ISERROR(B22/SUM($B$20,$B$21,$B$22)*100),0,B22/SUM($B$20,$B$21,$B$22)*100)</f>
        <v>25.806451612903224</v>
      </c>
      <c r="D22" s="229"/>
      <c r="E22" s="15"/>
    </row>
    <row r="23" spans="1:7">
      <c r="A23" s="171" t="s">
        <v>75</v>
      </c>
      <c r="B23" s="37">
        <f>aantalw2001_niet_gespec</f>
        <v>60</v>
      </c>
      <c r="C23" s="166" t="s">
        <v>110</v>
      </c>
      <c r="D23" s="228"/>
      <c r="E23" s="15"/>
    </row>
    <row r="24" spans="1:7">
      <c r="A24" s="171" t="s">
        <v>76</v>
      </c>
      <c r="B24" s="37">
        <f>aantalw2001_steenkool</f>
        <v>156</v>
      </c>
      <c r="C24" s="166" t="s">
        <v>110</v>
      </c>
      <c r="D24" s="229"/>
      <c r="E24" s="15"/>
    </row>
    <row r="25" spans="1:7">
      <c r="A25" s="171" t="s">
        <v>77</v>
      </c>
      <c r="B25" s="37">
        <f>aantalw2001_stookolie</f>
        <v>1690</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7129</v>
      </c>
      <c r="C28" s="36"/>
      <c r="D28" s="228"/>
    </row>
    <row r="29" spans="1:7" s="15" customFormat="1">
      <c r="A29" s="230" t="s">
        <v>819</v>
      </c>
      <c r="B29" s="37">
        <f>SUM(HH_hh_gas_aantal,HH_rest_gas_aantal)</f>
        <v>5389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5389</v>
      </c>
      <c r="C32" s="167">
        <f>IF(ISERROR(B32/SUM($B$32,$B$34,$B$35,$B$36,$B$38,$B$39)*100),0,B32/SUM($B$32,$B$34,$B$35,$B$36,$B$38,$B$39)*100)</f>
        <v>76.59181353041501</v>
      </c>
      <c r="D32" s="233"/>
      <c r="G32" s="15"/>
    </row>
    <row r="33" spans="1:7">
      <c r="A33" s="171" t="s">
        <v>71</v>
      </c>
      <c r="B33" s="34" t="s">
        <v>110</v>
      </c>
      <c r="C33" s="167"/>
      <c r="D33" s="233"/>
      <c r="G33" s="15"/>
    </row>
    <row r="34" spans="1:7">
      <c r="A34" s="171" t="s">
        <v>72</v>
      </c>
      <c r="B34" s="33">
        <f>IF((($B$28-$B$32-$B$39-$B$77-$B$38)*C20/100)&lt;0,0,($B$28-$B$32-$B$39-$B$77-$B$38)*C20/100)</f>
        <v>111.85059422750425</v>
      </c>
      <c r="C34" s="167">
        <f>IF(ISERROR(B34/SUM($B$32,$B$34,$B$35,$B$36,$B$38,$B$39)*100),0,B34/SUM($B$32,$B$34,$B$35,$B$36,$B$38,$B$39)*100)</f>
        <v>1.5896900828241083</v>
      </c>
      <c r="D34" s="233"/>
      <c r="G34" s="15"/>
    </row>
    <row r="35" spans="1:7">
      <c r="A35" s="171" t="s">
        <v>73</v>
      </c>
      <c r="B35" s="33">
        <f>IF((($B$28-$B$32-$B$39-$B$77-$B$38)*C21/100)&lt;0,0,($B$28-$B$32-$B$39-$B$77-$B$38)*C21/100)</f>
        <v>1110.1171477079797</v>
      </c>
      <c r="C35" s="167">
        <f>IF(ISERROR(B35/SUM($B$32,$B$34,$B$35,$B$36,$B$38,$B$39)*100),0,B35/SUM($B$32,$B$34,$B$35,$B$36,$B$38,$B$39)*100)</f>
        <v>15.777674072029274</v>
      </c>
      <c r="D35" s="233"/>
      <c r="G35" s="15"/>
    </row>
    <row r="36" spans="1:7">
      <c r="A36" s="171" t="s">
        <v>74</v>
      </c>
      <c r="B36" s="33">
        <f>IF((($B$28-$B$32-$B$39-$B$77-$B$38)*C22/100)&lt;0,0,($B$28-$B$32-$B$39-$B$77-$B$38)*C22/100)</f>
        <v>425.03225806451616</v>
      </c>
      <c r="C36" s="167">
        <f>IF(ISERROR(B36/SUM($B$32,$B$34,$B$35,$B$36,$B$38,$B$39)*100),0,B36/SUM($B$32,$B$34,$B$35,$B$36,$B$38,$B$39)*100)</f>
        <v>6.0408223147316109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5389</v>
      </c>
      <c r="C44" s="34" t="s">
        <v>110</v>
      </c>
      <c r="D44" s="174"/>
    </row>
    <row r="45" spans="1:7">
      <c r="A45" s="171" t="s">
        <v>71</v>
      </c>
      <c r="B45" s="33" t="str">
        <f t="shared" si="0"/>
        <v>-</v>
      </c>
      <c r="C45" s="34" t="s">
        <v>110</v>
      </c>
      <c r="D45" s="174"/>
    </row>
    <row r="46" spans="1:7">
      <c r="A46" s="171" t="s">
        <v>72</v>
      </c>
      <c r="B46" s="33">
        <f t="shared" si="0"/>
        <v>111.85059422750425</v>
      </c>
      <c r="C46" s="34" t="s">
        <v>110</v>
      </c>
      <c r="D46" s="174"/>
    </row>
    <row r="47" spans="1:7">
      <c r="A47" s="171" t="s">
        <v>73</v>
      </c>
      <c r="B47" s="33">
        <f t="shared" si="0"/>
        <v>1110.1171477079797</v>
      </c>
      <c r="C47" s="34" t="s">
        <v>110</v>
      </c>
      <c r="D47" s="174"/>
    </row>
    <row r="48" spans="1:7">
      <c r="A48" s="171" t="s">
        <v>74</v>
      </c>
      <c r="B48" s="33">
        <f t="shared" si="0"/>
        <v>425.03225806451616</v>
      </c>
      <c r="C48" s="33">
        <f>B48*10</f>
        <v>4250.3225806451619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15771.959106</v>
      </c>
      <c r="C5" s="17">
        <f>IF(ISERROR('Eigen informatie GS &amp; warmtenet'!B60),0,'Eigen informatie GS &amp; warmtenet'!B60)</f>
        <v>0</v>
      </c>
      <c r="D5" s="30">
        <f>SUM(D6:D12)</f>
        <v>18582.537898716</v>
      </c>
      <c r="E5" s="17">
        <f>SUM(E6:E12)</f>
        <v>262.87123314649222</v>
      </c>
      <c r="F5" s="17">
        <f>SUM(F6:F12)</f>
        <v>1744.9133396467275</v>
      </c>
      <c r="G5" s="18"/>
      <c r="H5" s="17"/>
      <c r="I5" s="17"/>
      <c r="J5" s="17">
        <f>SUM(J6:J12)</f>
        <v>2.3532615671456224E-2</v>
      </c>
      <c r="K5" s="17"/>
      <c r="L5" s="17"/>
      <c r="M5" s="17"/>
      <c r="N5" s="17">
        <f>SUM(N6:N12)</f>
        <v>927.36449881790827</v>
      </c>
      <c r="O5" s="17">
        <f>B38*B39*B40</f>
        <v>14.691782297523464</v>
      </c>
      <c r="P5" s="17">
        <f>B46*B47*B48/1000-B46*B47*B48/1000/B49</f>
        <v>367.77396814546512</v>
      </c>
      <c r="R5" s="32"/>
    </row>
    <row r="6" spans="1:18">
      <c r="A6" s="32" t="s">
        <v>53</v>
      </c>
      <c r="B6" s="37">
        <f>B26</f>
        <v>2365.13706</v>
      </c>
      <c r="C6" s="33"/>
      <c r="D6" s="37">
        <f>IF(ISERROR(TER_kantoor_gas_kWh/1000),0,TER_kantoor_gas_kWh/1000)*0.902</f>
        <v>3711.5973329379999</v>
      </c>
      <c r="E6" s="33">
        <f>$C$26*'E Balans VL '!I12/100/3.6*1000000</f>
        <v>19.031499599136094</v>
      </c>
      <c r="F6" s="33">
        <f>$C$26*('E Balans VL '!L12+'E Balans VL '!N12)/100/3.6*1000000</f>
        <v>289.16288603030745</v>
      </c>
      <c r="G6" s="34"/>
      <c r="H6" s="33"/>
      <c r="I6" s="33"/>
      <c r="J6" s="33">
        <f>$C$26*('E Balans VL '!D12+'E Balans VL '!E12)/100/3.6*1000000</f>
        <v>0</v>
      </c>
      <c r="K6" s="33"/>
      <c r="L6" s="33"/>
      <c r="M6" s="33"/>
      <c r="N6" s="33">
        <f>$C$26*'E Balans VL '!Y12/100/3.6*1000000</f>
        <v>1.2711446993559097</v>
      </c>
      <c r="O6" s="33"/>
      <c r="P6" s="33"/>
      <c r="R6" s="32"/>
    </row>
    <row r="7" spans="1:18">
      <c r="A7" s="32" t="s">
        <v>52</v>
      </c>
      <c r="B7" s="37">
        <f t="shared" ref="B7:B12" si="0">B27</f>
        <v>1850.164669</v>
      </c>
      <c r="C7" s="33"/>
      <c r="D7" s="37">
        <f>IF(ISERROR(TER_horeca_gas_kWh/1000),0,TER_horeca_gas_kWh/1000)*0.902</f>
        <v>5286.0747133040004</v>
      </c>
      <c r="E7" s="33">
        <f>$C$27*'E Balans VL '!I9/100/3.6*1000000</f>
        <v>19.866225334914493</v>
      </c>
      <c r="F7" s="33">
        <f>$C$27*('E Balans VL '!L9+'E Balans VL '!N9)/100/3.6*1000000</f>
        <v>222.52994560618691</v>
      </c>
      <c r="G7" s="34"/>
      <c r="H7" s="33"/>
      <c r="I7" s="33"/>
      <c r="J7" s="33">
        <f>$C$27*('E Balans VL '!D9+'E Balans VL '!E9)/100/3.6*1000000</f>
        <v>0</v>
      </c>
      <c r="K7" s="33"/>
      <c r="L7" s="33"/>
      <c r="M7" s="33"/>
      <c r="N7" s="33">
        <f>$C$27*'E Balans VL '!Y9/100/3.6*1000000</f>
        <v>0.27737718236742154</v>
      </c>
      <c r="O7" s="33"/>
      <c r="P7" s="33"/>
      <c r="R7" s="32"/>
    </row>
    <row r="8" spans="1:18">
      <c r="A8" s="6" t="s">
        <v>51</v>
      </c>
      <c r="B8" s="37">
        <f t="shared" si="0"/>
        <v>6343.3502750000007</v>
      </c>
      <c r="C8" s="33"/>
      <c r="D8" s="37">
        <f>IF(ISERROR(TER_handel_gas_kWh/1000),0,TER_handel_gas_kWh/1000)*0.902</f>
        <v>2211.587800752</v>
      </c>
      <c r="E8" s="33">
        <f>$C$28*'E Balans VL '!I13/100/3.6*1000000</f>
        <v>170.23610140252231</v>
      </c>
      <c r="F8" s="33">
        <f>$C$28*('E Balans VL '!L13+'E Balans VL '!N13)/100/3.6*1000000</f>
        <v>605.35112333157792</v>
      </c>
      <c r="G8" s="34"/>
      <c r="H8" s="33"/>
      <c r="I8" s="33"/>
      <c r="J8" s="33">
        <f>$C$28*('E Balans VL '!D13+'E Balans VL '!E13)/100/3.6*1000000</f>
        <v>0</v>
      </c>
      <c r="K8" s="33"/>
      <c r="L8" s="33"/>
      <c r="M8" s="33"/>
      <c r="N8" s="33">
        <f>$C$28*'E Balans VL '!Y13/100/3.6*1000000</f>
        <v>2.5145761753478659</v>
      </c>
      <c r="O8" s="33"/>
      <c r="P8" s="33"/>
      <c r="R8" s="32"/>
    </row>
    <row r="9" spans="1:18">
      <c r="A9" s="32" t="s">
        <v>50</v>
      </c>
      <c r="B9" s="37">
        <f t="shared" si="0"/>
        <v>267.36690399999998</v>
      </c>
      <c r="C9" s="33"/>
      <c r="D9" s="37">
        <f>IF(ISERROR(TER_gezond_gas_kWh/1000),0,TER_gezond_gas_kWh/1000)*0.902</f>
        <v>1950.740461076</v>
      </c>
      <c r="E9" s="33">
        <f>$C$29*'E Balans VL '!I10/100/3.6*1000000</f>
        <v>0.50113263654035067</v>
      </c>
      <c r="F9" s="33">
        <f>$C$29*('E Balans VL '!L10+'E Balans VL '!N10)/100/3.6*1000000</f>
        <v>21.979999043824741</v>
      </c>
      <c r="G9" s="34"/>
      <c r="H9" s="33"/>
      <c r="I9" s="33"/>
      <c r="J9" s="33">
        <f>$C$29*('E Balans VL '!D10+'E Balans VL '!E10)/100/3.6*1000000</f>
        <v>0</v>
      </c>
      <c r="K9" s="33"/>
      <c r="L9" s="33"/>
      <c r="M9" s="33"/>
      <c r="N9" s="33">
        <f>$C$29*'E Balans VL '!Y10/100/3.6*1000000</f>
        <v>2.0803139974936862</v>
      </c>
      <c r="O9" s="33"/>
      <c r="P9" s="33"/>
      <c r="R9" s="32"/>
    </row>
    <row r="10" spans="1:18">
      <c r="A10" s="32" t="s">
        <v>49</v>
      </c>
      <c r="B10" s="37">
        <f t="shared" si="0"/>
        <v>933.22371999999996</v>
      </c>
      <c r="C10" s="33"/>
      <c r="D10" s="37">
        <f>IF(ISERROR(TER_ander_gas_kWh/1000),0,TER_ander_gas_kWh/1000)*0.902</f>
        <v>2292.1628239400002</v>
      </c>
      <c r="E10" s="33">
        <f>$C$30*'E Balans VL '!I14/100/3.6*1000000</f>
        <v>1.438573820589844</v>
      </c>
      <c r="F10" s="33">
        <f>$C$30*('E Balans VL '!L14+'E Balans VL '!N14)/100/3.6*1000000</f>
        <v>144.88324016057209</v>
      </c>
      <c r="G10" s="34"/>
      <c r="H10" s="33"/>
      <c r="I10" s="33"/>
      <c r="J10" s="33">
        <f>$C$30*('E Balans VL '!D14+'E Balans VL '!E14)/100/3.6*1000000</f>
        <v>1.58424568478789E-2</v>
      </c>
      <c r="K10" s="33"/>
      <c r="L10" s="33"/>
      <c r="M10" s="33"/>
      <c r="N10" s="33">
        <f>$C$30*'E Balans VL '!Y14/100/3.6*1000000</f>
        <v>617.3909035562865</v>
      </c>
      <c r="O10" s="33"/>
      <c r="P10" s="33"/>
      <c r="R10" s="32"/>
    </row>
    <row r="11" spans="1:18">
      <c r="A11" s="32" t="s">
        <v>54</v>
      </c>
      <c r="B11" s="37">
        <f t="shared" si="0"/>
        <v>0</v>
      </c>
      <c r="C11" s="33"/>
      <c r="D11" s="37">
        <f>IF(ISERROR(TER_onderwijs_gas_kWh/1000),0,TER_onderwijs_gas_kWh/1000)*0.902</f>
        <v>581.53992230400002</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4012.7164780000003</v>
      </c>
      <c r="C12" s="33"/>
      <c r="D12" s="37">
        <f>IF(ISERROR(TER_rest_gas_kWh/1000),0,TER_rest_gas_kWh/1000)*0.902</f>
        <v>2548.8348444019998</v>
      </c>
      <c r="E12" s="33">
        <f>$C$32*'E Balans VL '!I8/100/3.6*1000000</f>
        <v>51.797700352789107</v>
      </c>
      <c r="F12" s="33">
        <f>$C$32*('E Balans VL '!L8+'E Balans VL '!N8)/100/3.6*1000000</f>
        <v>461.0061454742584</v>
      </c>
      <c r="G12" s="34"/>
      <c r="H12" s="33"/>
      <c r="I12" s="33"/>
      <c r="J12" s="33">
        <f>$C$32*('E Balans VL '!D8+'E Balans VL '!E8)/100/3.6*1000000</f>
        <v>7.6901588235773217E-3</v>
      </c>
      <c r="K12" s="33"/>
      <c r="L12" s="33"/>
      <c r="M12" s="33"/>
      <c r="N12" s="33">
        <f>$C$32*'E Balans VL '!Y8/100/3.6*1000000</f>
        <v>303.8301832070569</v>
      </c>
      <c r="O12" s="33"/>
      <c r="P12" s="33"/>
      <c r="R12" s="32"/>
    </row>
    <row r="13" spans="1:18">
      <c r="A13" s="16" t="s">
        <v>478</v>
      </c>
      <c r="B13" s="247">
        <f ca="1">'lokale energieproductie'!N41+'lokale energieproductie'!N34</f>
        <v>315.00000000000006</v>
      </c>
      <c r="C13" s="247">
        <f ca="1">'lokale energieproductie'!O41+'lokale energieproductie'!O34</f>
        <v>450.00000000000011</v>
      </c>
      <c r="D13" s="308">
        <f ca="1">('lokale energieproductie'!P34+'lokale energieproductie'!P41)*(-1)</f>
        <v>-900.00000000000023</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16086.959106</v>
      </c>
      <c r="C16" s="21">
        <f t="shared" ca="1" si="1"/>
        <v>450.00000000000011</v>
      </c>
      <c r="D16" s="21">
        <f t="shared" ca="1" si="1"/>
        <v>17682.537898716</v>
      </c>
      <c r="E16" s="21">
        <f t="shared" si="1"/>
        <v>262.87123314649222</v>
      </c>
      <c r="F16" s="21">
        <f t="shared" ca="1" si="1"/>
        <v>1744.9133396467275</v>
      </c>
      <c r="G16" s="21">
        <f t="shared" si="1"/>
        <v>0</v>
      </c>
      <c r="H16" s="21">
        <f t="shared" si="1"/>
        <v>0</v>
      </c>
      <c r="I16" s="21">
        <f t="shared" si="1"/>
        <v>0</v>
      </c>
      <c r="J16" s="21">
        <f t="shared" si="1"/>
        <v>2.3532615671456224E-2</v>
      </c>
      <c r="K16" s="21">
        <f t="shared" si="1"/>
        <v>0</v>
      </c>
      <c r="L16" s="21">
        <f t="shared" ca="1" si="1"/>
        <v>0</v>
      </c>
      <c r="M16" s="21">
        <f t="shared" si="1"/>
        <v>0</v>
      </c>
      <c r="N16" s="21">
        <f t="shared" ca="1" si="1"/>
        <v>927.36449881790827</v>
      </c>
      <c r="O16" s="21">
        <f>O5</f>
        <v>14.691782297523464</v>
      </c>
      <c r="P16" s="21">
        <f>P5</f>
        <v>367.77396814546512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0.21502579869994981</v>
      </c>
      <c r="C18" s="25">
        <f ca="1">'EF ele_warmte'!B22</f>
        <v>0.23607823565441696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3459.1112304210806</v>
      </c>
      <c r="C20" s="23">
        <f t="shared" ref="C20:P20" ca="1" si="2">C16*C18</f>
        <v>106.23520604448765</v>
      </c>
      <c r="D20" s="23">
        <f t="shared" ca="1" si="2"/>
        <v>3571.8726555406324</v>
      </c>
      <c r="E20" s="23">
        <f t="shared" si="2"/>
        <v>59.671769924253738</v>
      </c>
      <c r="F20" s="23">
        <f t="shared" ca="1" si="2"/>
        <v>465.8918616856763</v>
      </c>
      <c r="G20" s="23">
        <f t="shared" si="2"/>
        <v>0</v>
      </c>
      <c r="H20" s="23">
        <f t="shared" si="2"/>
        <v>0</v>
      </c>
      <c r="I20" s="23">
        <f t="shared" si="2"/>
        <v>0</v>
      </c>
      <c r="J20" s="23">
        <f t="shared" si="2"/>
        <v>8.3305459476955019E-3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2365.13706</v>
      </c>
      <c r="C26" s="39">
        <f>IF(ISERROR(B26*3.6/1000000/'E Balans VL '!Z12*100),0,B26*3.6/1000000/'E Balans VL '!Z12*100)</f>
        <v>5.0174218875973162E-2</v>
      </c>
      <c r="D26" s="237" t="s">
        <v>708</v>
      </c>
      <c r="F26" s="6"/>
    </row>
    <row r="27" spans="1:18">
      <c r="A27" s="231" t="s">
        <v>52</v>
      </c>
      <c r="B27" s="33">
        <f>IF(ISERROR(TER_horeca_ele_kWh/1000),0,TER_horeca_ele_kWh/1000)</f>
        <v>1850.164669</v>
      </c>
      <c r="C27" s="39">
        <f>IF(ISERROR(B27*3.6/1000000/'E Balans VL '!Z9*100),0,B27*3.6/1000000/'E Balans VL '!Z9*100)</f>
        <v>0.13933378927155293</v>
      </c>
      <c r="D27" s="237" t="s">
        <v>708</v>
      </c>
      <c r="F27" s="6"/>
    </row>
    <row r="28" spans="1:18">
      <c r="A28" s="171" t="s">
        <v>51</v>
      </c>
      <c r="B28" s="33">
        <f>IF(ISERROR(TER_handel_ele_kWh/1000),0,TER_handel_ele_kWh/1000)</f>
        <v>6343.3502750000007</v>
      </c>
      <c r="C28" s="39">
        <f>IF(ISERROR(B28*3.6/1000000/'E Balans VL '!Z13*100),0,B28*3.6/1000000/'E Balans VL '!Z13*100)</f>
        <v>0.18412498223958862</v>
      </c>
      <c r="D28" s="237" t="s">
        <v>708</v>
      </c>
      <c r="F28" s="6"/>
    </row>
    <row r="29" spans="1:18">
      <c r="A29" s="231" t="s">
        <v>50</v>
      </c>
      <c r="B29" s="33">
        <f>IF(ISERROR(TER_gezond_ele_kWh/1000),0,TER_gezond_ele_kWh/1000)</f>
        <v>267.36690399999998</v>
      </c>
      <c r="C29" s="39">
        <f>IF(ISERROR(B29*3.6/1000000/'E Balans VL '!Z10*100),0,B29*3.6/1000000/'E Balans VL '!Z10*100)</f>
        <v>2.6964271116419417E-2</v>
      </c>
      <c r="D29" s="237" t="s">
        <v>708</v>
      </c>
      <c r="F29" s="6"/>
    </row>
    <row r="30" spans="1:18">
      <c r="A30" s="231" t="s">
        <v>49</v>
      </c>
      <c r="B30" s="33">
        <f>IF(ISERROR(TER_ander_ele_kWh/1000),0,TER_ander_ele_kWh/1000)</f>
        <v>933.22371999999996</v>
      </c>
      <c r="C30" s="39">
        <f>IF(ISERROR(B30*3.6/1000000/'E Balans VL '!Z14*100),0,B30*3.6/1000000/'E Balans VL '!Z14*100)</f>
        <v>6.7718112391927127E-2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4012.7164780000003</v>
      </c>
      <c r="C32" s="39">
        <f>IF(ISERROR(B32*3.6/1000000/'E Balans VL '!Z8*100),0,B32*3.6/1000000/'E Balans VL '!Z8*100)</f>
        <v>3.2871356035696103E-2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7</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253823.887892</v>
      </c>
      <c r="C5" s="17">
        <f>IF(ISERROR('Eigen informatie GS &amp; warmtenet'!B61),0,'Eigen informatie GS &amp; warmtenet'!B61)</f>
        <v>0</v>
      </c>
      <c r="D5" s="30">
        <f>SUM(D6:D15)</f>
        <v>392412.88157519803</v>
      </c>
      <c r="E5" s="17">
        <f>SUM(E6:E15)</f>
        <v>3528.6178631879725</v>
      </c>
      <c r="F5" s="17">
        <f>SUM(F6:F15)</f>
        <v>24171.787421265522</v>
      </c>
      <c r="G5" s="18"/>
      <c r="H5" s="17"/>
      <c r="I5" s="17"/>
      <c r="J5" s="17">
        <f>SUM(J6:J15)</f>
        <v>12441.892902353196</v>
      </c>
      <c r="K5" s="17"/>
      <c r="L5" s="17"/>
      <c r="M5" s="17"/>
      <c r="N5" s="17">
        <f>SUM(N6:N15)</f>
        <v>8571.834256909593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110228.13840000001</v>
      </c>
      <c r="C7" s="33"/>
      <c r="D7" s="37">
        <f>IF( ISERROR(IND_nonf_gas_kWhh/1000),0,IND_nonf_gas_kWh/1000)*0.902</f>
        <v>0</v>
      </c>
      <c r="E7" s="33">
        <f>C29*'E Balans VL '!I17/100/3.6*1000000</f>
        <v>353.0948814665453</v>
      </c>
      <c r="F7" s="33">
        <f>C29*'E Balans VL '!L17/100/3.6*1000000+C29*'E Balans VL '!N17/100/3.6*1000000</f>
        <v>5701.3131295832627</v>
      </c>
      <c r="G7" s="34"/>
      <c r="H7" s="33"/>
      <c r="I7" s="33"/>
      <c r="J7" s="40">
        <f>C29*'E Balans VL '!D17/100/3.6*1000000+C29*'E Balans VL '!E17/100/3.6*1000000</f>
        <v>12230.632116080642</v>
      </c>
      <c r="K7" s="33"/>
      <c r="L7" s="33"/>
      <c r="M7" s="33"/>
      <c r="N7" s="33">
        <f>C29*'E Balans VL '!Y17/100/3.6*1000000</f>
        <v>0</v>
      </c>
      <c r="O7" s="33"/>
      <c r="P7" s="33"/>
      <c r="R7" s="32"/>
    </row>
    <row r="8" spans="1:18">
      <c r="A8" s="6" t="s">
        <v>35</v>
      </c>
      <c r="B8" s="37">
        <f t="shared" si="0"/>
        <v>1185.2554790000002</v>
      </c>
      <c r="C8" s="33"/>
      <c r="D8" s="37">
        <f>IF( ISERROR(IND_metaal_Gas_kWH/1000),0,IND_metaal_Gas_kWH/1000)*0.902</f>
        <v>309.05332887000003</v>
      </c>
      <c r="E8" s="33">
        <f>C30*'E Balans VL '!I18/100/3.6*1000000</f>
        <v>8.5507863909417612</v>
      </c>
      <c r="F8" s="33">
        <f>C30*'E Balans VL '!L18/100/3.6*1000000+C30*'E Balans VL '!N18/100/3.6*1000000</f>
        <v>112.10331373328523</v>
      </c>
      <c r="G8" s="34"/>
      <c r="H8" s="33"/>
      <c r="I8" s="33"/>
      <c r="J8" s="40">
        <f>C30*'E Balans VL '!D18/100/3.6*1000000+C30*'E Balans VL '!E18/100/3.6*1000000</f>
        <v>1.192136848532608</v>
      </c>
      <c r="K8" s="33"/>
      <c r="L8" s="33"/>
      <c r="M8" s="33"/>
      <c r="N8" s="33">
        <f>C30*'E Balans VL '!Y18/100/3.6*1000000</f>
        <v>14.98476513096349</v>
      </c>
      <c r="O8" s="33"/>
      <c r="P8" s="33"/>
      <c r="R8" s="32"/>
    </row>
    <row r="9" spans="1:18">
      <c r="A9" s="6" t="s">
        <v>32</v>
      </c>
      <c r="B9" s="37">
        <f t="shared" si="0"/>
        <v>2243.166913</v>
      </c>
      <c r="C9" s="33"/>
      <c r="D9" s="37">
        <f>IF( ISERROR(IND_andere_gas_kWh/1000),0,IND_andere_gas_kWh/1000)*0.902</f>
        <v>1559.244303342</v>
      </c>
      <c r="E9" s="33">
        <f>C31*'E Balans VL '!I19/100/3.6*1000000</f>
        <v>621.61154649175467</v>
      </c>
      <c r="F9" s="33">
        <f>C31*'E Balans VL '!L19/100/3.6*1000000+C31*'E Balans VL '!N19/100/3.6*1000000</f>
        <v>1859.1415850154583</v>
      </c>
      <c r="G9" s="34"/>
      <c r="H9" s="33"/>
      <c r="I9" s="33"/>
      <c r="J9" s="40">
        <f>C31*'E Balans VL '!D19/100/3.6*1000000+C31*'E Balans VL '!E19/100/3.6*1000000</f>
        <v>0</v>
      </c>
      <c r="K9" s="33"/>
      <c r="L9" s="33"/>
      <c r="M9" s="33"/>
      <c r="N9" s="33">
        <f>C31*'E Balans VL '!Y19/100/3.6*1000000</f>
        <v>162.82648098218269</v>
      </c>
      <c r="O9" s="33"/>
      <c r="P9" s="33"/>
      <c r="R9" s="32"/>
    </row>
    <row r="10" spans="1:18">
      <c r="A10" s="6" t="s">
        <v>40</v>
      </c>
      <c r="B10" s="37">
        <f t="shared" si="0"/>
        <v>11573.81727</v>
      </c>
      <c r="C10" s="33"/>
      <c r="D10" s="37">
        <f>IF( ISERROR(IND_voed_gas_kWh/1000),0,IND_voed_gas_kWh/1000)*0.902</f>
        <v>242.13982810600001</v>
      </c>
      <c r="E10" s="33">
        <f>C32*'E Balans VL '!I20/100/3.6*1000000</f>
        <v>20.489576871151215</v>
      </c>
      <c r="F10" s="33">
        <f>C32*'E Balans VL '!L20/100/3.6*1000000+C32*'E Balans VL '!N20/100/3.6*1000000</f>
        <v>625.08871040232589</v>
      </c>
      <c r="G10" s="34"/>
      <c r="H10" s="33"/>
      <c r="I10" s="33"/>
      <c r="J10" s="40">
        <f>C32*'E Balans VL '!D20/100/3.6*1000000+C32*'E Balans VL '!E20/100/3.6*1000000</f>
        <v>0</v>
      </c>
      <c r="K10" s="33"/>
      <c r="L10" s="33"/>
      <c r="M10" s="33"/>
      <c r="N10" s="33">
        <f>C32*'E Balans VL '!Y20/100/3.6*1000000</f>
        <v>672.5271737309132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27162.408370000001</v>
      </c>
      <c r="C12" s="33"/>
      <c r="D12" s="37">
        <f>IF( ISERROR(IND_min_gas_kWh/1000),0,IND_min_gas_kWh/1000)*0.902</f>
        <v>246899.05043540001</v>
      </c>
      <c r="E12" s="33">
        <f>C34*'E Balans VL '!I22/100/3.6*1000000</f>
        <v>1196.135575381018</v>
      </c>
      <c r="F12" s="33">
        <f>C34*'E Balans VL '!L22/100/3.6*1000000+C34*'E Balans VL '!N22/100/3.6*1000000</f>
        <v>10621.598641731602</v>
      </c>
      <c r="G12" s="34"/>
      <c r="H12" s="33"/>
      <c r="I12" s="33"/>
      <c r="J12" s="40">
        <f>C34*'E Balans VL '!D22/100/3.6*1000000+C34*'E Balans VL '!E22/100/3.6*1000000</f>
        <v>8.2474724234160295</v>
      </c>
      <c r="K12" s="33"/>
      <c r="L12" s="33"/>
      <c r="M12" s="33"/>
      <c r="N12" s="33">
        <f>C34*'E Balans VL '!Y22/100/3.6*1000000</f>
        <v>6719.1566717795895</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77001.134010000009</v>
      </c>
      <c r="C14" s="33"/>
      <c r="D14" s="37">
        <f>IF( ISERROR(IND_chemie_gas_kWh/1000),0,IND_chemie_gas_kWh/1000)*0.902</f>
        <v>130203.8795882</v>
      </c>
      <c r="E14" s="33">
        <f>C36*'E Balans VL '!I24/100/3.6*1000000</f>
        <v>174.16105563529612</v>
      </c>
      <c r="F14" s="33">
        <f>C36*'E Balans VL '!L24/100/3.6*1000000+C36*'E Balans VL '!N24/100/3.6*1000000</f>
        <v>909.15017214457021</v>
      </c>
      <c r="G14" s="34"/>
      <c r="H14" s="33"/>
      <c r="I14" s="33"/>
      <c r="J14" s="40">
        <f>C36*'E Balans VL '!D24/100/3.6*1000000+C36*'E Balans VL '!E24/100/3.6*1000000</f>
        <v>0</v>
      </c>
      <c r="K14" s="33"/>
      <c r="L14" s="33"/>
      <c r="M14" s="33"/>
      <c r="N14" s="33">
        <f>C36*'E Balans VL '!Y24/100/3.6*1000000</f>
        <v>42.295570384429638</v>
      </c>
      <c r="O14" s="33"/>
      <c r="P14" s="33"/>
      <c r="R14" s="32"/>
    </row>
    <row r="15" spans="1:18">
      <c r="A15" s="6" t="s">
        <v>269</v>
      </c>
      <c r="B15" s="37">
        <f t="shared" si="0"/>
        <v>24429.96745</v>
      </c>
      <c r="C15" s="33"/>
      <c r="D15" s="37">
        <f>IF( ISERROR(IND_rest_gas_kWh/1000),0,IND_rest_gas_kWh/1000)*0.902</f>
        <v>13199.51409128</v>
      </c>
      <c r="E15" s="33">
        <f>C37*'E Balans VL '!I15/100/3.6*1000000</f>
        <v>1154.5744409512654</v>
      </c>
      <c r="F15" s="33">
        <f>C37*'E Balans VL '!L15/100/3.6*1000000+C37*'E Balans VL '!N15/100/3.6*1000000</f>
        <v>4343.391868655016</v>
      </c>
      <c r="G15" s="34"/>
      <c r="H15" s="33"/>
      <c r="I15" s="33"/>
      <c r="J15" s="40">
        <f>C37*'E Balans VL '!D15/100/3.6*1000000+C37*'E Balans VL '!E15/100/3.6*1000000</f>
        <v>201.82117700060627</v>
      </c>
      <c r="K15" s="33"/>
      <c r="L15" s="33"/>
      <c r="M15" s="33"/>
      <c r="N15" s="33">
        <f>C37*'E Balans VL '!Y15/100/3.6*1000000</f>
        <v>960.04359490151535</v>
      </c>
      <c r="O15" s="33"/>
      <c r="P15" s="33"/>
      <c r="R15" s="32"/>
    </row>
    <row r="16" spans="1:18">
      <c r="A16" s="16" t="s">
        <v>478</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253823.887892</v>
      </c>
      <c r="C18" s="21">
        <f>C5+C16</f>
        <v>0</v>
      </c>
      <c r="D18" s="21">
        <f>MAX((D5+D16),0)</f>
        <v>392412.88157519803</v>
      </c>
      <c r="E18" s="21">
        <f>MAX((E5+E16),0)</f>
        <v>3528.6178631879725</v>
      </c>
      <c r="F18" s="21">
        <f>MAX((F5+F16),0)</f>
        <v>24171.787421265522</v>
      </c>
      <c r="G18" s="21"/>
      <c r="H18" s="21"/>
      <c r="I18" s="21"/>
      <c r="J18" s="21">
        <f>MAX((J5+J16),0)</f>
        <v>12441.892902353196</v>
      </c>
      <c r="K18" s="21"/>
      <c r="L18" s="21">
        <f>MAX((L5+L16),0)</f>
        <v>0</v>
      </c>
      <c r="M18" s="21"/>
      <c r="N18" s="21">
        <f>MAX((N5+N16),0)</f>
        <v>8571.834256909593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0.21502579869994981</v>
      </c>
      <c r="C20" s="25">
        <f ca="1">'EF ele_warmte'!B22</f>
        <v>0.23607823565441696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54578.684223103817</v>
      </c>
      <c r="C22" s="23">
        <f ca="1">C18*C20</f>
        <v>0</v>
      </c>
      <c r="D22" s="23">
        <f>D18*D20</f>
        <v>79267.402078190004</v>
      </c>
      <c r="E22" s="23">
        <f>E18*E20</f>
        <v>800.99625494366978</v>
      </c>
      <c r="F22" s="23">
        <f>F18*F20</f>
        <v>6453.8672414778948</v>
      </c>
      <c r="G22" s="23"/>
      <c r="H22" s="23"/>
      <c r="I22" s="23"/>
      <c r="J22" s="23">
        <f>J18*J20</f>
        <v>4404.4300874330311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110228.13840000001</v>
      </c>
      <c r="C29" s="39">
        <f>IF(ISERROR(B29*3.6/1000000/'E Balans VL '!Z17*100),0,B29*3.6/1000000/'E Balans VL '!Z17*100)</f>
        <v>26.987934647001676</v>
      </c>
      <c r="D29" s="237" t="s">
        <v>708</v>
      </c>
    </row>
    <row r="30" spans="1:18">
      <c r="A30" s="171" t="s">
        <v>35</v>
      </c>
      <c r="B30" s="37">
        <f>IF( ISERROR(IND_metaal_ele_kWh/1000),0,IND_metaal_ele_kWh/1000)</f>
        <v>1185.2554790000002</v>
      </c>
      <c r="C30" s="39">
        <f>IF(ISERROR(B30*3.6/1000000/'E Balans VL '!Z18*100),0,B30*3.6/1000000/'E Balans VL '!Z18*100)</f>
        <v>6.8422949392047613E-2</v>
      </c>
      <c r="D30" s="237" t="s">
        <v>708</v>
      </c>
    </row>
    <row r="31" spans="1:18">
      <c r="A31" s="6" t="s">
        <v>32</v>
      </c>
      <c r="B31" s="37">
        <f>IF( ISERROR(IND_ander_ele_kWh/1000),0,IND_ander_ele_kWh/1000)</f>
        <v>2243.166913</v>
      </c>
      <c r="C31" s="39">
        <f>IF(ISERROR(B31*3.6/1000000/'E Balans VL '!Z19*100),0,B31*3.6/1000000/'E Balans VL '!Z19*100)</f>
        <v>0.11282402477988955</v>
      </c>
      <c r="D31" s="237" t="s">
        <v>708</v>
      </c>
    </row>
    <row r="32" spans="1:18">
      <c r="A32" s="171" t="s">
        <v>40</v>
      </c>
      <c r="B32" s="37">
        <f>IF( ISERROR(IND_voed_ele_kWh/1000),0,IND_voed_ele_kWh/1000)</f>
        <v>11573.81727</v>
      </c>
      <c r="C32" s="39">
        <f>IF(ISERROR(B32*3.6/1000000/'E Balans VL '!Z20*100),0,B32*3.6/1000000/'E Balans VL '!Z20*100)</f>
        <v>0.38547684328924398</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27162.408370000001</v>
      </c>
      <c r="C34" s="39">
        <f>IF(ISERROR(B34*3.6/1000000/'E Balans VL '!Z22*100),0,B34*3.6/1000000/'E Balans VL '!Z22*100)</f>
        <v>5.0667066082416623</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77001.134010000009</v>
      </c>
      <c r="C36" s="39">
        <f>IF(ISERROR(B36*3.6/1000000/'E Balans VL '!Z24*100),0,B36*3.6/1000000/'E Balans VL '!Z24*100)</f>
        <v>2.0309997783639671</v>
      </c>
      <c r="D36" s="237" t="s">
        <v>708</v>
      </c>
    </row>
    <row r="37" spans="1:5">
      <c r="A37" s="171" t="s">
        <v>269</v>
      </c>
      <c r="B37" s="37">
        <f>IF( ISERROR(IND_rest_ele_kWh/1000),0,IND_rest_ele_kWh/1000)</f>
        <v>24429.96745</v>
      </c>
      <c r="C37" s="39">
        <f>IF(ISERROR(B37*3.6/1000000/'E Balans VL '!Z15*100),0,B37*3.6/1000000/'E Balans VL '!Z15*100)</f>
        <v>0.19062055306103542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1503.7706839999998</v>
      </c>
      <c r="C5" s="17">
        <f>'Eigen informatie GS &amp; warmtenet'!B62</f>
        <v>0</v>
      </c>
      <c r="D5" s="30">
        <f>IF(ISERROR(SUM(LB_lb_gas_kWh,LB_rest_gas_kWh)/1000),0,SUM(LB_lb_gas_kWh,LB_rest_gas_kWh)/1000)*0.902</f>
        <v>55367.098723640003</v>
      </c>
      <c r="E5" s="17">
        <f>B17*'E Balans VL '!I25/3.6*1000000/100</f>
        <v>46.932187165244365</v>
      </c>
      <c r="F5" s="17">
        <f>B17*('E Balans VL '!L25/3.6*1000000+'E Balans VL '!N25/3.6*1000000)/100</f>
        <v>5314.4921804786245</v>
      </c>
      <c r="G5" s="18"/>
      <c r="H5" s="17"/>
      <c r="I5" s="17"/>
      <c r="J5" s="17">
        <f>('E Balans VL '!D25+'E Balans VL '!E25)/3.6*1000000*landbouw!B17/100</f>
        <v>414.29925200029822</v>
      </c>
      <c r="K5" s="17"/>
      <c r="L5" s="17">
        <f>L6*(-1)</f>
        <v>0</v>
      </c>
      <c r="M5" s="17"/>
      <c r="N5" s="17">
        <f>N6*(-1)</f>
        <v>374.14285714285711</v>
      </c>
      <c r="O5" s="17"/>
      <c r="P5" s="17"/>
      <c r="R5" s="32"/>
    </row>
    <row r="6" spans="1:18">
      <c r="A6" s="16" t="s">
        <v>478</v>
      </c>
      <c r="B6" s="17" t="s">
        <v>210</v>
      </c>
      <c r="C6" s="17">
        <f>'lokale energieproductie'!O42+'lokale energieproductie'!O35</f>
        <v>27887.785714285714</v>
      </c>
      <c r="D6" s="308">
        <f>('lokale energieproductie'!P35+'lokale energieproductie'!P42)*(-1)</f>
        <v>-55401.428571428572</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1503.7706839999998</v>
      </c>
      <c r="C8" s="21">
        <f>C5+C6</f>
        <v>27887.785714285714</v>
      </c>
      <c r="D8" s="21">
        <f>MAX((D5+D6),0)</f>
        <v>0</v>
      </c>
      <c r="E8" s="21">
        <f>MAX((E5+E6),0)</f>
        <v>46.932187165244365</v>
      </c>
      <c r="F8" s="21">
        <f>MAX((F5+F6),0)</f>
        <v>5314.4921804786245</v>
      </c>
      <c r="G8" s="21"/>
      <c r="H8" s="21"/>
      <c r="I8" s="21"/>
      <c r="J8" s="21">
        <f>MAX((J5+J6),0)</f>
        <v>414.29925200029822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0.21502579869994981</v>
      </c>
      <c r="C10" s="31">
        <f ca="1">'EF ele_warmte'!B22</f>
        <v>0.23607823565441696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323.34949238866983</v>
      </c>
      <c r="C12" s="23">
        <f ca="1">C8*C10</f>
        <v>6583.6992477370259</v>
      </c>
      <c r="D12" s="23">
        <f>D8*D10</f>
        <v>0</v>
      </c>
      <c r="E12" s="23">
        <f>E8*E10</f>
        <v>10.653606486510471</v>
      </c>
      <c r="F12" s="23">
        <f>F8*F10</f>
        <v>1418.9694121877928</v>
      </c>
      <c r="G12" s="23"/>
      <c r="H12" s="23"/>
      <c r="I12" s="23"/>
      <c r="J12" s="23">
        <f>J8*J10</f>
        <v>146.66193520810558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0.22354629222597261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264.20956706137912</v>
      </c>
      <c r="C26" s="247">
        <f>B26*'GWP N2O_CH4'!B5</f>
        <v>5548.4009082889615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69.221620081578706</v>
      </c>
      <c r="C27" s="247">
        <f>B27*'GWP N2O_CH4'!B5</f>
        <v>1453.6540217131528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5.3214709701729577</v>
      </c>
      <c r="C28" s="247">
        <f>B28*'GWP N2O_CH4'!B4</f>
        <v>1649.6560007536168</v>
      </c>
      <c r="D28" s="50"/>
    </row>
    <row r="29" spans="1:4">
      <c r="A29" s="41" t="s">
        <v>276</v>
      </c>
      <c r="B29" s="247">
        <f>B34*'ha_N2O bodem landbouw'!B4</f>
        <v>9.7775015196727306</v>
      </c>
      <c r="C29" s="247">
        <f>B29*'GWP N2O_CH4'!B4</f>
        <v>3031.0254710985464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2.144030043307594E-3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1.168860459656586E-4</v>
      </c>
      <c r="C5" s="437" t="s">
        <v>210</v>
      </c>
      <c r="D5" s="422">
        <f>SUM(D6:D11)</f>
        <v>4.1281686417722965E-4</v>
      </c>
      <c r="E5" s="422">
        <f>SUM(E6:E11)</f>
        <v>3.4925816116070167E-4</v>
      </c>
      <c r="F5" s="435" t="s">
        <v>210</v>
      </c>
      <c r="G5" s="422">
        <f>SUM(G6:G11)</f>
        <v>0.15973429089300487</v>
      </c>
      <c r="H5" s="422">
        <f>SUM(H6:H11)</f>
        <v>3.85345735894842E-2</v>
      </c>
      <c r="I5" s="437" t="s">
        <v>210</v>
      </c>
      <c r="J5" s="437" t="s">
        <v>210</v>
      </c>
      <c r="K5" s="437" t="s">
        <v>210</v>
      </c>
      <c r="L5" s="437" t="s">
        <v>210</v>
      </c>
      <c r="M5" s="422">
        <f>SUM(M6:M11)</f>
        <v>1.1758759206003189E-2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1.0066478711607465E-4</v>
      </c>
      <c r="C6" s="423"/>
      <c r="D6" s="890">
        <f>vkm_GW_PW*SUMIFS(TableVerdeelsleutelVkm[CNG],TableVerdeelsleutelVkm[Voertuigtype],"Lichte voertuigen")*SUMIFS(TableECFTransport[EnergieConsumptieFactor (PJ per km)],TableECFTransport[Index],CONCATENATE($A6,"_CNG_CNG"))</f>
        <v>3.2428178726683966E-4</v>
      </c>
      <c r="E6" s="890">
        <f>vkm_GW_PW*SUMIFS(TableVerdeelsleutelVkm[LPG],TableVerdeelsleutelVkm[Voertuigtype],"Lichte voertuigen")*SUMIFS(TableECFTransport[EnergieConsumptieFactor (PJ per km)],TableECFTransport[Index],CONCATENATE($A6,"_LPG_LPG"))</f>
        <v>2.7731819867376909E-4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8.9587488601452006E-2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3.0378567943601224E-2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7.1753717354909249E-3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4.6594456554011773E-2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6.6625889216406238E-7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2.6858165966562814E-3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1.6221258849583951E-5</v>
      </c>
      <c r="C8" s="423"/>
      <c r="D8" s="425">
        <f>vkm_NGW_PW*SUMIFS(TableVerdeelsleutelVkm[CNG],TableVerdeelsleutelVkm[Voertuigtype],"Lichte voertuigen")*SUMIFS(TableECFTransport[EnergieConsumptieFactor (PJ per km)],TableECFTransport[Index],CONCATENATE($A8,"_CNG_CNG"))</f>
        <v>8.8535076910389995E-5</v>
      </c>
      <c r="E8" s="425">
        <f>vkm_NGW_PW*SUMIFS(TableVerdeelsleutelVkm[LPG],TableVerdeelsleutelVkm[Voertuigtype],"Lichte voertuigen")*SUMIFS(TableECFTransport[EnergieConsumptieFactor (PJ per km)],TableECFTransport[Index],CONCATENATE($A8,"_LPG_LPG"))</f>
        <v>7.1939962486932565E-5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2.1716524533333184E-2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8.1553061038149612E-3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1.7917492564440791E-3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1.8358212042079041E-3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3.328317585571088E-8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1.058216174119037E-4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32.468346101571832</v>
      </c>
      <c r="C14" s="21"/>
      <c r="D14" s="21">
        <f t="shared" ref="D14:M14" si="0">((D5)*10^9/3600)+D12</f>
        <v>114.67135116034157</v>
      </c>
      <c r="E14" s="21">
        <f t="shared" si="0"/>
        <v>97.016155877972679</v>
      </c>
      <c r="F14" s="21"/>
      <c r="G14" s="21">
        <f t="shared" si="0"/>
        <v>44370.63635916802</v>
      </c>
      <c r="H14" s="21">
        <f t="shared" si="0"/>
        <v>10704.048219301167</v>
      </c>
      <c r="I14" s="21"/>
      <c r="J14" s="21"/>
      <c r="K14" s="21"/>
      <c r="L14" s="21"/>
      <c r="M14" s="21">
        <f t="shared" si="0"/>
        <v>3266.3220016675527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0.21502579869994981</v>
      </c>
      <c r="C16" s="56">
        <f ca="1">'EF ele_warmte'!B22</f>
        <v>0.23607823565441696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6.9815320529568847</v>
      </c>
      <c r="C18" s="23"/>
      <c r="D18" s="23">
        <f t="shared" ref="D18:M18" si="1">D14*D16</f>
        <v>23.163612934389</v>
      </c>
      <c r="E18" s="23">
        <f t="shared" si="1"/>
        <v>22.022667384299798</v>
      </c>
      <c r="F18" s="23"/>
      <c r="G18" s="23">
        <f t="shared" si="1"/>
        <v>11846.959907897863</v>
      </c>
      <c r="H18" s="23">
        <f t="shared" si="1"/>
        <v>2665.3080066059906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8.8000861770700205E-3</v>
      </c>
      <c r="H50" s="319">
        <f t="shared" si="2"/>
        <v>0</v>
      </c>
      <c r="I50" s="319">
        <f t="shared" si="2"/>
        <v>0</v>
      </c>
      <c r="J50" s="319">
        <f t="shared" si="2"/>
        <v>0</v>
      </c>
      <c r="K50" s="319">
        <f t="shared" si="2"/>
        <v>0</v>
      </c>
      <c r="L50" s="319">
        <f t="shared" si="2"/>
        <v>0</v>
      </c>
      <c r="M50" s="319">
        <f t="shared" si="2"/>
        <v>4.8903281193658082E-4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8.8000861770700205E-3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4.8903281193658082E-4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2444.4683825194497</v>
      </c>
      <c r="H54" s="21">
        <f t="shared" si="3"/>
        <v>0</v>
      </c>
      <c r="I54" s="21">
        <f t="shared" si="3"/>
        <v>0</v>
      </c>
      <c r="J54" s="21">
        <f t="shared" si="3"/>
        <v>0</v>
      </c>
      <c r="K54" s="21">
        <f t="shared" si="3"/>
        <v>0</v>
      </c>
      <c r="L54" s="21">
        <f t="shared" si="3"/>
        <v>0</v>
      </c>
      <c r="M54" s="21">
        <f t="shared" si="3"/>
        <v>135.84244776016135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0.21502579869994981</v>
      </c>
      <c r="C56" s="56">
        <f ca="1">'EF ele_warmte'!B22</f>
        <v>0.23607823565441696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652.67305813269309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16929.056106</v>
      </c>
      <c r="D10" s="686">
        <f ca="1">tertiair!C16</f>
        <v>450.00000000000011</v>
      </c>
      <c r="E10" s="686">
        <f ca="1">tertiair!D16</f>
        <v>17682.537898716</v>
      </c>
      <c r="F10" s="686">
        <f>tertiair!E16</f>
        <v>262.87123314649222</v>
      </c>
      <c r="G10" s="686">
        <f ca="1">tertiair!F16</f>
        <v>1744.9133396467275</v>
      </c>
      <c r="H10" s="686">
        <f>tertiair!G16</f>
        <v>0</v>
      </c>
      <c r="I10" s="686">
        <f>tertiair!H16</f>
        <v>0</v>
      </c>
      <c r="J10" s="686">
        <f>tertiair!I16</f>
        <v>0</v>
      </c>
      <c r="K10" s="686">
        <f>tertiair!J16</f>
        <v>2.3532615671456224E-2</v>
      </c>
      <c r="L10" s="686">
        <f>tertiair!K16</f>
        <v>0</v>
      </c>
      <c r="M10" s="686">
        <f ca="1">tertiair!L16</f>
        <v>0</v>
      </c>
      <c r="N10" s="686">
        <f>tertiair!M16</f>
        <v>0</v>
      </c>
      <c r="O10" s="686">
        <f ca="1">tertiair!N16</f>
        <v>927.36449881790827</v>
      </c>
      <c r="P10" s="686">
        <f>tertiair!O16</f>
        <v>14.691782297523464</v>
      </c>
      <c r="Q10" s="687">
        <f>tertiair!P16</f>
        <v>367.77396814546512</v>
      </c>
      <c r="R10" s="689">
        <f ca="1">SUM(C10:Q10)</f>
        <v>38379.23235938578</v>
      </c>
      <c r="S10" s="67"/>
    </row>
    <row r="11" spans="1:19" s="448" customFormat="1">
      <c r="A11" s="808" t="s">
        <v>224</v>
      </c>
      <c r="B11" s="813"/>
      <c r="C11" s="686">
        <f>huishoudens!B8</f>
        <v>30418.143180818763</v>
      </c>
      <c r="D11" s="686">
        <f>huishoudens!C8</f>
        <v>0</v>
      </c>
      <c r="E11" s="686">
        <f>huishoudens!D8</f>
        <v>81843.447649590002</v>
      </c>
      <c r="F11" s="686">
        <f>huishoudens!E8</f>
        <v>6077.2405746330487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28813.944740501553</v>
      </c>
      <c r="P11" s="686">
        <f>huishoudens!O8</f>
        <v>515.82913704062821</v>
      </c>
      <c r="Q11" s="687">
        <f>huishoudens!P8</f>
        <v>979.65821561470705</v>
      </c>
      <c r="R11" s="689">
        <f>SUM(C11:Q11)</f>
        <v>148648.26349819871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253823.887892</v>
      </c>
      <c r="D13" s="686">
        <f>industrie!C18</f>
        <v>0</v>
      </c>
      <c r="E13" s="686">
        <f>industrie!D18</f>
        <v>392412.88157519803</v>
      </c>
      <c r="F13" s="686">
        <f>industrie!E18</f>
        <v>3528.6178631879725</v>
      </c>
      <c r="G13" s="686">
        <f>industrie!F18</f>
        <v>24171.787421265522</v>
      </c>
      <c r="H13" s="686">
        <f>industrie!G18</f>
        <v>0</v>
      </c>
      <c r="I13" s="686">
        <f>industrie!H18</f>
        <v>0</v>
      </c>
      <c r="J13" s="686">
        <f>industrie!I18</f>
        <v>0</v>
      </c>
      <c r="K13" s="686">
        <f>industrie!J18</f>
        <v>12441.892902353196</v>
      </c>
      <c r="L13" s="686">
        <f>industrie!K18</f>
        <v>0</v>
      </c>
      <c r="M13" s="686">
        <f>industrie!L18</f>
        <v>0</v>
      </c>
      <c r="N13" s="686">
        <f>industrie!M18</f>
        <v>0</v>
      </c>
      <c r="O13" s="686">
        <f>industrie!N18</f>
        <v>8571.834256909593</v>
      </c>
      <c r="P13" s="686">
        <f>industrie!O18</f>
        <v>0</v>
      </c>
      <c r="Q13" s="687">
        <f>industrie!P18</f>
        <v>0</v>
      </c>
      <c r="R13" s="689">
        <f>SUM(C13:Q13)</f>
        <v>694950.90191091422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301171.08717881877</v>
      </c>
      <c r="D16" s="722">
        <f t="shared" ref="D16:R16" ca="1" si="0">SUM(D9:D15)</f>
        <v>450.00000000000011</v>
      </c>
      <c r="E16" s="722">
        <f t="shared" ca="1" si="0"/>
        <v>491938.86712350405</v>
      </c>
      <c r="F16" s="722">
        <f t="shared" si="0"/>
        <v>9868.7296709675138</v>
      </c>
      <c r="G16" s="722">
        <f t="shared" ca="1" si="0"/>
        <v>25916.700760912248</v>
      </c>
      <c r="H16" s="722">
        <f t="shared" si="0"/>
        <v>0</v>
      </c>
      <c r="I16" s="722">
        <f t="shared" si="0"/>
        <v>0</v>
      </c>
      <c r="J16" s="722">
        <f t="shared" si="0"/>
        <v>0</v>
      </c>
      <c r="K16" s="722">
        <f t="shared" si="0"/>
        <v>12441.916434968867</v>
      </c>
      <c r="L16" s="722">
        <f t="shared" si="0"/>
        <v>0</v>
      </c>
      <c r="M16" s="722">
        <f t="shared" ca="1" si="0"/>
        <v>0</v>
      </c>
      <c r="N16" s="722">
        <f t="shared" si="0"/>
        <v>0</v>
      </c>
      <c r="O16" s="722">
        <f t="shared" ca="1" si="0"/>
        <v>38313.143496229051</v>
      </c>
      <c r="P16" s="722">
        <f t="shared" si="0"/>
        <v>530.52091933815166</v>
      </c>
      <c r="Q16" s="722">
        <f t="shared" si="0"/>
        <v>1347.4321837601722</v>
      </c>
      <c r="R16" s="722">
        <f t="shared" ca="1" si="0"/>
        <v>881978.39776849875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2444.4683825194497</v>
      </c>
      <c r="I19" s="686">
        <f>transport!H54</f>
        <v>0</v>
      </c>
      <c r="J19" s="686">
        <f>transport!I54</f>
        <v>0</v>
      </c>
      <c r="K19" s="686">
        <f>transport!J54</f>
        <v>0</v>
      </c>
      <c r="L19" s="686">
        <f>transport!K54</f>
        <v>0</v>
      </c>
      <c r="M19" s="686">
        <f>transport!L54</f>
        <v>0</v>
      </c>
      <c r="N19" s="686">
        <f>transport!M54</f>
        <v>135.84244776016135</v>
      </c>
      <c r="O19" s="686">
        <f>transport!N54</f>
        <v>0</v>
      </c>
      <c r="P19" s="686">
        <f>transport!O54</f>
        <v>0</v>
      </c>
      <c r="Q19" s="687">
        <f>transport!P54</f>
        <v>0</v>
      </c>
      <c r="R19" s="689">
        <f>SUM(C19:Q19)</f>
        <v>2580.3108302796109</v>
      </c>
      <c r="S19" s="67"/>
    </row>
    <row r="20" spans="1:19" s="448" customFormat="1">
      <c r="A20" s="808" t="s">
        <v>306</v>
      </c>
      <c r="B20" s="813"/>
      <c r="C20" s="686">
        <f>transport!B14</f>
        <v>32.468346101571832</v>
      </c>
      <c r="D20" s="686">
        <f>transport!C14</f>
        <v>0</v>
      </c>
      <c r="E20" s="686">
        <f>transport!D14</f>
        <v>114.67135116034157</v>
      </c>
      <c r="F20" s="686">
        <f>transport!E14</f>
        <v>97.016155877972679</v>
      </c>
      <c r="G20" s="686">
        <f>transport!F14</f>
        <v>0</v>
      </c>
      <c r="H20" s="686">
        <f>transport!G14</f>
        <v>44370.63635916802</v>
      </c>
      <c r="I20" s="686">
        <f>transport!H14</f>
        <v>10704.048219301167</v>
      </c>
      <c r="J20" s="686">
        <f>transport!I14</f>
        <v>0</v>
      </c>
      <c r="K20" s="686">
        <f>transport!J14</f>
        <v>0</v>
      </c>
      <c r="L20" s="686">
        <f>transport!K14</f>
        <v>0</v>
      </c>
      <c r="M20" s="686">
        <f>transport!L14</f>
        <v>0</v>
      </c>
      <c r="N20" s="686">
        <f>transport!M14</f>
        <v>3266.3220016675527</v>
      </c>
      <c r="O20" s="686">
        <f>transport!N14</f>
        <v>0</v>
      </c>
      <c r="P20" s="686">
        <f>transport!O14</f>
        <v>0</v>
      </c>
      <c r="Q20" s="687">
        <f>transport!P14</f>
        <v>0</v>
      </c>
      <c r="R20" s="689">
        <f>SUM(C20:Q20)</f>
        <v>58585.16243327663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32.468346101571832</v>
      </c>
      <c r="D22" s="811">
        <f t="shared" ref="D22:R22" si="1">SUM(D18:D21)</f>
        <v>0</v>
      </c>
      <c r="E22" s="811">
        <f t="shared" si="1"/>
        <v>114.67135116034157</v>
      </c>
      <c r="F22" s="811">
        <f t="shared" si="1"/>
        <v>97.016155877972679</v>
      </c>
      <c r="G22" s="811">
        <f t="shared" si="1"/>
        <v>0</v>
      </c>
      <c r="H22" s="811">
        <f t="shared" si="1"/>
        <v>46815.104741687472</v>
      </c>
      <c r="I22" s="811">
        <f t="shared" si="1"/>
        <v>10704.048219301167</v>
      </c>
      <c r="J22" s="811">
        <f t="shared" si="1"/>
        <v>0</v>
      </c>
      <c r="K22" s="811">
        <f t="shared" si="1"/>
        <v>0</v>
      </c>
      <c r="L22" s="811">
        <f t="shared" si="1"/>
        <v>0</v>
      </c>
      <c r="M22" s="811">
        <f t="shared" si="1"/>
        <v>0</v>
      </c>
      <c r="N22" s="811">
        <f t="shared" si="1"/>
        <v>3402.1644494277143</v>
      </c>
      <c r="O22" s="811">
        <f t="shared" si="1"/>
        <v>0</v>
      </c>
      <c r="P22" s="811">
        <f t="shared" si="1"/>
        <v>0</v>
      </c>
      <c r="Q22" s="811">
        <f t="shared" si="1"/>
        <v>0</v>
      </c>
      <c r="R22" s="811">
        <f t="shared" si="1"/>
        <v>61165.47326355624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1503.7706839999998</v>
      </c>
      <c r="D24" s="686">
        <f>+landbouw!C8</f>
        <v>27887.785714285714</v>
      </c>
      <c r="E24" s="686">
        <f>+landbouw!D8</f>
        <v>0</v>
      </c>
      <c r="F24" s="686">
        <f>+landbouw!E8</f>
        <v>46.932187165244365</v>
      </c>
      <c r="G24" s="686">
        <f>+landbouw!F8</f>
        <v>5314.4921804786245</v>
      </c>
      <c r="H24" s="686">
        <f>+landbouw!G8</f>
        <v>0</v>
      </c>
      <c r="I24" s="686">
        <f>+landbouw!H8</f>
        <v>0</v>
      </c>
      <c r="J24" s="686">
        <f>+landbouw!I8</f>
        <v>0</v>
      </c>
      <c r="K24" s="686">
        <f>+landbouw!J8</f>
        <v>414.29925200029822</v>
      </c>
      <c r="L24" s="686">
        <f>+landbouw!K8</f>
        <v>0</v>
      </c>
      <c r="M24" s="686">
        <f>+landbouw!L8</f>
        <v>0</v>
      </c>
      <c r="N24" s="686">
        <f>+landbouw!M8</f>
        <v>0</v>
      </c>
      <c r="O24" s="686">
        <f>+landbouw!N8</f>
        <v>0</v>
      </c>
      <c r="P24" s="686">
        <f>+landbouw!O8</f>
        <v>0</v>
      </c>
      <c r="Q24" s="687">
        <f>+landbouw!P8</f>
        <v>0</v>
      </c>
      <c r="R24" s="689">
        <f>SUM(C24:Q24)</f>
        <v>35167.280017929872</v>
      </c>
      <c r="S24" s="67"/>
    </row>
    <row r="25" spans="1:19" s="448" customFormat="1" ht="15" thickBot="1">
      <c r="A25" s="830" t="s">
        <v>724</v>
      </c>
      <c r="B25" s="949"/>
      <c r="C25" s="950">
        <f>IF(Onbekend_ele_kWh="---",0,Onbekend_ele_kWh)/1000+IF(REST_rest_ele_kWh="---",0,REST_rest_ele_kWh)/1000</f>
        <v>1008.011901</v>
      </c>
      <c r="D25" s="950"/>
      <c r="E25" s="950">
        <f>IF(onbekend_gas_kWh="---",0,onbekend_gas_kWh)/1000+IF(REST_rest_gas_kWh="---",0,REST_rest_gas_kWh)/1000</f>
        <v>2084.0912209999997</v>
      </c>
      <c r="F25" s="950"/>
      <c r="G25" s="950"/>
      <c r="H25" s="950"/>
      <c r="I25" s="950"/>
      <c r="J25" s="950"/>
      <c r="K25" s="950"/>
      <c r="L25" s="950"/>
      <c r="M25" s="950"/>
      <c r="N25" s="950"/>
      <c r="O25" s="950"/>
      <c r="P25" s="950"/>
      <c r="Q25" s="951"/>
      <c r="R25" s="689">
        <f>SUM(C25:Q25)</f>
        <v>3092.1031219999995</v>
      </c>
      <c r="S25" s="67"/>
    </row>
    <row r="26" spans="1:19" s="448" customFormat="1" ht="15.75" thickBot="1">
      <c r="A26" s="694" t="s">
        <v>725</v>
      </c>
      <c r="B26" s="816"/>
      <c r="C26" s="811">
        <f>SUM(C24:C25)</f>
        <v>2511.7825849999999</v>
      </c>
      <c r="D26" s="811">
        <f t="shared" ref="D26:R26" si="2">SUM(D24:D25)</f>
        <v>27887.785714285714</v>
      </c>
      <c r="E26" s="811">
        <f t="shared" si="2"/>
        <v>2084.0912209999997</v>
      </c>
      <c r="F26" s="811">
        <f t="shared" si="2"/>
        <v>46.932187165244365</v>
      </c>
      <c r="G26" s="811">
        <f t="shared" si="2"/>
        <v>5314.4921804786245</v>
      </c>
      <c r="H26" s="811">
        <f t="shared" si="2"/>
        <v>0</v>
      </c>
      <c r="I26" s="811">
        <f t="shared" si="2"/>
        <v>0</v>
      </c>
      <c r="J26" s="811">
        <f t="shared" si="2"/>
        <v>0</v>
      </c>
      <c r="K26" s="811">
        <f t="shared" si="2"/>
        <v>414.29925200029822</v>
      </c>
      <c r="L26" s="811">
        <f t="shared" si="2"/>
        <v>0</v>
      </c>
      <c r="M26" s="811">
        <f t="shared" si="2"/>
        <v>0</v>
      </c>
      <c r="N26" s="811">
        <f t="shared" si="2"/>
        <v>0</v>
      </c>
      <c r="O26" s="811">
        <f t="shared" si="2"/>
        <v>0</v>
      </c>
      <c r="P26" s="811">
        <f t="shared" si="2"/>
        <v>0</v>
      </c>
      <c r="Q26" s="811">
        <f t="shared" si="2"/>
        <v>0</v>
      </c>
      <c r="R26" s="811">
        <f t="shared" si="2"/>
        <v>38259.383139929872</v>
      </c>
      <c r="S26" s="67"/>
    </row>
    <row r="27" spans="1:19" s="448" customFormat="1" ht="17.25" thickTop="1" thickBot="1">
      <c r="A27" s="695" t="s">
        <v>115</v>
      </c>
      <c r="B27" s="803"/>
      <c r="C27" s="696">
        <f ca="1">C22+C16+C26</f>
        <v>303715.33810992033</v>
      </c>
      <c r="D27" s="696">
        <f t="shared" ref="D27:R27" ca="1" si="3">D22+D16+D26</f>
        <v>28337.785714285714</v>
      </c>
      <c r="E27" s="696">
        <f t="shared" ca="1" si="3"/>
        <v>494137.62969566439</v>
      </c>
      <c r="F27" s="696">
        <f t="shared" si="3"/>
        <v>10012.678014010731</v>
      </c>
      <c r="G27" s="696">
        <f t="shared" ca="1" si="3"/>
        <v>31231.192941390873</v>
      </c>
      <c r="H27" s="696">
        <f t="shared" si="3"/>
        <v>46815.104741687472</v>
      </c>
      <c r="I27" s="696">
        <f t="shared" si="3"/>
        <v>10704.048219301167</v>
      </c>
      <c r="J27" s="696">
        <f t="shared" si="3"/>
        <v>0</v>
      </c>
      <c r="K27" s="696">
        <f t="shared" si="3"/>
        <v>12856.215686969166</v>
      </c>
      <c r="L27" s="696">
        <f t="shared" si="3"/>
        <v>0</v>
      </c>
      <c r="M27" s="696">
        <f t="shared" ca="1" si="3"/>
        <v>0</v>
      </c>
      <c r="N27" s="696">
        <f t="shared" si="3"/>
        <v>3402.1644494277143</v>
      </c>
      <c r="O27" s="696">
        <f t="shared" ca="1" si="3"/>
        <v>38313.143496229051</v>
      </c>
      <c r="P27" s="696">
        <f t="shared" si="3"/>
        <v>530.52091933815166</v>
      </c>
      <c r="Q27" s="696">
        <f t="shared" si="3"/>
        <v>1347.4321837601722</v>
      </c>
      <c r="R27" s="696">
        <f t="shared" ca="1" si="3"/>
        <v>981403.25417198485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3640.1838104289122</v>
      </c>
      <c r="D40" s="686">
        <f ca="1">tertiair!C20</f>
        <v>106.23520604448765</v>
      </c>
      <c r="E40" s="686">
        <f ca="1">tertiair!D20</f>
        <v>3571.8726555406324</v>
      </c>
      <c r="F40" s="686">
        <f>tertiair!E20</f>
        <v>59.671769924253738</v>
      </c>
      <c r="G40" s="686">
        <f ca="1">tertiair!F20</f>
        <v>465.8918616856763</v>
      </c>
      <c r="H40" s="686">
        <f>tertiair!G20</f>
        <v>0</v>
      </c>
      <c r="I40" s="686">
        <f>tertiair!H20</f>
        <v>0</v>
      </c>
      <c r="J40" s="686">
        <f>tertiair!I20</f>
        <v>0</v>
      </c>
      <c r="K40" s="686">
        <f>tertiair!J20</f>
        <v>8.3305459476955019E-3</v>
      </c>
      <c r="L40" s="686">
        <f>tertiair!K20</f>
        <v>0</v>
      </c>
      <c r="M40" s="686">
        <f ca="1">tertiair!L20</f>
        <v>0</v>
      </c>
      <c r="N40" s="686">
        <f>tertiair!M20</f>
        <v>0</v>
      </c>
      <c r="O40" s="686">
        <f ca="1">tertiair!N20</f>
        <v>0</v>
      </c>
      <c r="P40" s="686">
        <f>tertiair!O20</f>
        <v>0</v>
      </c>
      <c r="Q40" s="769">
        <f>tertiair!P20</f>
        <v>0</v>
      </c>
      <c r="R40" s="849">
        <f t="shared" ca="1" si="4"/>
        <v>7843.8636341699103</v>
      </c>
    </row>
    <row r="41" spans="1:18">
      <c r="A41" s="821" t="s">
        <v>224</v>
      </c>
      <c r="B41" s="828"/>
      <c r="C41" s="686">
        <f ca="1">huishoudens!B12</f>
        <v>6540.6855324249864</v>
      </c>
      <c r="D41" s="686">
        <f ca="1">huishoudens!C12</f>
        <v>0</v>
      </c>
      <c r="E41" s="686">
        <f>huishoudens!D12</f>
        <v>16532.376425217182</v>
      </c>
      <c r="F41" s="686">
        <f>huishoudens!E12</f>
        <v>1379.5336104417022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24452.595568083871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54578.684223103817</v>
      </c>
      <c r="D43" s="686">
        <f ca="1">industrie!C22</f>
        <v>0</v>
      </c>
      <c r="E43" s="686">
        <f>industrie!D22</f>
        <v>79267.402078190004</v>
      </c>
      <c r="F43" s="686">
        <f>industrie!E22</f>
        <v>800.99625494366978</v>
      </c>
      <c r="G43" s="686">
        <f>industrie!F22</f>
        <v>6453.8672414778948</v>
      </c>
      <c r="H43" s="686">
        <f>industrie!G22</f>
        <v>0</v>
      </c>
      <c r="I43" s="686">
        <f>industrie!H22</f>
        <v>0</v>
      </c>
      <c r="J43" s="686">
        <f>industrie!I22</f>
        <v>0</v>
      </c>
      <c r="K43" s="686">
        <f>industrie!J22</f>
        <v>4404.4300874330311</v>
      </c>
      <c r="L43" s="686">
        <f>industrie!K22</f>
        <v>0</v>
      </c>
      <c r="M43" s="686">
        <f>industrie!L22</f>
        <v>0</v>
      </c>
      <c r="N43" s="686">
        <f>industrie!M22</f>
        <v>0</v>
      </c>
      <c r="O43" s="686">
        <f>industrie!N22</f>
        <v>0</v>
      </c>
      <c r="P43" s="686">
        <f>industrie!O22</f>
        <v>0</v>
      </c>
      <c r="Q43" s="769">
        <f>industrie!P22</f>
        <v>0</v>
      </c>
      <c r="R43" s="848">
        <f t="shared" ca="1" si="4"/>
        <v>145505.37988514837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64759.553565957714</v>
      </c>
      <c r="D46" s="722">
        <f t="shared" ref="D46:Q46" ca="1" si="5">SUM(D39:D45)</f>
        <v>106.23520604448765</v>
      </c>
      <c r="E46" s="722">
        <f t="shared" ca="1" si="5"/>
        <v>99371.651158947818</v>
      </c>
      <c r="F46" s="722">
        <f t="shared" si="5"/>
        <v>2240.201635309626</v>
      </c>
      <c r="G46" s="722">
        <f t="shared" ca="1" si="5"/>
        <v>6919.7591031635711</v>
      </c>
      <c r="H46" s="722">
        <f t="shared" si="5"/>
        <v>0</v>
      </c>
      <c r="I46" s="722">
        <f t="shared" si="5"/>
        <v>0</v>
      </c>
      <c r="J46" s="722">
        <f t="shared" si="5"/>
        <v>0</v>
      </c>
      <c r="K46" s="722">
        <f t="shared" si="5"/>
        <v>4404.4384179789786</v>
      </c>
      <c r="L46" s="722">
        <f t="shared" si="5"/>
        <v>0</v>
      </c>
      <c r="M46" s="722">
        <f t="shared" ca="1" si="5"/>
        <v>0</v>
      </c>
      <c r="N46" s="722">
        <f t="shared" si="5"/>
        <v>0</v>
      </c>
      <c r="O46" s="722">
        <f t="shared" ca="1" si="5"/>
        <v>0</v>
      </c>
      <c r="P46" s="722">
        <f t="shared" si="5"/>
        <v>0</v>
      </c>
      <c r="Q46" s="722">
        <f t="shared" si="5"/>
        <v>0</v>
      </c>
      <c r="R46" s="722">
        <f ca="1">SUM(R39:R45)</f>
        <v>177801.83908740216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652.67305813269309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652.67305813269309</v>
      </c>
    </row>
    <row r="50" spans="1:18">
      <c r="A50" s="824" t="s">
        <v>306</v>
      </c>
      <c r="B50" s="834"/>
      <c r="C50" s="692">
        <f ca="1">transport!B18</f>
        <v>6.9815320529568847</v>
      </c>
      <c r="D50" s="692">
        <f>transport!C18</f>
        <v>0</v>
      </c>
      <c r="E50" s="692">
        <f>transport!D18</f>
        <v>23.163612934389</v>
      </c>
      <c r="F50" s="692">
        <f>transport!E18</f>
        <v>22.022667384299798</v>
      </c>
      <c r="G50" s="692">
        <f>transport!F18</f>
        <v>0</v>
      </c>
      <c r="H50" s="692">
        <f>transport!G18</f>
        <v>11846.959907897863</v>
      </c>
      <c r="I50" s="692">
        <f>transport!H18</f>
        <v>2665.3080066059906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14564.435726875499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6.9815320529568847</v>
      </c>
      <c r="D52" s="722">
        <f t="shared" ref="D52:Q52" ca="1" si="6">SUM(D48:D51)</f>
        <v>0</v>
      </c>
      <c r="E52" s="722">
        <f t="shared" si="6"/>
        <v>23.163612934389</v>
      </c>
      <c r="F52" s="722">
        <f t="shared" si="6"/>
        <v>22.022667384299798</v>
      </c>
      <c r="G52" s="722">
        <f t="shared" si="6"/>
        <v>0</v>
      </c>
      <c r="H52" s="722">
        <f t="shared" si="6"/>
        <v>12499.632966030556</v>
      </c>
      <c r="I52" s="722">
        <f t="shared" si="6"/>
        <v>2665.3080066059906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15217.108785008193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323.34949238866983</v>
      </c>
      <c r="D54" s="692">
        <f ca="1">+landbouw!C12</f>
        <v>6583.6992477370259</v>
      </c>
      <c r="E54" s="692">
        <f>+landbouw!D12</f>
        <v>0</v>
      </c>
      <c r="F54" s="692">
        <f>+landbouw!E12</f>
        <v>10.653606486510471</v>
      </c>
      <c r="G54" s="692">
        <f>+landbouw!F12</f>
        <v>1418.9694121877928</v>
      </c>
      <c r="H54" s="692">
        <f>+landbouw!G12</f>
        <v>0</v>
      </c>
      <c r="I54" s="692">
        <f>+landbouw!H12</f>
        <v>0</v>
      </c>
      <c r="J54" s="692">
        <f>+landbouw!I12</f>
        <v>0</v>
      </c>
      <c r="K54" s="692">
        <f>+landbouw!J12</f>
        <v>146.66193520810558</v>
      </c>
      <c r="L54" s="692">
        <f>+landbouw!K12</f>
        <v>0</v>
      </c>
      <c r="M54" s="692">
        <f>+landbouw!L12</f>
        <v>0</v>
      </c>
      <c r="N54" s="692">
        <f>+landbouw!M12</f>
        <v>0</v>
      </c>
      <c r="O54" s="692">
        <f>+landbouw!N12</f>
        <v>0</v>
      </c>
      <c r="P54" s="692">
        <f>+landbouw!O12</f>
        <v>0</v>
      </c>
      <c r="Q54" s="693">
        <f>+landbouw!P12</f>
        <v>0</v>
      </c>
      <c r="R54" s="721">
        <f ca="1">SUM(C54:Q54)</f>
        <v>8483.3336940081044</v>
      </c>
    </row>
    <row r="55" spans="1:18" ht="15" thickBot="1">
      <c r="A55" s="824" t="s">
        <v>724</v>
      </c>
      <c r="B55" s="834"/>
      <c r="C55" s="692">
        <f ca="1">C25*'EF ele_warmte'!B12</f>
        <v>216.74856411157973</v>
      </c>
      <c r="D55" s="692"/>
      <c r="E55" s="692">
        <f>E25*EF_CO2_aardgas</f>
        <v>420.98642664199997</v>
      </c>
      <c r="F55" s="692"/>
      <c r="G55" s="692"/>
      <c r="H55" s="692"/>
      <c r="I55" s="692"/>
      <c r="J55" s="692"/>
      <c r="K55" s="692"/>
      <c r="L55" s="692"/>
      <c r="M55" s="692"/>
      <c r="N55" s="692"/>
      <c r="O55" s="692"/>
      <c r="P55" s="692"/>
      <c r="Q55" s="693"/>
      <c r="R55" s="721">
        <f ca="1">SUM(C55:Q55)</f>
        <v>637.73499075357972</v>
      </c>
    </row>
    <row r="56" spans="1:18" ht="15.75" thickBot="1">
      <c r="A56" s="822" t="s">
        <v>725</v>
      </c>
      <c r="B56" s="835"/>
      <c r="C56" s="722">
        <f ca="1">SUM(C54:C55)</f>
        <v>540.09805650024953</v>
      </c>
      <c r="D56" s="722">
        <f t="shared" ref="D56:Q56" ca="1" si="7">SUM(D54:D55)</f>
        <v>6583.6992477370259</v>
      </c>
      <c r="E56" s="722">
        <f t="shared" si="7"/>
        <v>420.98642664199997</v>
      </c>
      <c r="F56" s="722">
        <f t="shared" si="7"/>
        <v>10.653606486510471</v>
      </c>
      <c r="G56" s="722">
        <f t="shared" si="7"/>
        <v>1418.9694121877928</v>
      </c>
      <c r="H56" s="722">
        <f t="shared" si="7"/>
        <v>0</v>
      </c>
      <c r="I56" s="722">
        <f t="shared" si="7"/>
        <v>0</v>
      </c>
      <c r="J56" s="722">
        <f t="shared" si="7"/>
        <v>0</v>
      </c>
      <c r="K56" s="722">
        <f t="shared" si="7"/>
        <v>146.66193520810558</v>
      </c>
      <c r="L56" s="722">
        <f t="shared" si="7"/>
        <v>0</v>
      </c>
      <c r="M56" s="722">
        <f t="shared" si="7"/>
        <v>0</v>
      </c>
      <c r="N56" s="722">
        <f t="shared" si="7"/>
        <v>0</v>
      </c>
      <c r="O56" s="722">
        <f t="shared" si="7"/>
        <v>0</v>
      </c>
      <c r="P56" s="722">
        <f t="shared" si="7"/>
        <v>0</v>
      </c>
      <c r="Q56" s="723">
        <f t="shared" si="7"/>
        <v>0</v>
      </c>
      <c r="R56" s="724">
        <f ca="1">SUM(R54:R55)</f>
        <v>9121.0686847616835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65306.633154510921</v>
      </c>
      <c r="D61" s="730">
        <f t="shared" ref="D61:Q61" ca="1" si="8">D46+D52+D56</f>
        <v>6689.9344537815132</v>
      </c>
      <c r="E61" s="730">
        <f t="shared" ca="1" si="8"/>
        <v>99815.801198524205</v>
      </c>
      <c r="F61" s="730">
        <f t="shared" si="8"/>
        <v>2272.8779091804363</v>
      </c>
      <c r="G61" s="730">
        <f t="shared" ca="1" si="8"/>
        <v>8338.728515351364</v>
      </c>
      <c r="H61" s="730">
        <f t="shared" si="8"/>
        <v>12499.632966030556</v>
      </c>
      <c r="I61" s="730">
        <f t="shared" si="8"/>
        <v>2665.3080066059906</v>
      </c>
      <c r="J61" s="730">
        <f t="shared" si="8"/>
        <v>0</v>
      </c>
      <c r="K61" s="730">
        <f t="shared" si="8"/>
        <v>4551.1003531870838</v>
      </c>
      <c r="L61" s="730">
        <f t="shared" si="8"/>
        <v>0</v>
      </c>
      <c r="M61" s="730">
        <f t="shared" ca="1" si="8"/>
        <v>0</v>
      </c>
      <c r="N61" s="730">
        <f t="shared" si="8"/>
        <v>0</v>
      </c>
      <c r="O61" s="730">
        <f t="shared" ca="1" si="8"/>
        <v>0</v>
      </c>
      <c r="P61" s="730">
        <f t="shared" si="8"/>
        <v>0</v>
      </c>
      <c r="Q61" s="730">
        <f t="shared" si="8"/>
        <v>0</v>
      </c>
      <c r="R61" s="730">
        <f ca="1">R46+R52+R56</f>
        <v>202140.01655717203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0.21502579869994981</v>
      </c>
      <c r="D63" s="776">
        <f t="shared" ca="1" si="9"/>
        <v>0.23607823565441696</v>
      </c>
      <c r="E63" s="975">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9563.5983503553543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130.94999999999999</v>
      </c>
      <c r="C76" s="743">
        <f>'lokale energieproductie'!B8*IFERROR(SUM(D76:H76)/SUM(D76:O76),0)</f>
        <v>19705.5</v>
      </c>
      <c r="D76" s="958">
        <f>'lokale energieproductie'!C8</f>
        <v>23182.941176470591</v>
      </c>
      <c r="E76" s="959">
        <f>'lokale energieproductie'!D8</f>
        <v>0</v>
      </c>
      <c r="F76" s="959">
        <f>'lokale energieproductie'!E8</f>
        <v>0</v>
      </c>
      <c r="G76" s="959">
        <f>'lokale energieproductie'!F8</f>
        <v>0</v>
      </c>
      <c r="H76" s="959">
        <f>'lokale energieproductie'!G8</f>
        <v>0</v>
      </c>
      <c r="I76" s="959">
        <f>'lokale energieproductie'!I8</f>
        <v>0</v>
      </c>
      <c r="J76" s="959">
        <f>'lokale energieproductie'!J8</f>
        <v>154.05882352941177</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4682.9541176470593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9694.5483503553551</v>
      </c>
      <c r="C78" s="748">
        <f>SUM(C72:C77)</f>
        <v>19705.5</v>
      </c>
      <c r="D78" s="749">
        <f t="shared" ref="D78:H78" si="10">SUM(D76:D77)</f>
        <v>23182.941176470591</v>
      </c>
      <c r="E78" s="749">
        <f t="shared" si="10"/>
        <v>0</v>
      </c>
      <c r="F78" s="749">
        <f t="shared" si="10"/>
        <v>0</v>
      </c>
      <c r="G78" s="749">
        <f t="shared" si="10"/>
        <v>0</v>
      </c>
      <c r="H78" s="749">
        <f t="shared" si="10"/>
        <v>0</v>
      </c>
      <c r="I78" s="749">
        <f>SUM(I76:I77)</f>
        <v>0</v>
      </c>
      <c r="J78" s="749">
        <f>SUM(J76:J77)</f>
        <v>154.05882352941177</v>
      </c>
      <c r="K78" s="749">
        <f t="shared" ref="K78:L78" si="11">SUM(K76:K77)</f>
        <v>0</v>
      </c>
      <c r="L78" s="749">
        <f t="shared" si="11"/>
        <v>0</v>
      </c>
      <c r="M78" s="749">
        <f>SUM(M76:M77)</f>
        <v>0</v>
      </c>
      <c r="N78" s="749">
        <f>SUM(N76:N77)</f>
        <v>0</v>
      </c>
      <c r="O78" s="859">
        <f>SUM(O76:O77)</f>
        <v>0</v>
      </c>
      <c r="P78" s="750">
        <v>0</v>
      </c>
      <c r="Q78" s="750">
        <f>SUM(Q76:Q77)</f>
        <v>4682.9541176470593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187.07142857142856</v>
      </c>
      <c r="C87" s="761">
        <f>'lokale energieproductie'!B17*IFERROR(SUM(D87:H87)/SUM(D87:O87),0)</f>
        <v>28150.71428571429</v>
      </c>
      <c r="D87" s="772">
        <f>'lokale energieproductie'!C17</f>
        <v>33118.487394957985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220.08403361344537</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6689.9344537815132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187.07142857142856</v>
      </c>
      <c r="C90" s="748">
        <f>SUM(C87:C89)</f>
        <v>28150.71428571429</v>
      </c>
      <c r="D90" s="748">
        <f t="shared" ref="D90:H90" si="12">SUM(D87:D89)</f>
        <v>33118.487394957985</v>
      </c>
      <c r="E90" s="748">
        <f t="shared" si="12"/>
        <v>0</v>
      </c>
      <c r="F90" s="748">
        <f t="shared" si="12"/>
        <v>0</v>
      </c>
      <c r="G90" s="748">
        <f t="shared" si="12"/>
        <v>0</v>
      </c>
      <c r="H90" s="748">
        <f t="shared" si="12"/>
        <v>0</v>
      </c>
      <c r="I90" s="748">
        <f>SUM(I87:I89)</f>
        <v>0</v>
      </c>
      <c r="J90" s="748">
        <f>SUM(J87:J89)</f>
        <v>220.08403361344537</v>
      </c>
      <c r="K90" s="748">
        <f t="shared" ref="K90:L90" si="13">SUM(K87:K89)</f>
        <v>0</v>
      </c>
      <c r="L90" s="748">
        <f t="shared" si="13"/>
        <v>0</v>
      </c>
      <c r="M90" s="748">
        <f>SUM(M87:M89)</f>
        <v>0</v>
      </c>
      <c r="N90" s="748">
        <f>SUM(N87:N89)</f>
        <v>0</v>
      </c>
      <c r="O90" s="748">
        <f>SUM(O87:O89)</f>
        <v>0</v>
      </c>
      <c r="P90" s="748">
        <v>0</v>
      </c>
      <c r="Q90" s="748">
        <f>SUM(Q87:Q89)</f>
        <v>6689.9344537815132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9"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9563.5983503553543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N32</f>
        <v>19836.45</v>
      </c>
      <c r="C8" s="548">
        <f>B51</f>
        <v>23182.941176470591</v>
      </c>
      <c r="D8" s="549"/>
      <c r="E8" s="549">
        <f>E51</f>
        <v>0</v>
      </c>
      <c r="F8" s="550"/>
      <c r="G8" s="551"/>
      <c r="H8" s="549">
        <f>I51</f>
        <v>0</v>
      </c>
      <c r="I8" s="549">
        <f>G51+F51</f>
        <v>0</v>
      </c>
      <c r="J8" s="549">
        <f>H51+D51+C51</f>
        <v>154.05882352941177</v>
      </c>
      <c r="K8" s="549"/>
      <c r="L8" s="549"/>
      <c r="M8" s="549"/>
      <c r="N8" s="552"/>
      <c r="O8" s="553">
        <f>C8*$C$12+D8*$D$12+E8*$E$12+F8*$F$12+G8*$G$12+H8*$H$12+I8*$I$12+J8*$J$12</f>
        <v>4682.9541176470593</v>
      </c>
      <c r="P8" s="1244"/>
      <c r="Q8" s="1245"/>
      <c r="S8" s="543"/>
      <c r="T8" s="1232"/>
      <c r="U8" s="1232"/>
    </row>
    <row r="9" spans="1:21" s="534" customFormat="1" ht="17.45" customHeight="1" thickBot="1">
      <c r="A9" s="554" t="s">
        <v>247</v>
      </c>
      <c r="B9" s="555">
        <f>N39+'Eigen informatie GS &amp; warmtenet'!B12</f>
        <v>0</v>
      </c>
      <c r="C9" s="556">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29400.048350355355</v>
      </c>
      <c r="C10" s="563">
        <f t="shared" ref="C10:L10" si="0">SUM(C8:C9)</f>
        <v>23182.941176470591</v>
      </c>
      <c r="D10" s="563">
        <f t="shared" si="0"/>
        <v>0</v>
      </c>
      <c r="E10" s="563">
        <f t="shared" si="0"/>
        <v>0</v>
      </c>
      <c r="F10" s="563">
        <f t="shared" si="0"/>
        <v>0</v>
      </c>
      <c r="G10" s="563">
        <f t="shared" si="0"/>
        <v>0</v>
      </c>
      <c r="H10" s="563">
        <f t="shared" si="0"/>
        <v>0</v>
      </c>
      <c r="I10" s="563">
        <f t="shared" si="0"/>
        <v>0</v>
      </c>
      <c r="J10" s="563">
        <f t="shared" si="0"/>
        <v>154.05882352941177</v>
      </c>
      <c r="K10" s="563">
        <f t="shared" si="0"/>
        <v>0</v>
      </c>
      <c r="L10" s="563">
        <f t="shared" si="0"/>
        <v>0</v>
      </c>
      <c r="M10" s="971"/>
      <c r="N10" s="971"/>
      <c r="O10" s="564">
        <f>SUM(O4:O9)</f>
        <v>4682.9541176470593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O32</f>
        <v>28337.785714285714</v>
      </c>
      <c r="C17" s="579">
        <f>B52</f>
        <v>33118.487394957985</v>
      </c>
      <c r="D17" s="580"/>
      <c r="E17" s="580">
        <f>E52</f>
        <v>0</v>
      </c>
      <c r="F17" s="581"/>
      <c r="G17" s="582"/>
      <c r="H17" s="579">
        <f>I52</f>
        <v>0</v>
      </c>
      <c r="I17" s="580">
        <f>G52+F52</f>
        <v>0</v>
      </c>
      <c r="J17" s="580">
        <f>H52+D52+C52</f>
        <v>220.08403361344537</v>
      </c>
      <c r="K17" s="580"/>
      <c r="L17" s="580"/>
      <c r="M17" s="580"/>
      <c r="N17" s="972"/>
      <c r="O17" s="583">
        <f>C17*$C$22+E17*$E$22+H17*$H$22+I17*$I$22+J17*$J$22+D17*$D$22+F17*$F$22+G17*$G$22+K17*$K$22+L17*$L$22</f>
        <v>6689.9344537815132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28337.785714285714</v>
      </c>
      <c r="C20" s="562">
        <f>SUM(C17:C19)</f>
        <v>33118.487394957985</v>
      </c>
      <c r="D20" s="562">
        <f t="shared" ref="D20:L20" si="1">SUM(D17:D19)</f>
        <v>0</v>
      </c>
      <c r="E20" s="562">
        <f t="shared" si="1"/>
        <v>0</v>
      </c>
      <c r="F20" s="562">
        <f t="shared" si="1"/>
        <v>0</v>
      </c>
      <c r="G20" s="562">
        <f t="shared" si="1"/>
        <v>0</v>
      </c>
      <c r="H20" s="562">
        <f t="shared" si="1"/>
        <v>0</v>
      </c>
      <c r="I20" s="562">
        <f t="shared" si="1"/>
        <v>0</v>
      </c>
      <c r="J20" s="562">
        <f t="shared" si="1"/>
        <v>220.08403361344537</v>
      </c>
      <c r="K20" s="562">
        <f t="shared" si="1"/>
        <v>0</v>
      </c>
      <c r="L20" s="562">
        <f t="shared" si="1"/>
        <v>0</v>
      </c>
      <c r="M20" s="562"/>
      <c r="N20" s="562"/>
      <c r="O20" s="588">
        <f>SUM(O17:O19)</f>
        <v>6689.9344537815132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13004</v>
      </c>
      <c r="C28" s="791">
        <v>2340</v>
      </c>
      <c r="D28" s="640" t="s">
        <v>888</v>
      </c>
      <c r="E28" s="639" t="s">
        <v>889</v>
      </c>
      <c r="F28" s="639" t="s">
        <v>890</v>
      </c>
      <c r="G28" s="639" t="s">
        <v>891</v>
      </c>
      <c r="H28" s="639" t="s">
        <v>892</v>
      </c>
      <c r="I28" s="639" t="s">
        <v>889</v>
      </c>
      <c r="J28" s="790">
        <v>40149</v>
      </c>
      <c r="K28" s="790">
        <v>40149</v>
      </c>
      <c r="L28" s="639" t="s">
        <v>893</v>
      </c>
      <c r="M28" s="639">
        <v>4309</v>
      </c>
      <c r="N28" s="639">
        <v>19390.5</v>
      </c>
      <c r="O28" s="639">
        <v>27700.714285714286</v>
      </c>
      <c r="P28" s="639">
        <v>55401.428571428572</v>
      </c>
      <c r="Q28" s="639">
        <v>0</v>
      </c>
      <c r="R28" s="639">
        <v>0</v>
      </c>
      <c r="S28" s="639">
        <v>0</v>
      </c>
      <c r="T28" s="639">
        <v>0</v>
      </c>
      <c r="U28" s="639">
        <v>0</v>
      </c>
      <c r="V28" s="639">
        <v>0</v>
      </c>
      <c r="W28" s="639">
        <v>0</v>
      </c>
      <c r="X28" s="639">
        <v>10</v>
      </c>
      <c r="Y28" s="639" t="s">
        <v>111</v>
      </c>
      <c r="Z28" s="641" t="s">
        <v>111</v>
      </c>
    </row>
    <row r="29" spans="1:26" s="593" customFormat="1" ht="25.5">
      <c r="A29" s="592"/>
      <c r="B29" s="791">
        <v>13004</v>
      </c>
      <c r="C29" s="791">
        <v>2340</v>
      </c>
      <c r="D29" s="640" t="s">
        <v>894</v>
      </c>
      <c r="E29" s="639" t="s">
        <v>895</v>
      </c>
      <c r="F29" s="639" t="s">
        <v>896</v>
      </c>
      <c r="G29" s="639" t="s">
        <v>891</v>
      </c>
      <c r="H29" s="639" t="s">
        <v>892</v>
      </c>
      <c r="I29" s="639" t="s">
        <v>897</v>
      </c>
      <c r="J29" s="790">
        <v>41165</v>
      </c>
      <c r="K29" s="790">
        <v>41275</v>
      </c>
      <c r="L29" s="639" t="s">
        <v>893</v>
      </c>
      <c r="M29" s="639">
        <v>9.6999999999999993</v>
      </c>
      <c r="N29" s="639">
        <v>43.649999999999991</v>
      </c>
      <c r="O29" s="639">
        <v>62.357142857142847</v>
      </c>
      <c r="P29" s="639">
        <v>0</v>
      </c>
      <c r="Q29" s="639">
        <v>124.71428571428569</v>
      </c>
      <c r="R29" s="639">
        <v>0</v>
      </c>
      <c r="S29" s="639">
        <v>0</v>
      </c>
      <c r="T29" s="639">
        <v>0</v>
      </c>
      <c r="U29" s="639">
        <v>0</v>
      </c>
      <c r="V29" s="639">
        <v>0</v>
      </c>
      <c r="W29" s="639">
        <v>0</v>
      </c>
      <c r="X29" s="639">
        <v>10</v>
      </c>
      <c r="Y29" s="639" t="s">
        <v>111</v>
      </c>
      <c r="Z29" s="641" t="s">
        <v>111</v>
      </c>
    </row>
    <row r="30" spans="1:26" s="593" customFormat="1" ht="25.5">
      <c r="A30" s="592"/>
      <c r="B30" s="791">
        <v>13004</v>
      </c>
      <c r="C30" s="791">
        <v>2340</v>
      </c>
      <c r="D30" s="640" t="s">
        <v>894</v>
      </c>
      <c r="E30" s="639" t="s">
        <v>895</v>
      </c>
      <c r="F30" s="639" t="s">
        <v>898</v>
      </c>
      <c r="G30" s="639" t="s">
        <v>891</v>
      </c>
      <c r="H30" s="639" t="s">
        <v>892</v>
      </c>
      <c r="I30" s="639" t="s">
        <v>899</v>
      </c>
      <c r="J30" s="790">
        <v>41236</v>
      </c>
      <c r="K30" s="790">
        <v>41275</v>
      </c>
      <c r="L30" s="639" t="s">
        <v>893</v>
      </c>
      <c r="M30" s="639">
        <v>19.399999999999999</v>
      </c>
      <c r="N30" s="639">
        <v>87.299999999999983</v>
      </c>
      <c r="O30" s="639">
        <v>124.71428571428569</v>
      </c>
      <c r="P30" s="639">
        <v>0</v>
      </c>
      <c r="Q30" s="639">
        <v>249.42857142857139</v>
      </c>
      <c r="R30" s="639">
        <v>0</v>
      </c>
      <c r="S30" s="639">
        <v>0</v>
      </c>
      <c r="T30" s="639">
        <v>0</v>
      </c>
      <c r="U30" s="639">
        <v>0</v>
      </c>
      <c r="V30" s="639">
        <v>0</v>
      </c>
      <c r="W30" s="639">
        <v>0</v>
      </c>
      <c r="X30" s="639">
        <v>10</v>
      </c>
      <c r="Y30" s="639" t="s">
        <v>111</v>
      </c>
      <c r="Z30" s="641" t="s">
        <v>111</v>
      </c>
    </row>
    <row r="31" spans="1:26" s="593" customFormat="1" ht="63.75">
      <c r="A31" s="592"/>
      <c r="B31" s="791">
        <v>13004</v>
      </c>
      <c r="C31" s="791">
        <v>2340</v>
      </c>
      <c r="D31" s="640" t="s">
        <v>900</v>
      </c>
      <c r="E31" s="639" t="s">
        <v>901</v>
      </c>
      <c r="F31" s="639" t="s">
        <v>902</v>
      </c>
      <c r="G31" s="639" t="s">
        <v>891</v>
      </c>
      <c r="H31" s="639" t="s">
        <v>892</v>
      </c>
      <c r="I31" s="639" t="s">
        <v>901</v>
      </c>
      <c r="J31" s="790">
        <v>41397</v>
      </c>
      <c r="K31" s="790">
        <v>41375</v>
      </c>
      <c r="L31" s="639" t="s">
        <v>893</v>
      </c>
      <c r="M31" s="639">
        <v>70</v>
      </c>
      <c r="N31" s="639">
        <v>315.00000000000006</v>
      </c>
      <c r="O31" s="639">
        <v>450.00000000000011</v>
      </c>
      <c r="P31" s="639">
        <v>900.00000000000023</v>
      </c>
      <c r="Q31" s="639">
        <v>0</v>
      </c>
      <c r="R31" s="639">
        <v>0</v>
      </c>
      <c r="S31" s="639">
        <v>0</v>
      </c>
      <c r="T31" s="639">
        <v>0</v>
      </c>
      <c r="U31" s="639">
        <v>0</v>
      </c>
      <c r="V31" s="639">
        <v>0</v>
      </c>
      <c r="W31" s="639">
        <v>0</v>
      </c>
      <c r="X31" s="639">
        <v>1600</v>
      </c>
      <c r="Y31" s="639" t="s">
        <v>49</v>
      </c>
      <c r="Z31" s="641" t="s">
        <v>155</v>
      </c>
    </row>
    <row r="32" spans="1:26" s="573" customFormat="1">
      <c r="A32" s="595" t="s">
        <v>279</v>
      </c>
      <c r="B32" s="596"/>
      <c r="C32" s="596"/>
      <c r="D32" s="596"/>
      <c r="E32" s="596"/>
      <c r="F32" s="596"/>
      <c r="G32" s="596"/>
      <c r="H32" s="596"/>
      <c r="I32" s="596"/>
      <c r="J32" s="596"/>
      <c r="K32" s="596"/>
      <c r="L32" s="597"/>
      <c r="M32" s="597">
        <f>SUM(M28:M31)</f>
        <v>4408.0999999999995</v>
      </c>
      <c r="N32" s="597">
        <f>SUM(N28:N31)</f>
        <v>19836.45</v>
      </c>
      <c r="O32" s="597">
        <f>SUM(O28:O31)</f>
        <v>28337.785714285714</v>
      </c>
      <c r="P32" s="597">
        <f>SUM(P28:P31)</f>
        <v>56301.428571428572</v>
      </c>
      <c r="Q32" s="597">
        <f>SUM(Q28:Q31)</f>
        <v>374.14285714285711</v>
      </c>
      <c r="R32" s="597">
        <f>SUM(R28:R31)</f>
        <v>0</v>
      </c>
      <c r="S32" s="597">
        <f>SUM(S28:S31)</f>
        <v>0</v>
      </c>
      <c r="T32" s="597">
        <f>SUM(T28:T31)</f>
        <v>0</v>
      </c>
      <c r="U32" s="597">
        <f>SUM(U28:U31)</f>
        <v>0</v>
      </c>
      <c r="V32" s="597">
        <f>SUM(V28:V31)</f>
        <v>0</v>
      </c>
      <c r="W32" s="597">
        <f>SUM(W28:W31)</f>
        <v>0</v>
      </c>
      <c r="X32" s="598"/>
      <c r="Y32" s="598"/>
      <c r="Z32" s="599"/>
    </row>
    <row r="33" spans="1:27" s="573"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3" customFormat="1">
      <c r="A34" s="595" t="s">
        <v>287</v>
      </c>
      <c r="B34" s="596"/>
      <c r="C34" s="596"/>
      <c r="D34" s="596"/>
      <c r="E34" s="596"/>
      <c r="F34" s="596"/>
      <c r="G34" s="596"/>
      <c r="H34" s="596"/>
      <c r="I34" s="596"/>
      <c r="J34" s="596"/>
      <c r="K34" s="596"/>
      <c r="L34" s="597"/>
      <c r="M34" s="597">
        <f ca="1">SUMIF($Z$28:AC31,"tertiair",M28:M31)</f>
        <v>70</v>
      </c>
      <c r="N34" s="597">
        <f ca="1">SUMIF($Z$28:AD31,"tertiair",N28:N31)</f>
        <v>315.00000000000006</v>
      </c>
      <c r="O34" s="597">
        <f ca="1">SUMIF($Z$28:AE31,"tertiair",O28:O31)</f>
        <v>450.00000000000011</v>
      </c>
      <c r="P34" s="597">
        <f ca="1">SUMIF($Z$28:AF31,"tertiair",P28:P31)</f>
        <v>900.00000000000023</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3" customFormat="1" ht="15.75" thickBot="1">
      <c r="A35" s="600" t="s">
        <v>288</v>
      </c>
      <c r="B35" s="601"/>
      <c r="C35" s="601"/>
      <c r="D35" s="601"/>
      <c r="E35" s="601"/>
      <c r="F35" s="601"/>
      <c r="G35" s="601"/>
      <c r="H35" s="601"/>
      <c r="I35" s="601"/>
      <c r="J35" s="601"/>
      <c r="K35" s="601"/>
      <c r="L35" s="602"/>
      <c r="M35" s="602">
        <f>SUMIF($Z$28:$Z$31,"landbouw",M28:M31)</f>
        <v>4338.0999999999995</v>
      </c>
      <c r="N35" s="602">
        <f>SUMIF($Z$28:$Z$31,"landbouw",N28:N31)</f>
        <v>19521.45</v>
      </c>
      <c r="O35" s="602">
        <f>SUMIF($Z$28:$Z$31,"landbouw",O28:O31)</f>
        <v>27887.785714285714</v>
      </c>
      <c r="P35" s="602">
        <f>SUMIF($Z$28:$Z$31,"landbouw",P28:P31)</f>
        <v>55401.428571428572</v>
      </c>
      <c r="Q35" s="602">
        <f>SUMIF($Z$28:$Z$31,"landbouw",Q28:Q31)</f>
        <v>374.14285714285711</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34" customFormat="1" ht="15.75" thickBot="1">
      <c r="A36" s="605"/>
      <c r="B36" s="606"/>
      <c r="C36" s="606"/>
      <c r="D36" s="606"/>
      <c r="E36" s="606"/>
      <c r="F36" s="606"/>
      <c r="G36" s="606"/>
      <c r="H36" s="606"/>
      <c r="I36" s="606"/>
      <c r="J36" s="606"/>
      <c r="K36" s="606"/>
      <c r="L36" s="589"/>
      <c r="M36" s="589"/>
      <c r="N36" s="589"/>
      <c r="O36" s="590"/>
      <c r="P36" s="590"/>
    </row>
    <row r="37" spans="1:27" s="53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524</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91"/>
      <c r="C38" s="791"/>
      <c r="D38" s="642"/>
      <c r="E38" s="642"/>
      <c r="F38" s="642"/>
      <c r="G38" s="642"/>
      <c r="H38" s="642"/>
      <c r="I38" s="642"/>
      <c r="J38" s="790"/>
      <c r="K38" s="790"/>
      <c r="L38" s="642"/>
      <c r="M38" s="642"/>
      <c r="N38" s="642"/>
      <c r="O38" s="642"/>
      <c r="P38" s="642"/>
      <c r="Q38" s="642"/>
      <c r="R38" s="642"/>
      <c r="S38" s="642"/>
      <c r="T38" s="642"/>
      <c r="U38" s="642"/>
      <c r="V38" s="642"/>
      <c r="W38" s="642"/>
      <c r="X38" s="642"/>
      <c r="Y38" s="642"/>
      <c r="Z38" s="643"/>
    </row>
    <row r="39" spans="1:27" s="573"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3"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3"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3"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0.58823529411764708</v>
      </c>
      <c r="C48" s="622">
        <f>IF(ISERROR(N32/(O32+N32)),0,N32/(N32+O32))</f>
        <v>0.41176470588235298</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524</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23182.941176470591</v>
      </c>
      <c r="C51" s="631">
        <f t="shared" si="2"/>
        <v>154.05882352941177</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33118.487394957985</v>
      </c>
      <c r="C52" s="634">
        <f t="shared" si="3"/>
        <v>220.08403361344537</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69"/>
      <c r="K53" s="569"/>
      <c r="L53" s="569"/>
      <c r="M53" s="569"/>
      <c r="N53" s="569"/>
    </row>
    <row r="54" spans="1:16">
      <c r="J54" s="569"/>
      <c r="K54" s="569"/>
      <c r="L54" s="569"/>
      <c r="M54" s="569"/>
      <c r="N54"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30418.143180818763</v>
      </c>
      <c r="C4" s="452">
        <f>huishoudens!C8</f>
        <v>0</v>
      </c>
      <c r="D4" s="452">
        <f>huishoudens!D8</f>
        <v>81843.447649590002</v>
      </c>
      <c r="E4" s="452">
        <f>huishoudens!E8</f>
        <v>6077.2405746330487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28813.944740501553</v>
      </c>
      <c r="O4" s="452">
        <f>huishoudens!O8</f>
        <v>515.82913704062821</v>
      </c>
      <c r="P4" s="453">
        <f>huishoudens!P8</f>
        <v>979.65821561470705</v>
      </c>
      <c r="Q4" s="454">
        <f>SUM(B4:P4)</f>
        <v>148648.26349819871</v>
      </c>
    </row>
    <row r="5" spans="1:17">
      <c r="A5" s="451" t="s">
        <v>155</v>
      </c>
      <c r="B5" s="452">
        <f ca="1">tertiair!B16</f>
        <v>16086.959106</v>
      </c>
      <c r="C5" s="452">
        <f ca="1">tertiair!C16</f>
        <v>450.00000000000011</v>
      </c>
      <c r="D5" s="452">
        <f ca="1">tertiair!D16</f>
        <v>17682.537898716</v>
      </c>
      <c r="E5" s="452">
        <f>tertiair!E16</f>
        <v>262.87123314649222</v>
      </c>
      <c r="F5" s="452">
        <f ca="1">tertiair!F16</f>
        <v>1744.9133396467275</v>
      </c>
      <c r="G5" s="452">
        <f>tertiair!G16</f>
        <v>0</v>
      </c>
      <c r="H5" s="452">
        <f>tertiair!H16</f>
        <v>0</v>
      </c>
      <c r="I5" s="452">
        <f>tertiair!I16</f>
        <v>0</v>
      </c>
      <c r="J5" s="452">
        <f>tertiair!J16</f>
        <v>2.3532615671456224E-2</v>
      </c>
      <c r="K5" s="452">
        <f>tertiair!K16</f>
        <v>0</v>
      </c>
      <c r="L5" s="452">
        <f ca="1">tertiair!L16</f>
        <v>0</v>
      </c>
      <c r="M5" s="452">
        <f>tertiair!M16</f>
        <v>0</v>
      </c>
      <c r="N5" s="452">
        <f ca="1">tertiair!N16</f>
        <v>927.36449881790827</v>
      </c>
      <c r="O5" s="452">
        <f>tertiair!O16</f>
        <v>14.691782297523464</v>
      </c>
      <c r="P5" s="453">
        <f>tertiair!P16</f>
        <v>367.77396814546512</v>
      </c>
      <c r="Q5" s="451">
        <f t="shared" ref="Q5:Q14" ca="1" si="0">SUM(B5:P5)</f>
        <v>37537.135359385786</v>
      </c>
    </row>
    <row r="6" spans="1:17">
      <c r="A6" s="451" t="s">
        <v>193</v>
      </c>
      <c r="B6" s="452">
        <f>'openbare verlichting'!B8</f>
        <v>842.09699999999998</v>
      </c>
      <c r="C6" s="452"/>
      <c r="D6" s="452"/>
      <c r="E6" s="452"/>
      <c r="F6" s="452"/>
      <c r="G6" s="452"/>
      <c r="H6" s="452"/>
      <c r="I6" s="452"/>
      <c r="J6" s="452"/>
      <c r="K6" s="452"/>
      <c r="L6" s="452"/>
      <c r="M6" s="452"/>
      <c r="N6" s="452"/>
      <c r="O6" s="452"/>
      <c r="P6" s="453"/>
      <c r="Q6" s="451">
        <f t="shared" si="0"/>
        <v>842.09699999999998</v>
      </c>
    </row>
    <row r="7" spans="1:17">
      <c r="A7" s="451" t="s">
        <v>111</v>
      </c>
      <c r="B7" s="452">
        <f>landbouw!B8</f>
        <v>1503.7706839999998</v>
      </c>
      <c r="C7" s="452">
        <f>landbouw!C8</f>
        <v>27887.785714285714</v>
      </c>
      <c r="D7" s="452">
        <f>landbouw!D8</f>
        <v>0</v>
      </c>
      <c r="E7" s="452">
        <f>landbouw!E8</f>
        <v>46.932187165244365</v>
      </c>
      <c r="F7" s="452">
        <f>landbouw!F8</f>
        <v>5314.4921804786245</v>
      </c>
      <c r="G7" s="452">
        <f>landbouw!G8</f>
        <v>0</v>
      </c>
      <c r="H7" s="452">
        <f>landbouw!H8</f>
        <v>0</v>
      </c>
      <c r="I7" s="452">
        <f>landbouw!I8</f>
        <v>0</v>
      </c>
      <c r="J7" s="452">
        <f>landbouw!J8</f>
        <v>414.29925200029822</v>
      </c>
      <c r="K7" s="452">
        <f>landbouw!K8</f>
        <v>0</v>
      </c>
      <c r="L7" s="452">
        <f>landbouw!L8</f>
        <v>0</v>
      </c>
      <c r="M7" s="452">
        <f>landbouw!M8</f>
        <v>0</v>
      </c>
      <c r="N7" s="452">
        <f>landbouw!N8</f>
        <v>0</v>
      </c>
      <c r="O7" s="452">
        <f>landbouw!O8</f>
        <v>0</v>
      </c>
      <c r="P7" s="453">
        <f>landbouw!P8</f>
        <v>0</v>
      </c>
      <c r="Q7" s="451">
        <f t="shared" si="0"/>
        <v>35167.280017929872</v>
      </c>
    </row>
    <row r="8" spans="1:17">
      <c r="A8" s="451" t="s">
        <v>625</v>
      </c>
      <c r="B8" s="452">
        <f>industrie!B18</f>
        <v>253823.887892</v>
      </c>
      <c r="C8" s="452">
        <f>industrie!C18</f>
        <v>0</v>
      </c>
      <c r="D8" s="452">
        <f>industrie!D18</f>
        <v>392412.88157519803</v>
      </c>
      <c r="E8" s="452">
        <f>industrie!E18</f>
        <v>3528.6178631879725</v>
      </c>
      <c r="F8" s="452">
        <f>industrie!F18</f>
        <v>24171.787421265522</v>
      </c>
      <c r="G8" s="452">
        <f>industrie!G18</f>
        <v>0</v>
      </c>
      <c r="H8" s="452">
        <f>industrie!H18</f>
        <v>0</v>
      </c>
      <c r="I8" s="452">
        <f>industrie!I18</f>
        <v>0</v>
      </c>
      <c r="J8" s="452">
        <f>industrie!J18</f>
        <v>12441.892902353196</v>
      </c>
      <c r="K8" s="452">
        <f>industrie!K18</f>
        <v>0</v>
      </c>
      <c r="L8" s="452">
        <f>industrie!L18</f>
        <v>0</v>
      </c>
      <c r="M8" s="452">
        <f>industrie!M18</f>
        <v>0</v>
      </c>
      <c r="N8" s="452">
        <f>industrie!N18</f>
        <v>8571.834256909593</v>
      </c>
      <c r="O8" s="452">
        <f>industrie!O18</f>
        <v>0</v>
      </c>
      <c r="P8" s="453">
        <f>industrie!P18</f>
        <v>0</v>
      </c>
      <c r="Q8" s="451">
        <f t="shared" si="0"/>
        <v>694950.90191091422</v>
      </c>
    </row>
    <row r="9" spans="1:17" s="457" customFormat="1">
      <c r="A9" s="455" t="s">
        <v>551</v>
      </c>
      <c r="B9" s="456">
        <f>transport!B14</f>
        <v>32.468346101571832</v>
      </c>
      <c r="C9" s="456">
        <f>transport!C14</f>
        <v>0</v>
      </c>
      <c r="D9" s="456">
        <f>transport!D14</f>
        <v>114.67135116034157</v>
      </c>
      <c r="E9" s="456">
        <f>transport!E14</f>
        <v>97.016155877972679</v>
      </c>
      <c r="F9" s="456">
        <f>transport!F14</f>
        <v>0</v>
      </c>
      <c r="G9" s="456">
        <f>transport!G14</f>
        <v>44370.63635916802</v>
      </c>
      <c r="H9" s="456">
        <f>transport!H14</f>
        <v>10704.048219301167</v>
      </c>
      <c r="I9" s="456">
        <f>transport!I14</f>
        <v>0</v>
      </c>
      <c r="J9" s="456">
        <f>transport!J14</f>
        <v>0</v>
      </c>
      <c r="K9" s="456">
        <f>transport!K14</f>
        <v>0</v>
      </c>
      <c r="L9" s="456">
        <f>transport!L14</f>
        <v>0</v>
      </c>
      <c r="M9" s="456">
        <f>transport!M14</f>
        <v>3266.3220016675527</v>
      </c>
      <c r="N9" s="456">
        <f>transport!N14</f>
        <v>0</v>
      </c>
      <c r="O9" s="456">
        <f>transport!O14</f>
        <v>0</v>
      </c>
      <c r="P9" s="456">
        <f>transport!P14</f>
        <v>0</v>
      </c>
      <c r="Q9" s="455">
        <f>SUM(B9:P9)</f>
        <v>58585.16243327663</v>
      </c>
    </row>
    <row r="10" spans="1:17">
      <c r="A10" s="451" t="s">
        <v>541</v>
      </c>
      <c r="B10" s="452">
        <f>transport!B54</f>
        <v>0</v>
      </c>
      <c r="C10" s="452">
        <f>transport!C54</f>
        <v>0</v>
      </c>
      <c r="D10" s="452">
        <f>transport!D54</f>
        <v>0</v>
      </c>
      <c r="E10" s="452">
        <f>transport!E54</f>
        <v>0</v>
      </c>
      <c r="F10" s="452">
        <f>transport!F54</f>
        <v>0</v>
      </c>
      <c r="G10" s="452">
        <f>transport!G54</f>
        <v>2444.4683825194497</v>
      </c>
      <c r="H10" s="452">
        <f>transport!H54</f>
        <v>0</v>
      </c>
      <c r="I10" s="452">
        <f>transport!I54</f>
        <v>0</v>
      </c>
      <c r="J10" s="452">
        <f>transport!J54</f>
        <v>0</v>
      </c>
      <c r="K10" s="452">
        <f>transport!K54</f>
        <v>0</v>
      </c>
      <c r="L10" s="452">
        <f>transport!L54</f>
        <v>0</v>
      </c>
      <c r="M10" s="452">
        <f>transport!M54</f>
        <v>135.84244776016135</v>
      </c>
      <c r="N10" s="452">
        <f>transport!N54</f>
        <v>0</v>
      </c>
      <c r="O10" s="452">
        <f>transport!O54</f>
        <v>0</v>
      </c>
      <c r="P10" s="453">
        <f>transport!P54</f>
        <v>0</v>
      </c>
      <c r="Q10" s="451">
        <f t="shared" si="0"/>
        <v>2580.3108302796109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1008.011901</v>
      </c>
      <c r="C14" s="459"/>
      <c r="D14" s="459">
        <f>'SEAP template'!E25</f>
        <v>2084.0912209999997</v>
      </c>
      <c r="E14" s="459"/>
      <c r="F14" s="459"/>
      <c r="G14" s="459"/>
      <c r="H14" s="459"/>
      <c r="I14" s="459"/>
      <c r="J14" s="459"/>
      <c r="K14" s="459"/>
      <c r="L14" s="459"/>
      <c r="M14" s="459"/>
      <c r="N14" s="459"/>
      <c r="O14" s="459"/>
      <c r="P14" s="460"/>
      <c r="Q14" s="451">
        <f t="shared" si="0"/>
        <v>3092.1031219999995</v>
      </c>
    </row>
    <row r="15" spans="1:17" s="463" customFormat="1">
      <c r="A15" s="461" t="s">
        <v>545</v>
      </c>
      <c r="B15" s="462">
        <f ca="1">SUM(B4:B14)</f>
        <v>303715.33810992033</v>
      </c>
      <c r="C15" s="462">
        <f t="shared" ref="C15:Q15" ca="1" si="1">SUM(C4:C14)</f>
        <v>28337.785714285714</v>
      </c>
      <c r="D15" s="462">
        <f t="shared" ca="1" si="1"/>
        <v>494137.62969566439</v>
      </c>
      <c r="E15" s="462">
        <f t="shared" si="1"/>
        <v>10012.678014010731</v>
      </c>
      <c r="F15" s="462">
        <f t="shared" ca="1" si="1"/>
        <v>31231.192941390873</v>
      </c>
      <c r="G15" s="462">
        <f t="shared" si="1"/>
        <v>46815.104741687472</v>
      </c>
      <c r="H15" s="462">
        <f t="shared" si="1"/>
        <v>10704.048219301167</v>
      </c>
      <c r="I15" s="462">
        <f t="shared" si="1"/>
        <v>0</v>
      </c>
      <c r="J15" s="462">
        <f t="shared" si="1"/>
        <v>12856.215686969166</v>
      </c>
      <c r="K15" s="462">
        <f t="shared" si="1"/>
        <v>0</v>
      </c>
      <c r="L15" s="462">
        <f t="shared" ca="1" si="1"/>
        <v>0</v>
      </c>
      <c r="M15" s="462">
        <f t="shared" si="1"/>
        <v>3402.1644494277143</v>
      </c>
      <c r="N15" s="462">
        <f t="shared" ca="1" si="1"/>
        <v>38313.143496229051</v>
      </c>
      <c r="O15" s="462">
        <f t="shared" si="1"/>
        <v>530.52091933815166</v>
      </c>
      <c r="P15" s="462">
        <f t="shared" si="1"/>
        <v>1347.4321837601722</v>
      </c>
      <c r="Q15" s="462">
        <f t="shared" ca="1" si="1"/>
        <v>981403.25417198485</v>
      </c>
    </row>
    <row r="17" spans="1:17">
      <c r="A17" s="464" t="s">
        <v>546</v>
      </c>
      <c r="B17" s="781">
        <f ca="1">huishoudens!B10</f>
        <v>0.21502579869994981</v>
      </c>
      <c r="C17" s="781">
        <f ca="1">huishoudens!C10</f>
        <v>0.23607823565441696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6540.6855324249864</v>
      </c>
      <c r="C22" s="452">
        <f t="shared" ref="C22:C32" ca="1" si="3">C4*$C$17</f>
        <v>0</v>
      </c>
      <c r="D22" s="452">
        <f t="shared" ref="D22:D32" si="4">D4*$D$17</f>
        <v>16532.376425217182</v>
      </c>
      <c r="E22" s="452">
        <f t="shared" ref="E22:E32" si="5">E4*$E$17</f>
        <v>1379.5336104417022</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24452.595568083871</v>
      </c>
    </row>
    <row r="23" spans="1:17">
      <c r="A23" s="451" t="s">
        <v>155</v>
      </c>
      <c r="B23" s="452">
        <f t="shared" ca="1" si="2"/>
        <v>3459.1112304210806</v>
      </c>
      <c r="C23" s="452">
        <f t="shared" ca="1" si="3"/>
        <v>106.23520604448765</v>
      </c>
      <c r="D23" s="452">
        <f t="shared" ca="1" si="4"/>
        <v>3571.8726555406324</v>
      </c>
      <c r="E23" s="452">
        <f t="shared" si="5"/>
        <v>59.671769924253738</v>
      </c>
      <c r="F23" s="452">
        <f t="shared" ca="1" si="6"/>
        <v>465.8918616856763</v>
      </c>
      <c r="G23" s="452">
        <f t="shared" si="7"/>
        <v>0</v>
      </c>
      <c r="H23" s="452">
        <f t="shared" si="8"/>
        <v>0</v>
      </c>
      <c r="I23" s="452">
        <f t="shared" si="9"/>
        <v>0</v>
      </c>
      <c r="J23" s="452">
        <f t="shared" si="10"/>
        <v>8.3305459476955019E-3</v>
      </c>
      <c r="K23" s="452">
        <f t="shared" si="11"/>
        <v>0</v>
      </c>
      <c r="L23" s="452">
        <f t="shared" ca="1" si="12"/>
        <v>0</v>
      </c>
      <c r="M23" s="452">
        <f t="shared" si="13"/>
        <v>0</v>
      </c>
      <c r="N23" s="452">
        <f t="shared" ca="1" si="14"/>
        <v>0</v>
      </c>
      <c r="O23" s="452">
        <f t="shared" si="15"/>
        <v>0</v>
      </c>
      <c r="P23" s="453">
        <f t="shared" si="16"/>
        <v>0</v>
      </c>
      <c r="Q23" s="451">
        <f t="shared" ref="Q23:Q31" ca="1" si="17">SUM(B23:P23)</f>
        <v>7662.7910541620777</v>
      </c>
    </row>
    <row r="24" spans="1:17">
      <c r="A24" s="451" t="s">
        <v>193</v>
      </c>
      <c r="B24" s="452">
        <f t="shared" ca="1" si="2"/>
        <v>181.07258000783162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181.07258000783162</v>
      </c>
    </row>
    <row r="25" spans="1:17">
      <c r="A25" s="451" t="s">
        <v>111</v>
      </c>
      <c r="B25" s="452">
        <f t="shared" ca="1" si="2"/>
        <v>323.34949238866983</v>
      </c>
      <c r="C25" s="452">
        <f t="shared" ca="1" si="3"/>
        <v>6583.6992477370259</v>
      </c>
      <c r="D25" s="452">
        <f t="shared" si="4"/>
        <v>0</v>
      </c>
      <c r="E25" s="452">
        <f t="shared" si="5"/>
        <v>10.653606486510471</v>
      </c>
      <c r="F25" s="452">
        <f t="shared" si="6"/>
        <v>1418.9694121877928</v>
      </c>
      <c r="G25" s="452">
        <f t="shared" si="7"/>
        <v>0</v>
      </c>
      <c r="H25" s="452">
        <f t="shared" si="8"/>
        <v>0</v>
      </c>
      <c r="I25" s="452">
        <f t="shared" si="9"/>
        <v>0</v>
      </c>
      <c r="J25" s="452">
        <f t="shared" si="10"/>
        <v>146.66193520810558</v>
      </c>
      <c r="K25" s="452">
        <f t="shared" si="11"/>
        <v>0</v>
      </c>
      <c r="L25" s="452">
        <f t="shared" si="12"/>
        <v>0</v>
      </c>
      <c r="M25" s="452">
        <f t="shared" si="13"/>
        <v>0</v>
      </c>
      <c r="N25" s="452">
        <f t="shared" si="14"/>
        <v>0</v>
      </c>
      <c r="O25" s="452">
        <f t="shared" si="15"/>
        <v>0</v>
      </c>
      <c r="P25" s="453">
        <f t="shared" si="16"/>
        <v>0</v>
      </c>
      <c r="Q25" s="451">
        <f t="shared" ca="1" si="17"/>
        <v>8483.3336940081044</v>
      </c>
    </row>
    <row r="26" spans="1:17">
      <c r="A26" s="451" t="s">
        <v>625</v>
      </c>
      <c r="B26" s="452">
        <f t="shared" ca="1" si="2"/>
        <v>54578.684223103817</v>
      </c>
      <c r="C26" s="452">
        <f t="shared" ca="1" si="3"/>
        <v>0</v>
      </c>
      <c r="D26" s="452">
        <f t="shared" si="4"/>
        <v>79267.402078190004</v>
      </c>
      <c r="E26" s="452">
        <f t="shared" si="5"/>
        <v>800.99625494366978</v>
      </c>
      <c r="F26" s="452">
        <f t="shared" si="6"/>
        <v>6453.8672414778948</v>
      </c>
      <c r="G26" s="452">
        <f t="shared" si="7"/>
        <v>0</v>
      </c>
      <c r="H26" s="452">
        <f t="shared" si="8"/>
        <v>0</v>
      </c>
      <c r="I26" s="452">
        <f t="shared" si="9"/>
        <v>0</v>
      </c>
      <c r="J26" s="452">
        <f t="shared" si="10"/>
        <v>4404.4300874330311</v>
      </c>
      <c r="K26" s="452">
        <f t="shared" si="11"/>
        <v>0</v>
      </c>
      <c r="L26" s="452">
        <f t="shared" si="12"/>
        <v>0</v>
      </c>
      <c r="M26" s="452">
        <f t="shared" si="13"/>
        <v>0</v>
      </c>
      <c r="N26" s="452">
        <f t="shared" si="14"/>
        <v>0</v>
      </c>
      <c r="O26" s="452">
        <f t="shared" si="15"/>
        <v>0</v>
      </c>
      <c r="P26" s="453">
        <f t="shared" si="16"/>
        <v>0</v>
      </c>
      <c r="Q26" s="451">
        <f t="shared" ca="1" si="17"/>
        <v>145505.37988514837</v>
      </c>
    </row>
    <row r="27" spans="1:17" s="457" customFormat="1">
      <c r="A27" s="455" t="s">
        <v>551</v>
      </c>
      <c r="B27" s="775">
        <f t="shared" ca="1" si="2"/>
        <v>6.9815320529568847</v>
      </c>
      <c r="C27" s="456">
        <f t="shared" ca="1" si="3"/>
        <v>0</v>
      </c>
      <c r="D27" s="456">
        <f t="shared" si="4"/>
        <v>23.163612934389</v>
      </c>
      <c r="E27" s="456">
        <f t="shared" si="5"/>
        <v>22.022667384299798</v>
      </c>
      <c r="F27" s="456">
        <f t="shared" si="6"/>
        <v>0</v>
      </c>
      <c r="G27" s="456">
        <f t="shared" si="7"/>
        <v>11846.959907897863</v>
      </c>
      <c r="H27" s="456">
        <f t="shared" si="8"/>
        <v>2665.3080066059906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14564.435726875499</v>
      </c>
    </row>
    <row r="28" spans="1:17" ht="16.5" customHeight="1">
      <c r="A28" s="451" t="s">
        <v>541</v>
      </c>
      <c r="B28" s="452">
        <f t="shared" ca="1" si="2"/>
        <v>0</v>
      </c>
      <c r="C28" s="452">
        <f t="shared" ca="1" si="3"/>
        <v>0</v>
      </c>
      <c r="D28" s="452">
        <f t="shared" si="4"/>
        <v>0</v>
      </c>
      <c r="E28" s="452">
        <f t="shared" si="5"/>
        <v>0</v>
      </c>
      <c r="F28" s="452">
        <f t="shared" si="6"/>
        <v>0</v>
      </c>
      <c r="G28" s="452">
        <f t="shared" si="7"/>
        <v>652.67305813269309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652.67305813269309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216.74856411157973</v>
      </c>
      <c r="C32" s="452">
        <f t="shared" ca="1" si="3"/>
        <v>0</v>
      </c>
      <c r="D32" s="452">
        <f t="shared" si="4"/>
        <v>420.98642664199997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637.73499075357972</v>
      </c>
    </row>
    <row r="33" spans="1:17" s="463" customFormat="1">
      <c r="A33" s="461" t="s">
        <v>545</v>
      </c>
      <c r="B33" s="462">
        <f ca="1">SUM(B22:B32)</f>
        <v>65306.633154510921</v>
      </c>
      <c r="C33" s="462">
        <f t="shared" ref="C33:Q33" ca="1" si="19">SUM(C22:C32)</f>
        <v>6689.9344537815132</v>
      </c>
      <c r="D33" s="462">
        <f t="shared" ca="1" si="19"/>
        <v>99815.801198524205</v>
      </c>
      <c r="E33" s="462">
        <f t="shared" si="19"/>
        <v>2272.8779091804363</v>
      </c>
      <c r="F33" s="462">
        <f t="shared" ca="1" si="19"/>
        <v>8338.728515351364</v>
      </c>
      <c r="G33" s="462">
        <f t="shared" si="19"/>
        <v>12499.632966030556</v>
      </c>
      <c r="H33" s="462">
        <f t="shared" si="19"/>
        <v>2665.3080066059906</v>
      </c>
      <c r="I33" s="462">
        <f t="shared" si="19"/>
        <v>0</v>
      </c>
      <c r="J33" s="462">
        <f t="shared" si="19"/>
        <v>4551.1003531870847</v>
      </c>
      <c r="K33" s="462">
        <f t="shared" si="19"/>
        <v>0</v>
      </c>
      <c r="L33" s="462">
        <f t="shared" ca="1" si="19"/>
        <v>0</v>
      </c>
      <c r="M33" s="462">
        <f t="shared" si="19"/>
        <v>0</v>
      </c>
      <c r="N33" s="462">
        <f t="shared" ca="1" si="19"/>
        <v>0</v>
      </c>
      <c r="O33" s="462">
        <f t="shared" si="19"/>
        <v>0</v>
      </c>
      <c r="P33" s="462">
        <f t="shared" si="19"/>
        <v>0</v>
      </c>
      <c r="Q33" s="462">
        <f t="shared" ca="1" si="19"/>
        <v>202140.01655717203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9563.5983503553543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130.94999999999999</v>
      </c>
      <c r="C8" s="1029">
        <f>'SEAP template'!C76</f>
        <v>19705.5</v>
      </c>
      <c r="D8" s="1029">
        <f>'SEAP template'!D76</f>
        <v>23182.941176470591</v>
      </c>
      <c r="E8" s="1029">
        <f>'SEAP template'!E76</f>
        <v>0</v>
      </c>
      <c r="F8" s="1029">
        <f>'SEAP template'!F76</f>
        <v>0</v>
      </c>
      <c r="G8" s="1029">
        <f>'SEAP template'!G76</f>
        <v>0</v>
      </c>
      <c r="H8" s="1029">
        <f>'SEAP template'!H76</f>
        <v>0</v>
      </c>
      <c r="I8" s="1029">
        <f>'SEAP template'!I76</f>
        <v>0</v>
      </c>
      <c r="J8" s="1029">
        <f>'SEAP template'!J76</f>
        <v>154.05882352941177</v>
      </c>
      <c r="K8" s="1029">
        <f>'SEAP template'!K76</f>
        <v>0</v>
      </c>
      <c r="L8" s="1029">
        <f>'SEAP template'!L76</f>
        <v>0</v>
      </c>
      <c r="M8" s="1029">
        <f>'SEAP template'!M76</f>
        <v>0</v>
      </c>
      <c r="N8" s="1029">
        <f>'SEAP template'!N76</f>
        <v>0</v>
      </c>
      <c r="O8" s="1029">
        <f>'SEAP template'!O76</f>
        <v>0</v>
      </c>
      <c r="P8" s="1030">
        <f>'SEAP template'!Q76</f>
        <v>4682.9541176470593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9694.5483503553551</v>
      </c>
      <c r="C10" s="1031">
        <f>SUM(C4:C9)</f>
        <v>19705.5</v>
      </c>
      <c r="D10" s="1031">
        <f t="shared" ref="D10:H10" si="0">SUM(D8:D9)</f>
        <v>23182.941176470591</v>
      </c>
      <c r="E10" s="1031">
        <f t="shared" si="0"/>
        <v>0</v>
      </c>
      <c r="F10" s="1031">
        <f t="shared" si="0"/>
        <v>0</v>
      </c>
      <c r="G10" s="1031">
        <f t="shared" si="0"/>
        <v>0</v>
      </c>
      <c r="H10" s="1031">
        <f t="shared" si="0"/>
        <v>0</v>
      </c>
      <c r="I10" s="1031">
        <f>SUM(I8:I9)</f>
        <v>0</v>
      </c>
      <c r="J10" s="1031">
        <f>SUM(J8:J9)</f>
        <v>154.05882352941177</v>
      </c>
      <c r="K10" s="1031">
        <f t="shared" ref="K10:L10" si="1">SUM(K8:K9)</f>
        <v>0</v>
      </c>
      <c r="L10" s="1031">
        <f t="shared" si="1"/>
        <v>0</v>
      </c>
      <c r="M10" s="1031">
        <f>SUM(M8:M9)</f>
        <v>0</v>
      </c>
      <c r="N10" s="1031">
        <f>SUM(N8:N9)</f>
        <v>0</v>
      </c>
      <c r="O10" s="1031">
        <f>SUM(O8:O9)</f>
        <v>0</v>
      </c>
      <c r="P10" s="1031">
        <f>SUM(P8:P9)</f>
        <v>4682.9541176470593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0.21502579869994981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187.07142857142856</v>
      </c>
      <c r="C17" s="1032">
        <f>'SEAP template'!C87</f>
        <v>28150.71428571429</v>
      </c>
      <c r="D17" s="1030">
        <f>'SEAP template'!D87</f>
        <v>33118.487394957985</v>
      </c>
      <c r="E17" s="1030">
        <f>'SEAP template'!E87</f>
        <v>0</v>
      </c>
      <c r="F17" s="1030">
        <f>'SEAP template'!F87</f>
        <v>0</v>
      </c>
      <c r="G17" s="1030">
        <f>'SEAP template'!G87</f>
        <v>0</v>
      </c>
      <c r="H17" s="1030">
        <f>'SEAP template'!H87</f>
        <v>0</v>
      </c>
      <c r="I17" s="1030">
        <f>'SEAP template'!I87</f>
        <v>0</v>
      </c>
      <c r="J17" s="1030">
        <f>'SEAP template'!J87</f>
        <v>220.08403361344537</v>
      </c>
      <c r="K17" s="1030">
        <f>'SEAP template'!K87</f>
        <v>0</v>
      </c>
      <c r="L17" s="1030">
        <f>'SEAP template'!L87</f>
        <v>0</v>
      </c>
      <c r="M17" s="1030">
        <f>'SEAP template'!M87</f>
        <v>0</v>
      </c>
      <c r="N17" s="1030">
        <f>'SEAP template'!N87</f>
        <v>0</v>
      </c>
      <c r="O17" s="1030">
        <f>'SEAP template'!O87</f>
        <v>0</v>
      </c>
      <c r="P17" s="1030">
        <f>'SEAP template'!Q87</f>
        <v>6689.9344537815132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187.07142857142856</v>
      </c>
      <c r="C20" s="1031">
        <f>SUM(C17:C19)</f>
        <v>28150.71428571429</v>
      </c>
      <c r="D20" s="1031">
        <f t="shared" ref="D20:H20" si="2">SUM(D17:D19)</f>
        <v>33118.487394957985</v>
      </c>
      <c r="E20" s="1031">
        <f t="shared" si="2"/>
        <v>0</v>
      </c>
      <c r="F20" s="1031">
        <f t="shared" si="2"/>
        <v>0</v>
      </c>
      <c r="G20" s="1031">
        <f t="shared" si="2"/>
        <v>0</v>
      </c>
      <c r="H20" s="1031">
        <f t="shared" si="2"/>
        <v>0</v>
      </c>
      <c r="I20" s="1031">
        <f>SUM(I17:I19)</f>
        <v>0</v>
      </c>
      <c r="J20" s="1031">
        <f>SUM(J17:J19)</f>
        <v>220.08403361344537</v>
      </c>
      <c r="K20" s="1031">
        <f t="shared" ref="K20:L20" si="3">SUM(K17:K19)</f>
        <v>0</v>
      </c>
      <c r="L20" s="1031">
        <f t="shared" si="3"/>
        <v>0</v>
      </c>
      <c r="M20" s="1031">
        <f>SUM(M17:M19)</f>
        <v>0</v>
      </c>
      <c r="N20" s="1031">
        <f>SUM(N17:N19)</f>
        <v>0</v>
      </c>
      <c r="O20" s="1031">
        <f>SUM(O17:O19)</f>
        <v>0</v>
      </c>
      <c r="P20" s="1031">
        <f>SUM(P17:P19)</f>
        <v>6689.9344537815132</v>
      </c>
    </row>
    <row r="21" spans="1:16">
      <c r="B21" s="887"/>
    </row>
    <row r="22" spans="1:16">
      <c r="A22" s="464" t="s">
        <v>797</v>
      </c>
      <c r="B22" s="781" t="s">
        <v>795</v>
      </c>
      <c r="C22" s="781">
        <f ca="1">'EF ele_warmte'!B22</f>
        <v>0.23607823565441696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0.21502579869994981</v>
      </c>
      <c r="C17" s="501">
        <f ca="1">'EF ele_warmte'!B22</f>
        <v>0.23607823565441696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2020-06-20T15:29:14Z</dcterms:modified>
</cp:coreProperties>
</file>