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9"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8" i="18" l="1"/>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H9" i="18" s="1"/>
  <c r="M77" i="14" s="1"/>
  <c r="M9" i="59" s="1"/>
  <c r="V45" i="18"/>
  <c r="U45" i="18"/>
  <c r="T45" i="18"/>
  <c r="S45" i="18"/>
  <c r="E9" i="18" s="1"/>
  <c r="F77" i="14" s="1"/>
  <c r="F9" i="59" s="1"/>
  <c r="R45" i="18"/>
  <c r="Q45" i="18"/>
  <c r="P45" i="18"/>
  <c r="O45" i="18"/>
  <c r="N45" i="18"/>
  <c r="B9" i="18" s="1"/>
  <c r="M45" i="18"/>
  <c r="W41" i="18"/>
  <c r="V41" i="18"/>
  <c r="U41" i="18"/>
  <c r="T41" i="18"/>
  <c r="L6" i="17" s="1"/>
  <c r="L5" i="17" s="1"/>
  <c r="S41" i="18"/>
  <c r="F6" i="17" s="1"/>
  <c r="R41" i="18"/>
  <c r="Q41" i="18"/>
  <c r="P41" i="18"/>
  <c r="O41" i="18"/>
  <c r="N41" i="18"/>
  <c r="M41" i="18"/>
  <c r="W40" i="18"/>
  <c r="V40" i="18"/>
  <c r="U40" i="18"/>
  <c r="T40" i="18"/>
  <c r="S40" i="18"/>
  <c r="R40" i="18"/>
  <c r="Q40" i="18"/>
  <c r="P40" i="18"/>
  <c r="O40" i="18"/>
  <c r="C13" i="15" s="1"/>
  <c r="N40" i="18"/>
  <c r="B13" i="15" s="1"/>
  <c r="M40" i="18"/>
  <c r="W39" i="18"/>
  <c r="V39" i="18"/>
  <c r="U39" i="18"/>
  <c r="T39" i="18"/>
  <c r="S39" i="18"/>
  <c r="F16" i="16" s="1"/>
  <c r="R39" i="18"/>
  <c r="Q39" i="18"/>
  <c r="P39" i="18"/>
  <c r="D16" i="16" s="1"/>
  <c r="O39" i="18"/>
  <c r="N39" i="18"/>
  <c r="W38" i="18"/>
  <c r="V38" i="18"/>
  <c r="U38" i="18"/>
  <c r="T38" i="18"/>
  <c r="S38" i="18"/>
  <c r="R38" i="18"/>
  <c r="Q38" i="18"/>
  <c r="P38" i="18"/>
  <c r="O38" i="18"/>
  <c r="B17" i="18" s="1"/>
  <c r="N38" i="18"/>
  <c r="B8" i="18" s="1"/>
  <c r="M38"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4" i="18"/>
  <c r="B58" i="18" s="1"/>
  <c r="B16" i="16"/>
  <c r="K9" i="14"/>
  <c r="H77" i="14"/>
  <c r="J11" i="48"/>
  <c r="J29" i="48" s="1"/>
  <c r="M9" i="14"/>
  <c r="L11" i="48"/>
  <c r="O19" i="14"/>
  <c r="O22" i="14" s="1"/>
  <c r="N10" i="48"/>
  <c r="N28" i="48" s="1"/>
  <c r="J19" i="14"/>
  <c r="J22" i="14" s="1"/>
  <c r="J27" i="14" s="1"/>
  <c r="I10" i="48"/>
  <c r="I28" i="48" s="1"/>
  <c r="J19" i="19"/>
  <c r="K39" i="14" s="1"/>
  <c r="N19" i="19"/>
  <c r="O39" i="14" s="1"/>
  <c r="C54" i="18"/>
  <c r="I57"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7" i="18"/>
  <c r="E8" i="18" s="1"/>
  <c r="F76" i="14" s="1"/>
  <c r="F7" i="48"/>
  <c r="F25" i="48" s="1"/>
  <c r="D57" i="18"/>
  <c r="O9" i="18"/>
  <c r="M29" i="48"/>
  <c r="F12" i="17"/>
  <c r="G54" i="14" s="1"/>
  <c r="G56" i="14" s="1"/>
  <c r="C58" i="18"/>
  <c r="C57" i="18"/>
  <c r="B10" i="18"/>
  <c r="E58" i="18"/>
  <c r="E17" i="18" s="1"/>
  <c r="F87" i="14" s="1"/>
  <c r="G58" i="18"/>
  <c r="D7" i="48"/>
  <c r="D25" i="48" s="1"/>
  <c r="H57" i="18"/>
  <c r="G57" i="18"/>
  <c r="D58" i="18"/>
  <c r="L28" i="48"/>
  <c r="H58" i="18"/>
  <c r="I58" i="18"/>
  <c r="H17" i="18" s="1"/>
  <c r="F58" i="18"/>
  <c r="F57" i="18"/>
  <c r="H10" i="18"/>
  <c r="M78" i="14"/>
  <c r="B57"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E27" i="14"/>
  <c r="O33"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29" i="20"/>
  <c r="C56" i="22"/>
  <c r="C58" i="22" s="1"/>
  <c r="D49" i="14" s="1"/>
  <c r="D52" i="14" s="1"/>
  <c r="C17" i="49"/>
  <c r="C22" i="59"/>
  <c r="C10" i="13"/>
  <c r="C12" i="13" s="1"/>
  <c r="D41" i="14" s="1"/>
  <c r="D46" i="14" s="1"/>
  <c r="D61" i="14" s="1"/>
  <c r="D63" i="14" s="1"/>
  <c r="C18" i="15"/>
  <c r="C20" i="15" s="1"/>
  <c r="D40"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<sst xmlns="http://schemas.openxmlformats.org/spreadsheetml/2006/main" count="2498" uniqueCount="933">
  <si>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</si>
  <si>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</si>
  <si>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</si>
  <si>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</si>
  <si>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</si>
  <si>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</si>
  <si>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</si>
  <si>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</si>
  <si>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</si>
  <si>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</si>
  <si>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</si>
  <si>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</si>
  <si>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</si>
  <si>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</si>
  <si>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</si>
  <si>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</si>
  <si>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</si>
  <si>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</si>
  <si>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</si>
  <si>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</si>
  <si>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</si>
  <si>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</si>
  <si>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</si>
  <si>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</si>
  <si>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</si>
  <si>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</si>
  <si>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</si>
  <si>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</si>
  <si>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</si>
  <si>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</si>
  <si>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</si>
  <si>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</si>
  <si>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</si>
  <si>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</si>
  <si>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</si>
  <si>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</si>
  <si>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</si>
  <si>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</si>
  <si>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</si>
  <si>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</si>
  <si>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</si>
  <si>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</si>
  <si>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</si>
  <si>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</si>
  <si>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</si>
  <si>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</si>
  <si>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</si>
  <si>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</si>
  <si>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</si>
  <si>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</si>
  <si>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</si>
  <si>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</si>
  <si>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</si>
  <si>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</si>
  <si>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</si>
  <si>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</si>
  <si>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</si>
  <si>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</si>
  <si>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</si>
  <si>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</si>
  <si>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</si>
  <si>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</si>
  <si>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</si>
  <si>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</si>
  <si>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</si>
  <si>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</si>
  <si>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</si>
  <si>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</si>
  <si>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</si>
  <si>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</si>
  <si>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</si>
  <si>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</si>
  <si>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</si>
  <si>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</si>
  <si>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</si>
  <si>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</si>
  <si>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</si>
  <si>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</si>
  <si>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</si>
  <si>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</si>
  <si>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</si>
  <si>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</si>
  <si>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</si>
  <si>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</si>
  <si>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</si>
  <si>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</si>
  <si>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</si>
  <si>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</si>
  <si>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</si>
  <si>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</si>
  <si>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</si>
  <si>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</si>
  <si>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</si>
  <si>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</si>
  <si>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</si>
  <si>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</si>
  <si>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</si>
  <si>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</si>
  <si>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</si>
  <si>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</si>
  <si>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</si>
  <si>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</si>
  <si>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</si>
  <si>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</si>
  <si>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</si>
  <si>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</si>
  <si>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</si>
  <si>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</si>
  <si>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</si>
  <si>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</si>
  <si>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</si>
  <si>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</si>
  <si>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</si>
  <si>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</si>
  <si>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</si>
  <si>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</si>
  <si>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</si>
  <si>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</si>
  <si>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</si>
  <si>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</si>
  <si>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</si>
  <si>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</si>
  <si>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</si>
  <si>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</si>
  <si>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</si>
  <si>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</si>
  <si>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</si>
  <si>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</si>
  <si>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</si>
  <si>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</si>
  <si>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</si>
  <si>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</si>
  <si>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</si>
  <si>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</si>
  <si>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</si>
  <si>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</si>
  <si>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</si>
  <si>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</si>
  <si>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</si>
  <si>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</si>
  <si>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</si>
  <si>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</si>
  <si>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</si>
  <si>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</si>
  <si>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</si>
  <si>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</si>
  <si>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</si>
  <si>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</si>
  <si>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</si>
  <si>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</si>
  <si>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</si>
  <si>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</si>
  <si>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</si>
  <si>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</si>
  <si>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</si>
  <si>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</si>
  <si>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</si>
  <si>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</si>
  <si>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</si>
  <si>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</si>
  <si>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</si>
  <si>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</si>
  <si>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</si>
  <si>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</si>
  <si>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</si>
  <si>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</si>
  <si>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</si>
  <si>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</si>
  <si>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</si>
  <si>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</si>
  <si>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</si>
  <si>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</si>
  <si>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</si>
  <si>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</si>
  <si>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</si>
  <si>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</si>
  <si>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</si>
  <si>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</si>
  <si>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</si>
  <si>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</si>
  <si>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</si>
  <si>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</si>
  <si>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</si>
  <si>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</si>
  <si>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</si>
  <si>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</si>
  <si>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</si>
  <si>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</si>
  <si>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</si>
  <si>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</si>
  <si>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</si>
  <si>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</si>
  <si>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</si>
  <si>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</si>
  <si>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</si>
  <si>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</si>
  <si>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</si>
  <si>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</si>
  <si>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</si>
  <si>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</si>
  <si>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</si>
  <si>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</si>
  <si>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</si>
  <si>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</si>
  <si>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</si>
  <si>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</si>
  <si>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</si>
  <si>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</si>
  <si>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</si>
  <si>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</si>
  <si>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</si>
  <si>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</si>
  <si>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</si>
  <si>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</si>
  <si>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</si>
  <si>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</si>
  <si>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</si>
  <si>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</si>
  <si>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</si>
  <si>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</si>
  <si>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</si>
  <si>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</si>
  <si>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</si>
  <si>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</si>
  <si>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</si>
  <si>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</si>
  <si>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</si>
  <si>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</si>
  <si>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</si>
  <si>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</si>
  <si>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</si>
  <si>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</si>
  <si>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</si>
  <si>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</si>
  <si>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</si>
  <si>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</si>
  <si>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</si>
  <si>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</si>
  <si>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</si>
  <si>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</si>
  <si>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</si>
  <si>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</si>
  <si>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</si>
  <si>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</si>
  <si>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</si>
  <si>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</si>
  <si>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</si>
  <si>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</si>
  <si>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</si>
  <si>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</si>
  <si>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</si>
  <si>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</si>
  <si>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</si>
  <si>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</si>
  <si>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</si>
  <si>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</si>
  <si>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</si>
  <si>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</si>
  <si>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</si>
  <si>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</si>
  <si>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</si>
  <si>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</si>
  <si>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</si>
  <si>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</si>
  <si>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</si>
  <si>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</si>
  <si>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</si>
  <si>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</si>
  <si>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</si>
  <si>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</si>
  <si>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</si>
  <si>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</si>
  <si>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</si>
  <si>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</si>
  <si>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</si>
  <si>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</si>
  <si>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</si>
  <si>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</si>
  <si>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</si>
  <si>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</si>
  <si>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</si>
  <si>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</si>
  <si>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</si>
  <si>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</si>
  <si>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</si>
  <si>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</si>
  <si>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</si>
  <si>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</si>
  <si>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</si>
  <si>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</si>
  <si>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</si>
  <si>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</si>
  <si>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</si>
  <si>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</si>
  <si>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</si>
  <si>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</si>
  <si>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</si>
  <si>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</si>
  <si>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</si>
  <si>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</si>
  <si>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</si>
  <si>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</si>
  <si>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</si>
  <si>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</si>
  <si>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</si>
  <si>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</si>
  <si>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</si>
  <si>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</si>
  <si>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</si>
  <si>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</si>
  <si>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</si>
  <si>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</si>
  <si>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</si>
  <si>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</si>
  <si>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</si>
  <si>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</si>
  <si>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</si>
  <si>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</si>
  <si>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</si>
  <si>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</si>
  <si>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</si>
  <si>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</si>
  <si>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</si>
  <si>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</si>
  <si>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</si>
  <si>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</si>
  <si>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</si>
  <si>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</si>
  <si>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</si>
  <si>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</si>
  <si>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</si>
  <si>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</si>
  <si>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</si>
  <si>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</si>
  <si>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</si>
  <si>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</si>
  <si>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</si>
  <si>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</si>
  <si>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</si>
  <si>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</si>
  <si>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</si>
  <si>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</si>
  <si>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</si>
  <si>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</si>
  <si>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</si>
  <si>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</si>
  <si>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</si>
  <si>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</si>
  <si>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</si>
  <si>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</si>
  <si>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</si>
  <si>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</si>
  <si>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</si>
  <si>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</si>
  <si>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</si>
  <si>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</si>
  <si>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</si>
  <si>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</si>
  <si>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</si>
  <si>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</si>
  <si>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</si>
  <si>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</si>
  <si>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</si>
  <si>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</si>
  <si>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</si>
  <si>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</si>
  <si>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</si>
  <si>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</si>
  <si>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</si>
  <si>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</si>
  <si>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</si>
  <si>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</si>
  <si>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</si>
  <si>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</si>
  <si>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</si>
  <si>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</si>
  <si>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</si>
  <si>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</si>
  <si>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</si>
  <si>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</si>
  <si>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</si>
  <si>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</si>
  <si>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</si>
  <si>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</si>
  <si>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</si>
  <si>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</si>
  <si>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</si>
  <si>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</si>
  <si>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</si>
  <si>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</si>
  <si>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</si>
  <si>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</si>
  <si>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</si>
  <si>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</si>
  <si>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</si>
  <si>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</si>
  <si>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</si>
  <si>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</si>
  <si>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</si>
  <si>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</si>
  <si>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</si>
  <si>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</si>
  <si>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</si>
  <si>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</si>
  <si>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</si>
  <si>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</si>
  <si>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</si>
  <si>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</si>
  <si>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</si>
  <si>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</si>
  <si>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</si>
  <si>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</si>
  <si>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</si>
  <si>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</si>
  <si>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</si>
  <si>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</si>
  <si>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</si>
  <si>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</si>
  <si>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</si>
  <si>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</si>
  <si>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</si>
  <si>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</si>
  <si>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</si>
  <si>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</si>
  <si>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</si>
  <si>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</si>
  <si>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</si>
  <si>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</si>
  <si>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</si>
  <si>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</si>
  <si>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</si>
  <si>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</si>
  <si>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</si>
  <si>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</si>
  <si>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</si>
  <si>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</si>
  <si>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</si>
  <si>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</si>
  <si>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</si>
  <si>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</si>
  <si>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</si>
  <si>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</si>
  <si>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</si>
  <si>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</si>
  <si>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</si>
  <si>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</si>
  <si>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</si>
  <si>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</si>
  <si>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</si>
  <si>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</si>
  <si>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</si>
  <si>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</si>
  <si>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</si>
  <si>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</si>
  <si>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</si>
  <si>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</si>
  <si>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</si>
  <si>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</si>
  <si>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</si>
  <si>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</si>
  <si>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</si>
  <si>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</si>
  <si>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</si>
  <si>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</si>
  <si>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</si>
  <si>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</si>
  <si>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</si>
  <si>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</si>
  <si>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</si>
  <si>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</si>
  <si>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</si>
  <si>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</si>
  <si>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</si>
  <si>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</si>
  <si>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</si>
  <si>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</si>
  <si>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</si>
  <si>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</si>
  <si>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</si>
  <si>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</si>
  <si>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</si>
  <si>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</si>
  <si>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</si>
  <si>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</si>
  <si>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</si>
  <si>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</si>
  <si>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</si>
  <si>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</si>
  <si>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</si>
  <si>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</si>
  <si>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</si>
  <si>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</si>
  <si>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</si>
  <si>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</si>
  <si>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</si>
  <si>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</si>
  <si>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</si>
  <si>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</si>
  <si>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</si>
  <si>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</si>
  <si>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</si>
  <si>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</si>
  <si>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</si>
  <si>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</si>
  <si>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</si>
  <si>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</si>
  <si>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</si>
  <si>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</si>
  <si>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</si>
  <si>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</si>
  <si>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</si>
  <si>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</si>
  <si>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</si>
  <si>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</si>
  <si>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</si>
  <si>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</si>
  <si>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</si>
  <si>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</si>
  <si>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</si>
  <si>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</si>
  <si>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</si>
  <si>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</si>
  <si>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</si>
  <si>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</si>
  <si>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</si>
  <si>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</si>
  <si>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</si>
  <si>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</si>
  <si>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</si>
  <si>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</si>
  <si>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</si>
  <si>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</si>
  <si>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</si>
  <si>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</si>
  <si>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</si>
  <si>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</si>
  <si>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</si>
  <si>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</si>
  <si>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</si>
  <si>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</si>
  <si>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</si>
  <si>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</si>
  <si>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</si>
  <si>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</si>
  <si>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</si>
  <si>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</si>
  <si>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</si>
  <si>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</si>
  <si>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</si>
  <si>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</si>
  <si>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</si>
  <si>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</si>
  <si>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</si>
  <si>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</si>
  <si>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</si>
  <si>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</si>
  <si>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</si>
  <si>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</si>
  <si>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</si>
  <si>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</si>
  <si>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</si>
  <si>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</si>
  <si>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</si>
  <si>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</si>
  <si>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</si>
  <si>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</si>
  <si>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</si>
  <si>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</si>
  <si>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</si>
  <si>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</si>
  <si>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</si>
  <si>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</si>
  <si>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</si>
  <si>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</si>
  <si>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</si>
  <si>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</si>
  <si>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</si>
  <si>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</si>
  <si>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</si>
  <si>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</si>
  <si>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</si>
  <si>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</si>
  <si>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</si>
  <si>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</si>
  <si>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</si>
  <si>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</si>
  <si>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</si>
  <si>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</si>
  <si>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</si>
  <si>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</si>
  <si>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</si>
  <si>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</si>
  <si>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</si>
  <si>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</si>
  <si>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</si>
  <si>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</si>
  <si>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</si>
  <si>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</si>
  <si>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</si>
  <si>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</si>
  <si>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</si>
  <si>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</si>
  <si>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</si>
  <si>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</si>
  <si>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</si>
  <si>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</si>
  <si>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</si>
  <si>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</si>
  <si>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</si>
  <si>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</si>
  <si>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</si>
  <si>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</si>
  <si>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</si>
  <si>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</si>
  <si>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</si>
  <si>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</si>
  <si>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</si>
  <si>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</si>
  <si>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</si>
  <si>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</si>
  <si>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</si>
  <si>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</si>
  <si>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</si>
  <si>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</si>
  <si>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</si>
  <si>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</si>
  <si>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</si>
  <si>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</si>
  <si>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</si>
  <si>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</si>
  <si>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</si>
  <si>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</si>
  <si>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</si>
  <si>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</si>
  <si>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</si>
  <si>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</si>
  <si>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</si>
  <si>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</si>
  <si>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</si>
  <si>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</si>
  <si>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</si>
  <si>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</si>
  <si>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</si>
  <si>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</si>
  <si>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</si>
  <si>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</si>
  <si>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</si>
  <si>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</si>
  <si>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</si>
  <si>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</si>
  <si>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</si>
  <si>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</si>
  <si>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</si>
  <si>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</si>
  <si>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</si>
  <si>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</si>
  <si>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</si>
  <si>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</si>
  <si>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</si>
  <si>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</si>
  <si>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</si>
  <si>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</si>
  <si>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</si>
  <si>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</si>
  <si>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</si>
  <si>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</si>
  <si>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</si>
  <si>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</si>
  <si>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</si>
  <si>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</si>
  <si>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</si>
  <si>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</si>
  <si>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</si>
  <si>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</si>
  <si>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</si>
  <si>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</si>
  <si>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</si>
  <si>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</si>
  <si>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</si>
  <si>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</si>
  <si>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</si>
  <si>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</si>
  <si>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</si>
  <si>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</si>
  <si>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</si>
  <si>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</si>
  <si>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</si>
  <si>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</si>
  <si>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</si>
  <si>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</si>
  <si>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</si>
  <si>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</si>
  <si>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</si>
  <si>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</si>
  <si>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</si>
  <si>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</si>
  <si>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</si>
  <si>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</si>
  <si>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</si>
  <si>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</si>
  <si>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</si>
  <si>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</si>
  <si>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</si>
  <si>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</si>
  <si>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</si>
  <si>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</si>
  <si>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</si>
  <si>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</si>
  <si>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</si>
  <si>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</si>
  <si>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</si>
  <si>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</si>
  <si>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</si>
  <si>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</si>
  <si>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</si>
  <si>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</si>
  <si>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</si>
  <si>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</si>
  <si>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</si>
  <si>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</si>
  <si>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</si>
  <si>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</si>
  <si>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</si>
  <si>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</si>
  <si>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</si>
  <si>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</si>
  <si>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</si>
  <si>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</si>
  <si>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</si>
  <si>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</si>
  <si>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</si>
  <si>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</si>
  <si>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</si>
  <si>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</si>
  <si>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</si>
  <si>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</si>
  <si>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</si>
  <si>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</si>
  <si>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</si>
  <si>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</si>
  <si>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</si>
  <si>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</si>
  <si>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</si>
  <si>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</si>
  <si>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</si>
  <si>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</si>
  <si>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</si>
  <si>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</si>
  <si>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</si>
  <si>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</si>
  <si>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</si>
  <si>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</si>
  <si>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</si>
  <si>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</si>
  <si>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</si>
  <si>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</si>
  <si>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</si>
  <si>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</si>
  <si>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</si>
  <si>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</si>
  <si>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</si>
  <si>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</si>
  <si>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</si>
  <si>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</si>
  <si>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</si>
  <si>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</si>
  <si>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</si>
  <si>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</si>
  <si>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</si>
  <si>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</si>
  <si>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</si>
  <si>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</si>
  <si>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</si>
  <si>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</si>
  <si>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</si>
  <si>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</si>
  <si>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</si>
  <si>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</si>
  <si>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</si>
  <si>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</si>
  <si>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</si>
  <si>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</si>
  <si>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</si>
  <si>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</si>
  <si>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</si>
  <si>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</si>
  <si>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</si>
  <si>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</si>
  <si>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</si>
  <si>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</si>
  <si>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</si>
  <si>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</si>
  <si>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</si>
  <si>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</si>
  <si>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</si>
  <si>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</si>
  <si>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</si>
  <si>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</si>
  <si>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</si>
  <si>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</si>
  <si>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</si>
  <si>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</si>
  <si>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</si>
  <si>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</si>
  <si>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</si>
  <si>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</si>
  <si>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</si>
  <si>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</si>
  <si>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</si>
  <si>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</si>
  <si>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</si>
  <si>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</si>
  <si>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</si>
  <si>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</si>
  <si>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</si>
  <si>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</si>
  <si>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</si>
  <si>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</si>
  <si>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</si>
  <si>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</si>
  <si>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</si>
  <si>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</si>
  <si>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</si>
  <si>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</si>
  <si>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</si>
  <si>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</si>
  <si>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</si>
  <si>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</si>
  <si>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</si>
  <si>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</si>
  <si>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</si>
  <si>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</si>
  <si>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</si>
  <si>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</si>
  <si>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</si>
  <si>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</si>
  <si>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</si>
  <si>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</si>
  <si>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</si>
  <si>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</si>
  <si>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</si>
  <si>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</si>
  <si>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</si>
  <si>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</si>
  <si>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</si>
  <si>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</si>
  <si>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</si>
  <si>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</si>
  <si>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</si>
  <si>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</si>
  <si>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</si>
  <si>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</si>
  <si>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</si>
  <si>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</si>
  <si>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</si>
  <si>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</si>
  <si>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</si>
  <si>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</si>
  <si>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</si>
  <si>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</si>
  <si>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</si>
  <si>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</si>
  <si>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</si>
  <si>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</si>
  <si>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</si>
  <si>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</si>
  <si>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</si>
  <si>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</si>
  <si>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</si>
  <si>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</si>
  <si>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</si>
  <si>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</si>
  <si>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</si>
  <si>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</si>
  <si>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</si>
  <si>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</si>
  <si>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</si>
  <si>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</si>
  <si>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</si>
  <si>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</si>
  <si>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</si>
  <si>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</si>
  <si>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</si>
  <si>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</si>
  <si>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</si>
  <si>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12021</t>
  </si>
  <si>
    <t>LIER</t>
  </si>
  <si>
    <t>referentietaak LNE (2017); Jaarverslag De Lijn</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</si>
  <si>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</si>
  <si>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</si>
  <si>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</si>
  <si>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</si>
  <si>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</si>
  <si>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</si>
  <si>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</si>
  <si>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</si>
  <si>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</si>
  <si>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</si>
  <si>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</si>
  <si>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</si>
  <si>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</si>
  <si>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</si>
  <si>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</si>
  <si>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</si>
  <si>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</si>
  <si>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</si>
  <si>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</si>
  <si>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</si>
  <si>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</si>
  <si>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</si>
  <si>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</si>
  <si>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</si>
  <si>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</si>
  <si>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</si>
  <si>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</si>
  <si>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</si>
  <si>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</si>
  <si>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</si>
  <si>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</si>
  <si>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</si>
  <si>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</si>
  <si>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</si>
  <si>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Witmo</t>
  </si>
  <si>
    <t>WKK-0726</t>
  </si>
  <si>
    <t>Interne verbrandingsmotor</t>
  </si>
  <si>
    <t>Hoog-Lachenen 65, 2500 Lier, BE</t>
  </si>
  <si>
    <t>IVEKA (via EANDIS)</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</si>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</sst>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243499.90783490206</c:v>
                </c:pt>
                <c:pt idx="1">
                  <c:v>147953.07619193578</c:v>
                </c:pt>
                <c:pt idx="2">
                  <c:v>2100.2849999999999</c:v>
                </c:pt>
                <c:pt idx="3">
                  <c:v>119950.28861991789</c:v>
                </c:pt>
                <c:pt idx="4">
                  <c:v>104190.90627235452</c:v>
                </c:pt>
                <c:pt idx="5">
                  <c:v>168910.75563213267</c:v>
                </c:pt>
                <c:pt idx="6">
                  <c:v>4533.7437859848715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243499.90783490206</c:v>
                </c:pt>
                <c:pt idx="1">
                  <c:v>147953.07619193578</c:v>
                </c:pt>
                <c:pt idx="2">
                  <c:v>2100.2849999999999</c:v>
                </c:pt>
                <c:pt idx="3">
                  <c:v>119950.28861991789</c:v>
                </c:pt>
                <c:pt idx="4">
                  <c:v>104190.90627235452</c:v>
                </c:pt>
                <c:pt idx="5">
                  <c:v>168910.75563213267</c:v>
                </c:pt>
                <c:pt idx="6">
                  <c:v>4533.7437859848715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46919.230783845793</c:v>
                </c:pt>
                <c:pt idx="1">
                  <c:v>29709.514352040773</c:v>
                </c:pt>
                <c:pt idx="2">
                  <c:v>408.48422999901544</c:v>
                </c:pt>
                <c:pt idx="3">
                  <c:v>25851.154179469442</c:v>
                </c:pt>
                <c:pt idx="4">
                  <c:v>21028.061273903528</c:v>
                </c:pt>
                <c:pt idx="5">
                  <c:v>42065.939921973702</c:v>
                </c:pt>
                <c:pt idx="6">
                  <c:v>1146.7813826399308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46919.230783845793</c:v>
                </c:pt>
                <c:pt idx="1">
                  <c:v>29709.514352040773</c:v>
                </c:pt>
                <c:pt idx="2">
                  <c:v>408.48422999901544</c:v>
                </c:pt>
                <c:pt idx="3">
                  <c:v>25851.154179469442</c:v>
                </c:pt>
                <c:pt idx="4">
                  <c:v>21028.061273903528</c:v>
                </c:pt>
                <c:pt idx="5">
                  <c:v>42065.939921973702</c:v>
                </c:pt>
                <c:pt idx="6">
                  <c:v>1146.7813826399308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12021</v>
      </c>
      <c r="B6" s="390"/>
      <c r="C6" s="391"/>
    </row>
    <row r="7" spans="1:7" s="388" customFormat="1" ht="15.75" customHeight="1">
      <c r="A7" s="392" t="str">
        <f>txtMunicipality</f>
        <v>LIER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0.19448990494100346</v>
      </c>
      <c r="C17" s="501">
        <f ca="1">'EF ele_warmte'!B22</f>
        <v>0.21504892104895332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0.19448990494100346</v>
      </c>
      <c r="C29" s="502">
        <f ca="1">'EF ele_warmte'!B22</f>
        <v>0.21504892104895332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15692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2124.7199999999998</v>
      </c>
      <c r="C14" s="330"/>
      <c r="D14" s="330"/>
      <c r="E14" s="330"/>
      <c r="F14" s="330"/>
    </row>
    <row r="15" spans="1:6">
      <c r="A15" s="1298" t="s">
        <v>183</v>
      </c>
      <c r="B15" s="1299">
        <v>768</v>
      </c>
      <c r="C15" s="330"/>
      <c r="D15" s="330"/>
      <c r="E15" s="330"/>
      <c r="F15" s="330"/>
    </row>
    <row r="16" spans="1:6">
      <c r="A16" s="1298" t="s">
        <v>6</v>
      </c>
      <c r="B16" s="1299">
        <v>988</v>
      </c>
      <c r="C16" s="330"/>
      <c r="D16" s="330"/>
      <c r="E16" s="330"/>
      <c r="F16" s="330"/>
    </row>
    <row r="17" spans="1:6">
      <c r="A17" s="1298" t="s">
        <v>7</v>
      </c>
      <c r="B17" s="1299">
        <v>253</v>
      </c>
      <c r="C17" s="330"/>
      <c r="D17" s="330"/>
      <c r="E17" s="330"/>
      <c r="F17" s="330"/>
    </row>
    <row r="18" spans="1:6">
      <c r="A18" s="1298" t="s">
        <v>8</v>
      </c>
      <c r="B18" s="1299">
        <v>683</v>
      </c>
      <c r="C18" s="330"/>
      <c r="D18" s="330"/>
      <c r="E18" s="330"/>
      <c r="F18" s="330"/>
    </row>
    <row r="19" spans="1:6">
      <c r="A19" s="1298" t="s">
        <v>9</v>
      </c>
      <c r="B19" s="1299">
        <v>1028</v>
      </c>
      <c r="C19" s="330"/>
      <c r="D19" s="330"/>
      <c r="E19" s="330"/>
      <c r="F19" s="330"/>
    </row>
    <row r="20" spans="1:6">
      <c r="A20" s="1298" t="s">
        <v>10</v>
      </c>
      <c r="B20" s="1299">
        <v>578</v>
      </c>
      <c r="C20" s="330"/>
      <c r="D20" s="330"/>
      <c r="E20" s="330"/>
      <c r="F20" s="330"/>
    </row>
    <row r="21" spans="1:6">
      <c r="A21" s="1298" t="s">
        <v>11</v>
      </c>
      <c r="B21" s="1299">
        <v>0</v>
      </c>
      <c r="C21" s="330"/>
      <c r="D21" s="330"/>
      <c r="E21" s="330"/>
      <c r="F21" s="330"/>
    </row>
    <row r="22" spans="1:6">
      <c r="A22" s="1298" t="s">
        <v>12</v>
      </c>
      <c r="B22" s="1299">
        <v>262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596</v>
      </c>
      <c r="C26" s="330"/>
      <c r="D26" s="330"/>
      <c r="E26" s="330"/>
      <c r="F26" s="330"/>
    </row>
    <row r="27" spans="1:6">
      <c r="A27" s="1298" t="s">
        <v>17</v>
      </c>
      <c r="B27" s="1299">
        <v>12</v>
      </c>
      <c r="C27" s="330"/>
      <c r="D27" s="330"/>
      <c r="E27" s="330"/>
      <c r="F27" s="330"/>
    </row>
    <row r="28" spans="1:6" s="43" customFormat="1">
      <c r="A28" s="1300" t="s">
        <v>18</v>
      </c>
      <c r="B28" s="1301">
        <v>87</v>
      </c>
      <c r="C28" s="336"/>
      <c r="D28" s="336"/>
      <c r="E28" s="336"/>
      <c r="F28" s="336"/>
    </row>
    <row r="29" spans="1:6">
      <c r="A29" s="1300" t="s">
        <v>705</v>
      </c>
      <c r="B29" s="1301">
        <v>380</v>
      </c>
      <c r="C29" s="336"/>
      <c r="D29" s="336"/>
      <c r="E29" s="336"/>
      <c r="F29" s="336"/>
    </row>
    <row r="30" spans="1:6">
      <c r="A30" s="1293" t="s">
        <v>706</v>
      </c>
      <c r="B30" s="1302">
        <v>67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27</v>
      </c>
      <c r="D36" s="1299">
        <v>150807.943</v>
      </c>
      <c r="E36" s="1299">
        <v>34</v>
      </c>
      <c r="F36" s="1299">
        <v>67321.808000000005</v>
      </c>
    </row>
    <row r="37" spans="1:6">
      <c r="A37" s="1298" t="s">
        <v>24</v>
      </c>
      <c r="B37" s="1298" t="s">
        <v>27</v>
      </c>
      <c r="C37" s="1299">
        <v>0</v>
      </c>
      <c r="D37" s="1299">
        <v>0</v>
      </c>
      <c r="E37" s="1299">
        <v>0</v>
      </c>
      <c r="F37" s="1299">
        <v>0</v>
      </c>
    </row>
    <row r="38" spans="1:6">
      <c r="A38" s="1298" t="s">
        <v>24</v>
      </c>
      <c r="B38" s="1298" t="s">
        <v>28</v>
      </c>
      <c r="C38" s="1299">
        <v>2</v>
      </c>
      <c r="D38" s="1299">
        <v>33565936.390000001</v>
      </c>
      <c r="E38" s="1299">
        <v>5</v>
      </c>
      <c r="F38" s="1299">
        <v>193091.386</v>
      </c>
    </row>
    <row r="39" spans="1:6">
      <c r="A39" s="1298" t="s">
        <v>29</v>
      </c>
      <c r="B39" s="1298" t="s">
        <v>30</v>
      </c>
      <c r="C39" s="1299">
        <v>12846</v>
      </c>
      <c r="D39" s="1299">
        <v>184395804.40000001</v>
      </c>
      <c r="E39" s="1299">
        <v>15836</v>
      </c>
      <c r="F39" s="1299">
        <v>53276249.479999997</v>
      </c>
    </row>
    <row r="40" spans="1:6">
      <c r="A40" s="1298" t="s">
        <v>29</v>
      </c>
      <c r="B40" s="1298" t="s">
        <v>28</v>
      </c>
      <c r="C40" s="1299">
        <v>0</v>
      </c>
      <c r="D40" s="1299">
        <v>0</v>
      </c>
      <c r="E40" s="1299">
        <v>0</v>
      </c>
      <c r="F40" s="1299">
        <v>0</v>
      </c>
    </row>
    <row r="41" spans="1:6">
      <c r="A41" s="1298" t="s">
        <v>31</v>
      </c>
      <c r="B41" s="1298" t="s">
        <v>32</v>
      </c>
      <c r="C41" s="1299">
        <v>147</v>
      </c>
      <c r="D41" s="1299">
        <v>3206786.875</v>
      </c>
      <c r="E41" s="1299">
        <v>307</v>
      </c>
      <c r="F41" s="1299">
        <v>4793616.9740000004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16</v>
      </c>
      <c r="D44" s="1299">
        <v>738076.88300000003</v>
      </c>
      <c r="E44" s="1299">
        <v>42</v>
      </c>
      <c r="F44" s="1299">
        <v>23019059.940000001</v>
      </c>
    </row>
    <row r="45" spans="1:6">
      <c r="A45" s="1298" t="s">
        <v>31</v>
      </c>
      <c r="B45" s="1298" t="s">
        <v>36</v>
      </c>
      <c r="C45" s="1299">
        <v>0</v>
      </c>
      <c r="D45" s="1299">
        <v>0</v>
      </c>
      <c r="E45" s="1299">
        <v>3</v>
      </c>
      <c r="F45" s="1299">
        <v>3399613.7009999999</v>
      </c>
    </row>
    <row r="46" spans="1:6">
      <c r="A46" s="1298" t="s">
        <v>31</v>
      </c>
      <c r="B46" s="1298" t="s">
        <v>37</v>
      </c>
      <c r="C46" s="1299">
        <v>0</v>
      </c>
      <c r="D46" s="1299">
        <v>0</v>
      </c>
      <c r="E46" s="1299">
        <v>0</v>
      </c>
      <c r="F46" s="1299">
        <v>0</v>
      </c>
    </row>
    <row r="47" spans="1:6">
      <c r="A47" s="1298" t="s">
        <v>31</v>
      </c>
      <c r="B47" s="1298" t="s">
        <v>38</v>
      </c>
      <c r="C47" s="1299">
        <v>8</v>
      </c>
      <c r="D47" s="1299">
        <v>135277.23499999999</v>
      </c>
      <c r="E47" s="1299">
        <v>20</v>
      </c>
      <c r="F47" s="1299">
        <v>2102587.2230000002</v>
      </c>
    </row>
    <row r="48" spans="1:6">
      <c r="A48" s="1298" t="s">
        <v>31</v>
      </c>
      <c r="B48" s="1298" t="s">
        <v>28</v>
      </c>
      <c r="C48" s="1299">
        <v>36</v>
      </c>
      <c r="D48" s="1299">
        <v>39710048.280000001</v>
      </c>
      <c r="E48" s="1299">
        <v>50</v>
      </c>
      <c r="F48" s="1299">
        <v>13853885.99</v>
      </c>
    </row>
    <row r="49" spans="1:6">
      <c r="A49" s="1298" t="s">
        <v>31</v>
      </c>
      <c r="B49" s="1298" t="s">
        <v>39</v>
      </c>
      <c r="C49" s="1299">
        <v>3</v>
      </c>
      <c r="D49" s="1299">
        <v>161837.95499999999</v>
      </c>
      <c r="E49" s="1299">
        <v>0</v>
      </c>
      <c r="F49" s="1299">
        <v>0</v>
      </c>
    </row>
    <row r="50" spans="1:6">
      <c r="A50" s="1298" t="s">
        <v>31</v>
      </c>
      <c r="B50" s="1298" t="s">
        <v>40</v>
      </c>
      <c r="C50" s="1299">
        <v>22</v>
      </c>
      <c r="D50" s="1299">
        <v>1701711.7879999999</v>
      </c>
      <c r="E50" s="1299">
        <v>31</v>
      </c>
      <c r="F50" s="1299">
        <v>1061448.4450000001</v>
      </c>
    </row>
    <row r="51" spans="1:6">
      <c r="A51" s="1298" t="s">
        <v>41</v>
      </c>
      <c r="B51" s="1298" t="s">
        <v>42</v>
      </c>
      <c r="C51" s="1299">
        <v>32</v>
      </c>
      <c r="D51" s="1299">
        <v>209779092.5</v>
      </c>
      <c r="E51" s="1299">
        <v>121</v>
      </c>
      <c r="F51" s="1299">
        <v>2783867.1579999998</v>
      </c>
    </row>
    <row r="52" spans="1:6">
      <c r="A52" s="1298" t="s">
        <v>41</v>
      </c>
      <c r="B52" s="1298" t="s">
        <v>28</v>
      </c>
      <c r="C52" s="1299">
        <v>8</v>
      </c>
      <c r="D52" s="1299">
        <v>469349.28399999999</v>
      </c>
      <c r="E52" s="1299">
        <v>7</v>
      </c>
      <c r="F52" s="1299">
        <v>95668.898000000001</v>
      </c>
    </row>
    <row r="53" spans="1:6">
      <c r="A53" s="1298" t="s">
        <v>43</v>
      </c>
      <c r="B53" s="1298" t="s">
        <v>44</v>
      </c>
      <c r="C53" s="1299">
        <v>410</v>
      </c>
      <c r="D53" s="1299">
        <v>9875480.0209999997</v>
      </c>
      <c r="E53" s="1299">
        <v>816</v>
      </c>
      <c r="F53" s="1299">
        <v>2977079.2680000002</v>
      </c>
    </row>
    <row r="54" spans="1:6">
      <c r="A54" s="1298" t="s">
        <v>45</v>
      </c>
      <c r="B54" s="1298" t="s">
        <v>46</v>
      </c>
      <c r="C54" s="1299">
        <v>0</v>
      </c>
      <c r="D54" s="1299">
        <v>0</v>
      </c>
      <c r="E54" s="1299">
        <v>2</v>
      </c>
      <c r="F54" s="1299">
        <v>2100285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114</v>
      </c>
      <c r="D57" s="1299">
        <v>6143466.1830000002</v>
      </c>
      <c r="E57" s="1299">
        <v>199</v>
      </c>
      <c r="F57" s="1299">
        <v>6148022.1950000003</v>
      </c>
    </row>
    <row r="58" spans="1:6">
      <c r="A58" s="1298" t="s">
        <v>48</v>
      </c>
      <c r="B58" s="1298" t="s">
        <v>50</v>
      </c>
      <c r="C58" s="1299">
        <v>127</v>
      </c>
      <c r="D58" s="1299">
        <v>9529161.3920000009</v>
      </c>
      <c r="E58" s="1299">
        <v>163</v>
      </c>
      <c r="F58" s="1299">
        <v>8278359.0839999998</v>
      </c>
    </row>
    <row r="59" spans="1:6">
      <c r="A59" s="1298" t="s">
        <v>48</v>
      </c>
      <c r="B59" s="1298" t="s">
        <v>51</v>
      </c>
      <c r="C59" s="1299">
        <v>352</v>
      </c>
      <c r="D59" s="1299">
        <v>15042271.109999999</v>
      </c>
      <c r="E59" s="1299">
        <v>575</v>
      </c>
      <c r="F59" s="1299">
        <v>21209999.489999998</v>
      </c>
    </row>
    <row r="60" spans="1:6">
      <c r="A60" s="1298" t="s">
        <v>48</v>
      </c>
      <c r="B60" s="1298" t="s">
        <v>52</v>
      </c>
      <c r="C60" s="1299">
        <v>165</v>
      </c>
      <c r="D60" s="1299">
        <v>9123583.1170000006</v>
      </c>
      <c r="E60" s="1299">
        <v>207</v>
      </c>
      <c r="F60" s="1299">
        <v>6291280.8729999997</v>
      </c>
    </row>
    <row r="61" spans="1:6">
      <c r="A61" s="1298" t="s">
        <v>48</v>
      </c>
      <c r="B61" s="1298" t="s">
        <v>53</v>
      </c>
      <c r="C61" s="1299">
        <v>462</v>
      </c>
      <c r="D61" s="1299">
        <v>22486382.379999999</v>
      </c>
      <c r="E61" s="1299">
        <v>999</v>
      </c>
      <c r="F61" s="1299">
        <v>15858775.73</v>
      </c>
    </row>
    <row r="62" spans="1:6">
      <c r="A62" s="1298" t="s">
        <v>48</v>
      </c>
      <c r="B62" s="1298" t="s">
        <v>54</v>
      </c>
      <c r="C62" s="1299">
        <v>22</v>
      </c>
      <c r="D62" s="1299">
        <v>4510677.6289999997</v>
      </c>
      <c r="E62" s="1299">
        <v>25</v>
      </c>
      <c r="F62" s="1299">
        <v>1242556.746</v>
      </c>
    </row>
    <row r="63" spans="1:6">
      <c r="A63" s="1298" t="s">
        <v>48</v>
      </c>
      <c r="B63" s="1298" t="s">
        <v>28</v>
      </c>
      <c r="C63" s="1299">
        <v>94</v>
      </c>
      <c r="D63" s="1299">
        <v>8930178.9649999999</v>
      </c>
      <c r="E63" s="1299">
        <v>81</v>
      </c>
      <c r="F63" s="1299">
        <v>2693844.554</v>
      </c>
    </row>
    <row r="64" spans="1:6">
      <c r="A64" s="1298" t="s">
        <v>55</v>
      </c>
      <c r="B64" s="1298" t="s">
        <v>56</v>
      </c>
      <c r="C64" s="1299">
        <v>0</v>
      </c>
      <c r="D64" s="1299">
        <v>0</v>
      </c>
      <c r="E64" s="1299">
        <v>0</v>
      </c>
      <c r="F64" s="1299">
        <v>0</v>
      </c>
    </row>
    <row r="65" spans="1:6">
      <c r="A65" s="1298" t="s">
        <v>55</v>
      </c>
      <c r="B65" s="1298" t="s">
        <v>28</v>
      </c>
      <c r="C65" s="1299">
        <v>5</v>
      </c>
      <c r="D65" s="1299">
        <v>639508.32700000005</v>
      </c>
      <c r="E65" s="1299">
        <v>3</v>
      </c>
      <c r="F65" s="1299">
        <v>41077.258999999998</v>
      </c>
    </row>
    <row r="66" spans="1:6">
      <c r="A66" s="1298" t="s">
        <v>55</v>
      </c>
      <c r="B66" s="1298" t="s">
        <v>57</v>
      </c>
      <c r="C66" s="1299">
        <v>0</v>
      </c>
      <c r="D66" s="1299">
        <v>0</v>
      </c>
      <c r="E66" s="1299">
        <v>11</v>
      </c>
      <c r="F66" s="1299">
        <v>372562.70400000003</v>
      </c>
    </row>
    <row r="67" spans="1:6">
      <c r="A67" s="1300" t="s">
        <v>55</v>
      </c>
      <c r="B67" s="1300" t="s">
        <v>58</v>
      </c>
      <c r="C67" s="1299">
        <v>0</v>
      </c>
      <c r="D67" s="1299">
        <v>0</v>
      </c>
      <c r="E67" s="1299">
        <v>0</v>
      </c>
      <c r="F67" s="1299">
        <v>0</v>
      </c>
    </row>
    <row r="68" spans="1:6">
      <c r="A68" s="1293" t="s">
        <v>55</v>
      </c>
      <c r="B68" s="1293" t="s">
        <v>59</v>
      </c>
      <c r="C68" s="1302">
        <v>13</v>
      </c>
      <c r="D68" s="1302">
        <v>341921.66399999999</v>
      </c>
      <c r="E68" s="1302">
        <v>29</v>
      </c>
      <c r="F68" s="1302">
        <v>682350.46900000004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163813402</v>
      </c>
      <c r="E73" s="450"/>
      <c r="F73" s="330"/>
    </row>
    <row r="74" spans="1:6">
      <c r="A74" s="1298" t="s">
        <v>63</v>
      </c>
      <c r="B74" s="1298" t="s">
        <v>647</v>
      </c>
      <c r="C74" s="1312" t="s">
        <v>649</v>
      </c>
      <c r="D74" s="1313">
        <v>19274718.5</v>
      </c>
      <c r="E74" s="450"/>
      <c r="F74" s="330"/>
    </row>
    <row r="75" spans="1:6">
      <c r="A75" s="1298" t="s">
        <v>64</v>
      </c>
      <c r="B75" s="1298" t="s">
        <v>646</v>
      </c>
      <c r="C75" s="1312" t="s">
        <v>650</v>
      </c>
      <c r="D75" s="1313">
        <v>14978688</v>
      </c>
      <c r="E75" s="450"/>
      <c r="F75" s="330"/>
    </row>
    <row r="76" spans="1:6">
      <c r="A76" s="1298" t="s">
        <v>64</v>
      </c>
      <c r="B76" s="1298" t="s">
        <v>647</v>
      </c>
      <c r="C76" s="1312" t="s">
        <v>651</v>
      </c>
      <c r="D76" s="1313">
        <v>443372.5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1244549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4267.6052199843425</v>
      </c>
      <c r="C91" s="330"/>
      <c r="D91" s="330"/>
      <c r="E91" s="330"/>
      <c r="F91" s="330"/>
    </row>
    <row r="92" spans="1:6">
      <c r="A92" s="1293" t="s">
        <v>68</v>
      </c>
      <c r="B92" s="1294">
        <v>6083.5609962839089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8975</v>
      </c>
      <c r="C97" s="330"/>
      <c r="D97" s="330"/>
      <c r="E97" s="330"/>
      <c r="F97" s="330"/>
    </row>
    <row r="98" spans="1:6">
      <c r="A98" s="1298" t="s">
        <v>71</v>
      </c>
      <c r="B98" s="1299">
        <v>10</v>
      </c>
      <c r="C98" s="330"/>
      <c r="D98" s="330"/>
      <c r="E98" s="330"/>
      <c r="F98" s="330"/>
    </row>
    <row r="99" spans="1:6">
      <c r="A99" s="1298" t="s">
        <v>72</v>
      </c>
      <c r="B99" s="1299">
        <v>93</v>
      </c>
      <c r="C99" s="330"/>
      <c r="D99" s="330"/>
      <c r="E99" s="330"/>
      <c r="F99" s="330"/>
    </row>
    <row r="100" spans="1:6">
      <c r="A100" s="1298" t="s">
        <v>73</v>
      </c>
      <c r="B100" s="1299">
        <v>1324</v>
      </c>
      <c r="C100" s="330"/>
      <c r="D100" s="330"/>
      <c r="E100" s="330"/>
      <c r="F100" s="330"/>
    </row>
    <row r="101" spans="1:6">
      <c r="A101" s="1298" t="s">
        <v>74</v>
      </c>
      <c r="B101" s="1299">
        <v>71</v>
      </c>
      <c r="C101" s="330"/>
      <c r="D101" s="330"/>
      <c r="E101" s="330"/>
      <c r="F101" s="330"/>
    </row>
    <row r="102" spans="1:6">
      <c r="A102" s="1298" t="s">
        <v>75</v>
      </c>
      <c r="B102" s="1299">
        <v>164</v>
      </c>
      <c r="C102" s="330"/>
      <c r="D102" s="330"/>
      <c r="E102" s="330"/>
      <c r="F102" s="330"/>
    </row>
    <row r="103" spans="1:6">
      <c r="A103" s="1298" t="s">
        <v>76</v>
      </c>
      <c r="B103" s="1299">
        <v>319</v>
      </c>
      <c r="C103" s="330"/>
      <c r="D103" s="330"/>
      <c r="E103" s="330"/>
      <c r="F103" s="330"/>
    </row>
    <row r="104" spans="1:6">
      <c r="A104" s="1298" t="s">
        <v>77</v>
      </c>
      <c r="B104" s="1299">
        <v>2496</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5</v>
      </c>
      <c r="C121" s="1299">
        <v>0</v>
      </c>
      <c r="D121" s="330"/>
      <c r="E121" s="330"/>
      <c r="F121" s="330"/>
    </row>
    <row r="122" spans="1:6">
      <c r="A122" s="1298" t="s">
        <v>86</v>
      </c>
      <c r="B122" s="1299">
        <v>0</v>
      </c>
      <c r="C122" s="1299">
        <v>0</v>
      </c>
      <c r="D122" s="330"/>
      <c r="E122" s="330"/>
      <c r="F122" s="330"/>
    </row>
    <row r="123" spans="1:6">
      <c r="A123" s="1298" t="s">
        <v>87</v>
      </c>
      <c r="B123" s="1299">
        <v>41</v>
      </c>
      <c r="C123" s="1299">
        <v>66</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154</v>
      </c>
      <c r="C129" s="330"/>
      <c r="D129" s="330"/>
      <c r="E129" s="330"/>
      <c r="F129" s="330"/>
    </row>
    <row r="130" spans="1:6">
      <c r="A130" s="1298" t="s">
        <v>294</v>
      </c>
      <c r="B130" s="1299">
        <v>4</v>
      </c>
      <c r="C130" s="330"/>
      <c r="D130" s="330"/>
      <c r="E130" s="330"/>
      <c r="F130" s="330"/>
    </row>
    <row r="131" spans="1:6">
      <c r="A131" s="1298" t="s">
        <v>295</v>
      </c>
      <c r="B131" s="1299">
        <v>5</v>
      </c>
      <c r="C131" s="330"/>
      <c r="D131" s="330"/>
      <c r="E131" s="330"/>
      <c r="F131" s="330"/>
    </row>
    <row r="132" spans="1:6">
      <c r="A132" s="1293" t="s">
        <v>296</v>
      </c>
      <c r="B132" s="1294">
        <v>42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186114.31529495466</v>
      </c>
      <c r="C3" s="43" t="s">
        <v>169</v>
      </c>
      <c r="D3" s="43"/>
      <c r="E3" s="154"/>
      <c r="F3" s="43"/>
      <c r="G3" s="43"/>
      <c r="H3" s="43"/>
      <c r="I3" s="43"/>
      <c r="J3" s="43"/>
      <c r="K3" s="96"/>
    </row>
    <row r="4" spans="1:11">
      <c r="A4" s="358" t="s">
        <v>170</v>
      </c>
      <c r="B4" s="49">
        <f>IF(ISERROR('SEAP template'!B78+'SEAP template'!C78),0,'SEAP template'!B78+'SEAP template'!C78)</f>
        <v>95653.166216268233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16205.441543485975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0.19448990494100346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22368.021670799742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104013.64285714286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0.21504892104895332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2100.2849999999999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2100.2849999999999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0.19448990494100346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408.48422999901544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53276.249479999999</v>
      </c>
      <c r="C5" s="17">
        <f>IF(ISERROR('Eigen informatie GS &amp; warmtenet'!B59),0,'Eigen informatie GS &amp; warmtenet'!B59)</f>
        <v>0</v>
      </c>
      <c r="D5" s="30">
        <f>(SUM(HH_hh_gas_kWh,HH_rest_gas_kWh)/1000)*0.902</f>
        <v>166325.01556880001</v>
      </c>
      <c r="E5" s="17">
        <f>B46*B57</f>
        <v>9382.7260282349016</v>
      </c>
      <c r="F5" s="17">
        <f>B51*B62</f>
        <v>0</v>
      </c>
      <c r="G5" s="18"/>
      <c r="H5" s="17"/>
      <c r="I5" s="17"/>
      <c r="J5" s="17">
        <f>B50*B61+C50*C61</f>
        <v>0</v>
      </c>
      <c r="K5" s="17"/>
      <c r="L5" s="17"/>
      <c r="M5" s="17"/>
      <c r="N5" s="17">
        <f>B48*B59+C48*C59</f>
        <v>8937.5221070798088</v>
      </c>
      <c r="O5" s="17">
        <f>B69*B70*B71</f>
        <v>436.47080826514696</v>
      </c>
      <c r="P5" s="17">
        <f>B77*B78*B79/1000-B77*B78*B79/1000/B80</f>
        <v>874.31862253785675</v>
      </c>
    </row>
    <row r="6" spans="1:16">
      <c r="A6" s="16" t="s">
        <v>611</v>
      </c>
      <c r="B6" s="783">
        <f>kWh_PV_kleiner_dan_10kW</f>
        <v>4267.6052199843425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57543.854699984338</v>
      </c>
      <c r="C8" s="21">
        <f>C5</f>
        <v>0</v>
      </c>
      <c r="D8" s="21">
        <f>D5</f>
        <v>166325.01556880001</v>
      </c>
      <c r="E8" s="21">
        <f>E5</f>
        <v>9382.7260282349016</v>
      </c>
      <c r="F8" s="21">
        <f>F5</f>
        <v>0</v>
      </c>
      <c r="G8" s="21"/>
      <c r="H8" s="21"/>
      <c r="I8" s="21"/>
      <c r="J8" s="21">
        <f>J5</f>
        <v>0</v>
      </c>
      <c r="K8" s="21"/>
      <c r="L8" s="21">
        <f>L5</f>
        <v>0</v>
      </c>
      <c r="M8" s="21">
        <f>M5</f>
        <v>0</v>
      </c>
      <c r="N8" s="21">
        <f>N5</f>
        <v>8937.5221070798088</v>
      </c>
      <c r="O8" s="21">
        <f>O5</f>
        <v>436.47080826514696</v>
      </c>
      <c r="P8" s="21">
        <f>P5</f>
        <v>874.31862253785675</v>
      </c>
    </row>
    <row r="9" spans="1:16">
      <c r="B9" s="19"/>
      <c r="C9" s="19"/>
      <c r="D9" s="258"/>
      <c r="E9" s="19"/>
      <c r="F9" s="19"/>
      <c r="G9" s="19"/>
      <c r="H9" s="19"/>
      <c r="I9" s="19"/>
      <c r="J9" s="19"/>
      <c r="K9" s="19"/>
      <c r="L9" s="19"/>
      <c r="M9" s="19"/>
      <c r="N9" s="19"/>
      <c r="O9" s="19"/>
      <c r="P9" s="19"/>
    </row>
    <row r="10" spans="1:16">
      <c r="A10" s="24" t="s">
        <v>213</v>
      </c>
      <c r="B10" s="25">
        <f ca="1">'EF ele_warmte'!B12</f>
        <v>0.19448990494100346</v>
      </c>
      <c r="C10" s="25">
        <f ca="1">'EF ele_warmte'!B22</f>
        <v>0.21504892104895332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11191.69883053887</v>
      </c>
      <c r="C12" s="23">
        <f ca="1">C10*C8</f>
        <v>0</v>
      </c>
      <c r="D12" s="23">
        <f>D8*D10</f>
        <v>33597.653144897602</v>
      </c>
      <c r="E12" s="23">
        <f>E10*E8</f>
        <v>2129.8788084093226</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8975</v>
      </c>
      <c r="C18" s="166" t="s">
        <v>110</v>
      </c>
      <c r="D18" s="228"/>
      <c r="E18" s="15"/>
    </row>
    <row r="19" spans="1:7">
      <c r="A19" s="171" t="s">
        <v>71</v>
      </c>
      <c r="B19" s="37">
        <f>aantalw2001_ander</f>
        <v>10</v>
      </c>
      <c r="C19" s="166" t="s">
        <v>110</v>
      </c>
      <c r="D19" s="229"/>
      <c r="E19" s="15"/>
    </row>
    <row r="20" spans="1:7">
      <c r="A20" s="171" t="s">
        <v>72</v>
      </c>
      <c r="B20" s="37">
        <f>aantalw2001_propaan</f>
        <v>93</v>
      </c>
      <c r="C20" s="167">
        <f>IF(ISERROR(B20/SUM($B$20,$B$21,$B$22)*100),0,B20/SUM($B$20,$B$21,$B$22)*100)</f>
        <v>6.25</v>
      </c>
      <c r="D20" s="229"/>
      <c r="E20" s="15"/>
    </row>
    <row r="21" spans="1:7">
      <c r="A21" s="171" t="s">
        <v>73</v>
      </c>
      <c r="B21" s="37">
        <f>aantalw2001_elektriciteit</f>
        <v>1324</v>
      </c>
      <c r="C21" s="167">
        <f>IF(ISERROR(B21/SUM($B$20,$B$21,$B$22)*100),0,B21/SUM($B$20,$B$21,$B$22)*100)</f>
        <v>88.978494623655919</v>
      </c>
      <c r="D21" s="229"/>
      <c r="E21" s="15"/>
    </row>
    <row r="22" spans="1:7">
      <c r="A22" s="171" t="s">
        <v>74</v>
      </c>
      <c r="B22" s="37">
        <f>aantalw2001_hout</f>
        <v>71</v>
      </c>
      <c r="C22" s="167">
        <f>IF(ISERROR(B22/SUM($B$20,$B$21,$B$22)*100),0,B22/SUM($B$20,$B$21,$B$22)*100)</f>
        <v>4.771505376344086</v>
      </c>
      <c r="D22" s="229"/>
      <c r="E22" s="15"/>
    </row>
    <row r="23" spans="1:7">
      <c r="A23" s="171" t="s">
        <v>75</v>
      </c>
      <c r="B23" s="37">
        <f>aantalw2001_niet_gespec</f>
        <v>164</v>
      </c>
      <c r="C23" s="166" t="s">
        <v>110</v>
      </c>
      <c r="D23" s="228"/>
      <c r="E23" s="15"/>
    </row>
    <row r="24" spans="1:7">
      <c r="A24" s="171" t="s">
        <v>76</v>
      </c>
      <c r="B24" s="37">
        <f>aantalw2001_steenkool</f>
        <v>319</v>
      </c>
      <c r="C24" s="166" t="s">
        <v>110</v>
      </c>
      <c r="D24" s="229"/>
      <c r="E24" s="15"/>
    </row>
    <row r="25" spans="1:7">
      <c r="A25" s="171" t="s">
        <v>77</v>
      </c>
      <c r="B25" s="37">
        <f>aantalw2001_stookolie</f>
        <v>2496</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15692</v>
      </c>
      <c r="C28" s="36"/>
      <c r="D28" s="228"/>
    </row>
    <row r="29" spans="1:7" s="15" customFormat="1">
      <c r="A29" s="230" t="s">
        <v>819</v>
      </c>
      <c r="B29" s="37">
        <f>SUM(HH_hh_gas_aantal,HH_rest_gas_aantal)</f>
        <v>12846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12846</v>
      </c>
      <c r="C32" s="167">
        <f>IF(ISERROR(B32/SUM($B$32,$B$34,$B$35,$B$36,$B$38,$B$39)*100),0,B32/SUM($B$32,$B$34,$B$35,$B$36,$B$38,$B$39)*100)</f>
        <v>82.298673842014225</v>
      </c>
      <c r="D32" s="233"/>
      <c r="G32" s="15"/>
    </row>
    <row r="33" spans="1:7">
      <c r="A33" s="171" t="s">
        <v>71</v>
      </c>
      <c r="B33" s="34" t="s">
        <v>110</v>
      </c>
      <c r="C33" s="167"/>
      <c r="D33" s="233"/>
      <c r="G33" s="15"/>
    </row>
    <row r="34" spans="1:7">
      <c r="A34" s="171" t="s">
        <v>72</v>
      </c>
      <c r="B34" s="33">
        <f>IF((($B$28-$B$32-$B$39-$B$77-$B$38)*C20/100)&lt;0,0,($B$28-$B$32-$B$39-$B$77-$B$38)*C20/100)</f>
        <v>172.6875</v>
      </c>
      <c r="C34" s="167">
        <f>IF(ISERROR(B34/SUM($B$32,$B$34,$B$35,$B$36,$B$38,$B$39)*100),0,B34/SUM($B$32,$B$34,$B$35,$B$36,$B$38,$B$39)*100)</f>
        <v>1.1063328848741112</v>
      </c>
      <c r="D34" s="233"/>
      <c r="G34" s="15"/>
    </row>
    <row r="35" spans="1:7">
      <c r="A35" s="171" t="s">
        <v>73</v>
      </c>
      <c r="B35" s="33">
        <f>IF((($B$28-$B$32-$B$39-$B$77-$B$38)*C21/100)&lt;0,0,($B$28-$B$32-$B$39-$B$77-$B$38)*C21/100)</f>
        <v>2458.4758064516132</v>
      </c>
      <c r="C35" s="167">
        <f>IF(ISERROR(B35/SUM($B$32,$B$34,$B$35,$B$36,$B$38,$B$39)*100),0,B35/SUM($B$32,$B$34,$B$35,$B$36,$B$38,$B$39)*100)</f>
        <v>15.750373543799173</v>
      </c>
      <c r="D35" s="233"/>
      <c r="G35" s="15"/>
    </row>
    <row r="36" spans="1:7">
      <c r="A36" s="171" t="s">
        <v>74</v>
      </c>
      <c r="B36" s="33">
        <f>IF((($B$28-$B$32-$B$39-$B$77-$B$38)*C22/100)&lt;0,0,($B$28-$B$32-$B$39-$B$77-$B$38)*C22/100)</f>
        <v>131.8366935483871</v>
      </c>
      <c r="C36" s="167">
        <f>IF(ISERROR(B36/SUM($B$32,$B$34,$B$35,$B$36,$B$38,$B$39)*100),0,B36/SUM($B$32,$B$34,$B$35,$B$36,$B$38,$B$39)*100)</f>
        <v>0.84461972931249352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12846</v>
      </c>
      <c r="C44" s="34" t="s">
        <v>110</v>
      </c>
      <c r="D44" s="174"/>
    </row>
    <row r="45" spans="1:7">
      <c r="A45" s="171" t="s">
        <v>71</v>
      </c>
      <c r="B45" s="33" t="str">
        <f t="shared" si="0"/>
        <v>-</v>
      </c>
      <c r="C45" s="34" t="s">
        <v>110</v>
      </c>
      <c r="D45" s="174"/>
    </row>
    <row r="46" spans="1:7">
      <c r="A46" s="171" t="s">
        <v>72</v>
      </c>
      <c r="B46" s="33">
        <f t="shared" si="0"/>
        <v>172.6875</v>
      </c>
      <c r="C46" s="34" t="s">
        <v>110</v>
      </c>
      <c r="D46" s="174"/>
    </row>
    <row r="47" spans="1:7">
      <c r="A47" s="171" t="s">
        <v>73</v>
      </c>
      <c r="B47" s="33">
        <f t="shared" si="0"/>
        <v>2458.4758064516132</v>
      </c>
      <c r="C47" s="34" t="s">
        <v>110</v>
      </c>
      <c r="D47" s="174"/>
    </row>
    <row r="48" spans="1:7">
      <c r="A48" s="171" t="s">
        <v>74</v>
      </c>
      <c r="B48" s="33">
        <f t="shared" si="0"/>
        <v>131.8366935483871</v>
      </c>
      <c r="C48" s="33">
        <f>B48*10</f>
        <v>1318.366935483871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61722.838672000005</v>
      </c>
      <c r="C5" s="17">
        <f>IF(ISERROR('Eigen informatie GS &amp; warmtenet'!B60),0,'Eigen informatie GS &amp; warmtenet'!B60)</f>
        <v>0</v>
      </c>
      <c r="D5" s="30">
        <f>SUM(D6:D12)</f>
        <v>68340.680139952005</v>
      </c>
      <c r="E5" s="17">
        <f>SUM(E6:E12)</f>
        <v>855.83529685924714</v>
      </c>
      <c r="F5" s="17">
        <f>SUM(F6:F12)</f>
        <v>6813.6321252249963</v>
      </c>
      <c r="G5" s="18"/>
      <c r="H5" s="17"/>
      <c r="I5" s="17"/>
      <c r="J5" s="17">
        <f>SUM(J6:J12)</f>
        <v>0.10953177117746965</v>
      </c>
      <c r="K5" s="17"/>
      <c r="L5" s="17"/>
      <c r="M5" s="17"/>
      <c r="N5" s="17">
        <f>SUM(N6:N12)</f>
        <v>4356.3534322178712</v>
      </c>
      <c r="O5" s="17">
        <f>B38*B39*B40</f>
        <v>19.589043063364617</v>
      </c>
      <c r="P5" s="17">
        <f>B46*B47*B48/1000-B46*B47*B48/1000/B49</f>
        <v>525.39138306495022</v>
      </c>
      <c r="R5" s="32"/>
    </row>
    <row r="6" spans="1:18">
      <c r="A6" s="32" t="s">
        <v>53</v>
      </c>
      <c r="B6" s="37">
        <f>B26</f>
        <v>15858.775730000001</v>
      </c>
      <c r="C6" s="33"/>
      <c r="D6" s="37">
        <f>IF(ISERROR(TER_kantoor_gas_kWh/1000),0,TER_kantoor_gas_kWh/1000)*0.902</f>
        <v>20282.716906760001</v>
      </c>
      <c r="E6" s="33">
        <f>$C$26*'E Balans VL '!I12/100/3.6*1000000</f>
        <v>127.61048357522422</v>
      </c>
      <c r="F6" s="33">
        <f>$C$26*('E Balans VL '!L12+'E Balans VL '!N12)/100/3.6*1000000</f>
        <v>1938.9021619720402</v>
      </c>
      <c r="G6" s="34"/>
      <c r="H6" s="33"/>
      <c r="I6" s="33"/>
      <c r="J6" s="33">
        <f>$C$26*('E Balans VL '!D12+'E Balans VL '!E12)/100/3.6*1000000</f>
        <v>0</v>
      </c>
      <c r="K6" s="33"/>
      <c r="L6" s="33"/>
      <c r="M6" s="33"/>
      <c r="N6" s="33">
        <f>$C$26*'E Balans VL '!Y12/100/3.6*1000000</f>
        <v>8.5233109946971304</v>
      </c>
      <c r="O6" s="33"/>
      <c r="P6" s="33"/>
      <c r="R6" s="32"/>
    </row>
    <row r="7" spans="1:18">
      <c r="A7" s="32" t="s">
        <v>52</v>
      </c>
      <c r="B7" s="37">
        <f t="shared" ref="B7:B12" si="0">B27</f>
        <v>6291.2808729999997</v>
      </c>
      <c r="C7" s="33"/>
      <c r="D7" s="37">
        <f>IF(ISERROR(TER_horeca_gas_kWh/1000),0,TER_horeca_gas_kWh/1000)*0.902</f>
        <v>8229.4719715339997</v>
      </c>
      <c r="E7" s="33">
        <f>$C$27*'E Balans VL '!I9/100/3.6*1000000</f>
        <v>67.552907891062745</v>
      </c>
      <c r="F7" s="33">
        <f>$C$27*('E Balans VL '!L9+'E Balans VL '!N9)/100/3.6*1000000</f>
        <v>756.6885336852871</v>
      </c>
      <c r="G7" s="34"/>
      <c r="H7" s="33"/>
      <c r="I7" s="33"/>
      <c r="J7" s="33">
        <f>$C$27*('E Balans VL '!D9+'E Balans VL '!E9)/100/3.6*1000000</f>
        <v>0</v>
      </c>
      <c r="K7" s="33"/>
      <c r="L7" s="33"/>
      <c r="M7" s="33"/>
      <c r="N7" s="33">
        <f>$C$27*'E Balans VL '!Y9/100/3.6*1000000</f>
        <v>0.94319051232233453</v>
      </c>
      <c r="O7" s="33"/>
      <c r="P7" s="33"/>
      <c r="R7" s="32"/>
    </row>
    <row r="8" spans="1:18">
      <c r="A8" s="6" t="s">
        <v>51</v>
      </c>
      <c r="B8" s="37">
        <f t="shared" si="0"/>
        <v>21209.999489999998</v>
      </c>
      <c r="C8" s="33"/>
      <c r="D8" s="37">
        <f>IF(ISERROR(TER_handel_gas_kWh/1000),0,TER_handel_gas_kWh/1000)*0.902</f>
        <v>13568.12854122</v>
      </c>
      <c r="E8" s="33">
        <f>$C$28*'E Balans VL '!I13/100/3.6*1000000</f>
        <v>569.21145252807037</v>
      </c>
      <c r="F8" s="33">
        <f>$C$28*('E Balans VL '!L13+'E Balans VL '!N13)/100/3.6*1000000</f>
        <v>2024.0876603860079</v>
      </c>
      <c r="G8" s="34"/>
      <c r="H8" s="33"/>
      <c r="I8" s="33"/>
      <c r="J8" s="33">
        <f>$C$28*('E Balans VL '!D13+'E Balans VL '!E13)/100/3.6*1000000</f>
        <v>0</v>
      </c>
      <c r="K8" s="33"/>
      <c r="L8" s="33"/>
      <c r="M8" s="33"/>
      <c r="N8" s="33">
        <f>$C$28*'E Balans VL '!Y13/100/3.6*1000000</f>
        <v>8.4078849637062447</v>
      </c>
      <c r="O8" s="33"/>
      <c r="P8" s="33"/>
      <c r="R8" s="32"/>
    </row>
    <row r="9" spans="1:18">
      <c r="A9" s="32" t="s">
        <v>50</v>
      </c>
      <c r="B9" s="37">
        <f t="shared" si="0"/>
        <v>8278.3590839999997</v>
      </c>
      <c r="C9" s="33"/>
      <c r="D9" s="37">
        <f>IF(ISERROR(TER_gezond_gas_kWh/1000),0,TER_gezond_gas_kWh/1000)*0.902</f>
        <v>8595.303575584001</v>
      </c>
      <c r="E9" s="33">
        <f>$C$29*'E Balans VL '!I10/100/3.6*1000000</f>
        <v>15.516340474184805</v>
      </c>
      <c r="F9" s="33">
        <f>$C$29*('E Balans VL '!L10+'E Balans VL '!N10)/100/3.6*1000000</f>
        <v>680.5566509112806</v>
      </c>
      <c r="G9" s="34"/>
      <c r="H9" s="33"/>
      <c r="I9" s="33"/>
      <c r="J9" s="33">
        <f>$C$29*('E Balans VL '!D10+'E Balans VL '!E10)/100/3.6*1000000</f>
        <v>0</v>
      </c>
      <c r="K9" s="33"/>
      <c r="L9" s="33"/>
      <c r="M9" s="33"/>
      <c r="N9" s="33">
        <f>$C$29*'E Balans VL '!Y10/100/3.6*1000000</f>
        <v>64.411810216885385</v>
      </c>
      <c r="O9" s="33"/>
      <c r="P9" s="33"/>
      <c r="R9" s="32"/>
    </row>
    <row r="10" spans="1:18">
      <c r="A10" s="32" t="s">
        <v>49</v>
      </c>
      <c r="B10" s="37">
        <f t="shared" si="0"/>
        <v>6148.0221950000005</v>
      </c>
      <c r="C10" s="33"/>
      <c r="D10" s="37">
        <f>IF(ISERROR(TER_ander_gas_kWh/1000),0,TER_ander_gas_kWh/1000)*0.902</f>
        <v>5541.4064970660002</v>
      </c>
      <c r="E10" s="33">
        <f>$C$30*'E Balans VL '!I14/100/3.6*1000000</f>
        <v>9.4772385105388324</v>
      </c>
      <c r="F10" s="33">
        <f>$C$30*('E Balans VL '!L14+'E Balans VL '!N14)/100/3.6*1000000</f>
        <v>954.48214302859003</v>
      </c>
      <c r="G10" s="34"/>
      <c r="H10" s="33"/>
      <c r="I10" s="33"/>
      <c r="J10" s="33">
        <f>$C$30*('E Balans VL '!D14+'E Balans VL '!E14)/100/3.6*1000000</f>
        <v>0.10436916061680176</v>
      </c>
      <c r="K10" s="33"/>
      <c r="L10" s="33"/>
      <c r="M10" s="33"/>
      <c r="N10" s="33">
        <f>$C$30*'E Balans VL '!Y14/100/3.6*1000000</f>
        <v>4067.3344415797264</v>
      </c>
      <c r="O10" s="33"/>
      <c r="P10" s="33"/>
      <c r="R10" s="32"/>
    </row>
    <row r="11" spans="1:18">
      <c r="A11" s="32" t="s">
        <v>54</v>
      </c>
      <c r="B11" s="37">
        <f t="shared" si="0"/>
        <v>1242.556746</v>
      </c>
      <c r="C11" s="33"/>
      <c r="D11" s="37">
        <f>IF(ISERROR(TER_onderwijs_gas_kWh/1000),0,TER_onderwijs_gas_kWh/1000)*0.902</f>
        <v>4068.6312213579999</v>
      </c>
      <c r="E11" s="33">
        <f>$C$31*'E Balans VL '!I11/100/3.6*1000000</f>
        <v>31.693683755696821</v>
      </c>
      <c r="F11" s="33">
        <f>$C$31*('E Balans VL '!L11+'E Balans VL '!N11)/100/3.6*1000000</f>
        <v>149.42914409596938</v>
      </c>
      <c r="G11" s="34"/>
      <c r="H11" s="33"/>
      <c r="I11" s="33"/>
      <c r="J11" s="33">
        <f>$C$31*('E Balans VL '!D11+'E Balans VL '!E11)/100/3.6*1000000</f>
        <v>0</v>
      </c>
      <c r="K11" s="33"/>
      <c r="L11" s="33"/>
      <c r="M11" s="33"/>
      <c r="N11" s="33">
        <f>$C$31*'E Balans VL '!Y11/100/3.6*1000000</f>
        <v>2.7634158844581513</v>
      </c>
      <c r="O11" s="33"/>
      <c r="P11" s="33"/>
      <c r="R11" s="32"/>
    </row>
    <row r="12" spans="1:18">
      <c r="A12" s="32" t="s">
        <v>259</v>
      </c>
      <c r="B12" s="37">
        <f t="shared" si="0"/>
        <v>2693.8445539999998</v>
      </c>
      <c r="C12" s="33"/>
      <c r="D12" s="37">
        <f>IF(ISERROR(TER_rest_gas_kWh/1000),0,TER_rest_gas_kWh/1000)*0.902</f>
        <v>8055.0214264299993</v>
      </c>
      <c r="E12" s="33">
        <f>$C$32*'E Balans VL '!I8/100/3.6*1000000</f>
        <v>34.773190124469288</v>
      </c>
      <c r="F12" s="33">
        <f>$C$32*('E Balans VL '!L8+'E Balans VL '!N8)/100/3.6*1000000</f>
        <v>309.48583114582124</v>
      </c>
      <c r="G12" s="34"/>
      <c r="H12" s="33"/>
      <c r="I12" s="33"/>
      <c r="J12" s="33">
        <f>$C$32*('E Balans VL '!D8+'E Balans VL '!E8)/100/3.6*1000000</f>
        <v>5.1626105606678782E-3</v>
      </c>
      <c r="K12" s="33"/>
      <c r="L12" s="33"/>
      <c r="M12" s="33"/>
      <c r="N12" s="33">
        <f>$C$32*'E Balans VL '!Y8/100/3.6*1000000</f>
        <v>203.96937806607539</v>
      </c>
      <c r="O12" s="33"/>
      <c r="P12" s="33"/>
      <c r="R12" s="32"/>
    </row>
    <row r="13" spans="1:18">
      <c r="A13" s="16" t="s">
        <v>478</v>
      </c>
      <c r="B13" s="247">
        <f ca="1">'lokale energieproductie'!N47+'lokale energieproductie'!N40</f>
        <v>10575</v>
      </c>
      <c r="C13" s="247">
        <f ca="1">'lokale energieproductie'!O47+'lokale energieproductie'!O40</f>
        <v>900.00000000000023</v>
      </c>
      <c r="D13" s="308">
        <f ca="1">('lokale energieproductie'!P40+'lokale energieproductie'!P47)*(-1)</f>
        <v>-1800.0000000000005</v>
      </c>
      <c r="E13" s="248"/>
      <c r="F13" s="308">
        <f ca="1">('lokale energieproductie'!S40+'lokale energieproductie'!S47)*(-1)</f>
        <v>0</v>
      </c>
      <c r="G13" s="249"/>
      <c r="H13" s="248"/>
      <c r="I13" s="248"/>
      <c r="J13" s="248"/>
      <c r="K13" s="248"/>
      <c r="L13" s="308">
        <f ca="1">('lokale energieproductie'!U40+'lokale energieproductie'!T40+'lokale energieproductie'!U47+'lokale energieproductie'!T47)*(-1)</f>
        <v>0</v>
      </c>
      <c r="M13" s="248"/>
      <c r="N13" s="308">
        <f ca="1">('lokale energieproductie'!Q40+'lokale energieproductie'!R40+'lokale energieproductie'!V40+'lokale energieproductie'!Q47+'lokale energieproductie'!R47+'lokale energieproductie'!V47)*(-1)</f>
        <v>-28414.285714285717</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72297.838672000013</v>
      </c>
      <c r="C16" s="21">
        <f t="shared" ca="1" si="1"/>
        <v>900.00000000000023</v>
      </c>
      <c r="D16" s="21">
        <f t="shared" ca="1" si="1"/>
        <v>66540.680139952005</v>
      </c>
      <c r="E16" s="21">
        <f t="shared" si="1"/>
        <v>855.83529685924714</v>
      </c>
      <c r="F16" s="21">
        <f t="shared" ca="1" si="1"/>
        <v>6813.6321252249963</v>
      </c>
      <c r="G16" s="21">
        <f t="shared" si="1"/>
        <v>0</v>
      </c>
      <c r="H16" s="21">
        <f t="shared" si="1"/>
        <v>0</v>
      </c>
      <c r="I16" s="21">
        <f t="shared" si="1"/>
        <v>0</v>
      </c>
      <c r="J16" s="21">
        <f t="shared" si="1"/>
        <v>0.10953177117746965</v>
      </c>
      <c r="K16" s="21">
        <f t="shared" si="1"/>
        <v>0</v>
      </c>
      <c r="L16" s="21">
        <f t="shared" ca="1" si="1"/>
        <v>0</v>
      </c>
      <c r="M16" s="21">
        <f t="shared" si="1"/>
        <v>0</v>
      </c>
      <c r="N16" s="21">
        <f t="shared" ca="1" si="1"/>
        <v>0</v>
      </c>
      <c r="O16" s="21">
        <f>O5</f>
        <v>19.589043063364617</v>
      </c>
      <c r="P16" s="21">
        <f>P5</f>
        <v>525.39138306495022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0.19448990494100346</v>
      </c>
      <c r="C18" s="25">
        <f ca="1">'EF ele_warmte'!B22</f>
        <v>0.21504892104895332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14061.199770757286</v>
      </c>
      <c r="C20" s="23">
        <f t="shared" ref="C20:P20" ca="1" si="2">C16*C18</f>
        <v>193.54402894405803</v>
      </c>
      <c r="D20" s="23">
        <f t="shared" ca="1" si="2"/>
        <v>13441.217388270306</v>
      </c>
      <c r="E20" s="23">
        <f t="shared" si="2"/>
        <v>194.2746123870491</v>
      </c>
      <c r="F20" s="23">
        <f t="shared" ca="1" si="2"/>
        <v>1819.2397774350741</v>
      </c>
      <c r="G20" s="23">
        <f t="shared" si="2"/>
        <v>0</v>
      </c>
      <c r="H20" s="23">
        <f t="shared" si="2"/>
        <v>0</v>
      </c>
      <c r="I20" s="23">
        <f t="shared" si="2"/>
        <v>0</v>
      </c>
      <c r="J20" s="23">
        <f t="shared" si="2"/>
        <v>3.8774246996824253E-2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15858.775730000001</v>
      </c>
      <c r="C26" s="39">
        <f>IF(ISERROR(B26*3.6/1000000/'E Balans VL '!Z12*100),0,B26*3.6/1000000/'E Balans VL '!Z12*100)</f>
        <v>0.33642941799829179</v>
      </c>
      <c r="D26" s="237" t="s">
        <v>708</v>
      </c>
      <c r="F26" s="6"/>
    </row>
    <row r="27" spans="1:18">
      <c r="A27" s="231" t="s">
        <v>52</v>
      </c>
      <c r="B27" s="33">
        <f>IF(ISERROR(TER_horeca_ele_kWh/1000),0,TER_horeca_ele_kWh/1000)</f>
        <v>6291.2808729999997</v>
      </c>
      <c r="C27" s="39">
        <f>IF(ISERROR(B27*3.6/1000000/'E Balans VL '!Z9*100),0,B27*3.6/1000000/'E Balans VL '!Z9*100)</f>
        <v>0.47378918108976914</v>
      </c>
      <c r="D27" s="237" t="s">
        <v>708</v>
      </c>
      <c r="F27" s="6"/>
    </row>
    <row r="28" spans="1:18">
      <c r="A28" s="171" t="s">
        <v>51</v>
      </c>
      <c r="B28" s="33">
        <f>IF(ISERROR(TER_handel_ele_kWh/1000),0,TER_handel_ele_kWh/1000)</f>
        <v>21209.999489999998</v>
      </c>
      <c r="C28" s="39">
        <f>IF(ISERROR(B28*3.6/1000000/'E Balans VL '!Z13*100),0,B28*3.6/1000000/'E Balans VL '!Z13*100)</f>
        <v>0.61565113230294266</v>
      </c>
      <c r="D28" s="237" t="s">
        <v>708</v>
      </c>
      <c r="F28" s="6"/>
    </row>
    <row r="29" spans="1:18">
      <c r="A29" s="231" t="s">
        <v>50</v>
      </c>
      <c r="B29" s="33">
        <f>IF(ISERROR(TER_gezond_ele_kWh/1000),0,TER_gezond_ele_kWh/1000)</f>
        <v>8278.3590839999997</v>
      </c>
      <c r="C29" s="39">
        <f>IF(ISERROR(B29*3.6/1000000/'E Balans VL '!Z10*100),0,B29*3.6/1000000/'E Balans VL '!Z10*100)</f>
        <v>0.83488238596669961</v>
      </c>
      <c r="D29" s="237" t="s">
        <v>708</v>
      </c>
      <c r="F29" s="6"/>
    </row>
    <row r="30" spans="1:18">
      <c r="A30" s="231" t="s">
        <v>49</v>
      </c>
      <c r="B30" s="33">
        <f>IF(ISERROR(TER_ander_ele_kWh/1000),0,TER_ander_ele_kWh/1000)</f>
        <v>6148.0221950000005</v>
      </c>
      <c r="C30" s="39">
        <f>IF(ISERROR(B30*3.6/1000000/'E Balans VL '!Z14*100),0,B30*3.6/1000000/'E Balans VL '!Z14*100)</f>
        <v>0.44612288464878774</v>
      </c>
      <c r="D30" s="237" t="s">
        <v>708</v>
      </c>
      <c r="F30" s="6"/>
    </row>
    <row r="31" spans="1:18">
      <c r="A31" s="231" t="s">
        <v>54</v>
      </c>
      <c r="B31" s="33">
        <f>IF(ISERROR(TER_onderwijs_ele_kWh/1000),0,TER_onderwijs_ele_kWh/1000)</f>
        <v>1242.556746</v>
      </c>
      <c r="C31" s="39">
        <f>IF(ISERROR(B31*3.6/1000000/'E Balans VL '!Z11*100),0,B31*3.6/1000000/'E Balans VL '!Z11*100)</f>
        <v>0.35417927187678244</v>
      </c>
      <c r="D31" s="237" t="s">
        <v>708</v>
      </c>
    </row>
    <row r="32" spans="1:18">
      <c r="A32" s="231" t="s">
        <v>259</v>
      </c>
      <c r="B32" s="33">
        <f>IF(ISERROR(TER_rest_ele_kWh/1000),0,TER_rest_ele_kWh/1000)</f>
        <v>2693.8445539999998</v>
      </c>
      <c r="C32" s="39">
        <f>IF(ISERROR(B32*3.6/1000000/'E Balans VL '!Z8*100),0,B32*3.6/1000000/'E Balans VL '!Z8*100)</f>
        <v>2.2067425875921795E-2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48230.212273000005</v>
      </c>
      <c r="C5" s="17">
        <f>IF(ISERROR('Eigen informatie GS &amp; warmtenet'!B61),0,'Eigen informatie GS &amp; warmtenet'!B61)</f>
        <v>0</v>
      </c>
      <c r="D5" s="30">
        <f>SUM(D6:D15)</f>
        <v>41179.672592432005</v>
      </c>
      <c r="E5" s="17">
        <f>SUM(E6:E15)</f>
        <v>2303.8640280410327</v>
      </c>
      <c r="F5" s="17">
        <f>SUM(F6:F15)</f>
        <v>10022.44121760417</v>
      </c>
      <c r="G5" s="18"/>
      <c r="H5" s="17"/>
      <c r="I5" s="17"/>
      <c r="J5" s="17">
        <f>SUM(J6:J15)</f>
        <v>368.66969069616601</v>
      </c>
      <c r="K5" s="17"/>
      <c r="L5" s="17"/>
      <c r="M5" s="17"/>
      <c r="N5" s="17">
        <f>SUM(N6:N15)</f>
        <v>2086.0464705811482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23019.059940000003</v>
      </c>
      <c r="C8" s="33"/>
      <c r="D8" s="37">
        <f>IF( ISERROR(IND_metaal_Gas_kWH/1000),0,IND_metaal_Gas_kWH/1000)*0.902</f>
        <v>665.74534846600011</v>
      </c>
      <c r="E8" s="33">
        <f>C30*'E Balans VL '!I18/100/3.6*1000000</f>
        <v>166.06636118087468</v>
      </c>
      <c r="F8" s="33">
        <f>C30*'E Balans VL '!L18/100/3.6*1000000+C30*'E Balans VL '!N18/100/3.6*1000000</f>
        <v>2177.1786285909402</v>
      </c>
      <c r="G8" s="34"/>
      <c r="H8" s="33"/>
      <c r="I8" s="33"/>
      <c r="J8" s="40">
        <f>C30*'E Balans VL '!D18/100/3.6*1000000+C30*'E Balans VL '!E18/100/3.6*1000000</f>
        <v>23.152704255969788</v>
      </c>
      <c r="K8" s="33"/>
      <c r="L8" s="33"/>
      <c r="M8" s="33"/>
      <c r="N8" s="33">
        <f>C30*'E Balans VL '!Y18/100/3.6*1000000</f>
        <v>291.02182006152151</v>
      </c>
      <c r="O8" s="33"/>
      <c r="P8" s="33"/>
      <c r="R8" s="32"/>
    </row>
    <row r="9" spans="1:18">
      <c r="A9" s="6" t="s">
        <v>32</v>
      </c>
      <c r="B9" s="37">
        <f t="shared" si="0"/>
        <v>4793.6169740000005</v>
      </c>
      <c r="C9" s="33"/>
      <c r="D9" s="37">
        <f>IF( ISERROR(IND_andere_gas_kWh/1000),0,IND_andere_gas_kWh/1000)*0.902</f>
        <v>2892.5217612500001</v>
      </c>
      <c r="E9" s="33">
        <f>C31*'E Balans VL '!I19/100/3.6*1000000</f>
        <v>1328.3753621847695</v>
      </c>
      <c r="F9" s="33">
        <f>C31*'E Balans VL '!L19/100/3.6*1000000+C31*'E Balans VL '!N19/100/3.6*1000000</f>
        <v>3972.9601071373181</v>
      </c>
      <c r="G9" s="34"/>
      <c r="H9" s="33"/>
      <c r="I9" s="33"/>
      <c r="J9" s="40">
        <f>C31*'E Balans VL '!D19/100/3.6*1000000+C31*'E Balans VL '!E19/100/3.6*1000000</f>
        <v>0</v>
      </c>
      <c r="K9" s="33"/>
      <c r="L9" s="33"/>
      <c r="M9" s="33"/>
      <c r="N9" s="33">
        <f>C31*'E Balans VL '!Y19/100/3.6*1000000</f>
        <v>347.95796002937897</v>
      </c>
      <c r="O9" s="33"/>
      <c r="P9" s="33"/>
      <c r="R9" s="32"/>
    </row>
    <row r="10" spans="1:18">
      <c r="A10" s="6" t="s">
        <v>40</v>
      </c>
      <c r="B10" s="37">
        <f t="shared" si="0"/>
        <v>1061.448445</v>
      </c>
      <c r="C10" s="33"/>
      <c r="D10" s="37">
        <f>IF( ISERROR(IND_voed_gas_kWh/1000),0,IND_voed_gas_kWh/1000)*0.902</f>
        <v>1534.9440327759999</v>
      </c>
      <c r="E10" s="33">
        <f>C32*'E Balans VL '!I20/100/3.6*1000000</f>
        <v>1.8791232832891809</v>
      </c>
      <c r="F10" s="33">
        <f>C32*'E Balans VL '!L20/100/3.6*1000000+C32*'E Balans VL '!N20/100/3.6*1000000</f>
        <v>57.327623563181078</v>
      </c>
      <c r="G10" s="34"/>
      <c r="H10" s="33"/>
      <c r="I10" s="33"/>
      <c r="J10" s="40">
        <f>C32*'E Balans VL '!D20/100/3.6*1000000+C32*'E Balans VL '!E20/100/3.6*1000000</f>
        <v>0</v>
      </c>
      <c r="K10" s="33"/>
      <c r="L10" s="33"/>
      <c r="M10" s="33"/>
      <c r="N10" s="33">
        <f>C32*'E Balans VL '!Y20/100/3.6*1000000</f>
        <v>61.678261037287193</v>
      </c>
      <c r="O10" s="33"/>
      <c r="P10" s="33"/>
      <c r="R10" s="32"/>
    </row>
    <row r="11" spans="1:18">
      <c r="A11" s="6" t="s">
        <v>39</v>
      </c>
      <c r="B11" s="37">
        <f t="shared" si="0"/>
        <v>0</v>
      </c>
      <c r="C11" s="33"/>
      <c r="D11" s="37">
        <f>IF( ISERROR(IND_textiel_gas_kWh/1000),0,IND_textiel_gas_kWh/1000)*0.902</f>
        <v>145.97783541000001</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3399.6137009999998</v>
      </c>
      <c r="C12" s="33"/>
      <c r="D12" s="37">
        <f>IF( ISERROR(IND_min_gas_kWh/1000),0,IND_min_gas_kWh/1000)*0.902</f>
        <v>0</v>
      </c>
      <c r="E12" s="33">
        <f>C34*'E Balans VL '!I22/100/3.6*1000000</f>
        <v>149.7068608544312</v>
      </c>
      <c r="F12" s="33">
        <f>C34*'E Balans VL '!L22/100/3.6*1000000+C34*'E Balans VL '!N22/100/3.6*1000000</f>
        <v>1329.3862523926755</v>
      </c>
      <c r="G12" s="34"/>
      <c r="H12" s="33"/>
      <c r="I12" s="33"/>
      <c r="J12" s="40">
        <f>C34*'E Balans VL '!D22/100/3.6*1000000+C34*'E Balans VL '!E22/100/3.6*1000000</f>
        <v>1.0322435281634346</v>
      </c>
      <c r="K12" s="33"/>
      <c r="L12" s="33"/>
      <c r="M12" s="33"/>
      <c r="N12" s="33">
        <f>C34*'E Balans VL '!Y22/100/3.6*1000000</f>
        <v>840.96140406225152</v>
      </c>
      <c r="O12" s="33"/>
      <c r="P12" s="33"/>
      <c r="R12" s="32"/>
    </row>
    <row r="13" spans="1:18">
      <c r="A13" s="6" t="s">
        <v>38</v>
      </c>
      <c r="B13" s="37">
        <f t="shared" si="0"/>
        <v>2102.5872230000004</v>
      </c>
      <c r="C13" s="33"/>
      <c r="D13" s="37">
        <f>IF( ISERROR(IND_papier_gas_kWh/1000),0,IND_papier_gas_kWh/1000)*0.902</f>
        <v>122.02006596999999</v>
      </c>
      <c r="E13" s="33">
        <f>C35*'E Balans VL '!I23/100/3.6*1000000</f>
        <v>3.0936277918038666</v>
      </c>
      <c r="F13" s="33">
        <f>C35*'E Balans VL '!L23/100/3.6*1000000+C35*'E Balans VL '!N23/100/3.6*1000000</f>
        <v>22.513045897576976</v>
      </c>
      <c r="G13" s="34"/>
      <c r="H13" s="33"/>
      <c r="I13" s="33"/>
      <c r="J13" s="40">
        <f>C35*'E Balans VL '!D23/100/3.6*1000000+C35*'E Balans VL '!E23/100/3.6*1000000</f>
        <v>230.0348328883496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13853.885990000001</v>
      </c>
      <c r="C15" s="33"/>
      <c r="D15" s="37">
        <f>IF( ISERROR(IND_rest_gas_kWh/1000),0,IND_rest_gas_kWh/1000)*0.902</f>
        <v>35818.463548560001</v>
      </c>
      <c r="E15" s="33">
        <f>C37*'E Balans VL '!I15/100/3.6*1000000</f>
        <v>654.74269274586425</v>
      </c>
      <c r="F15" s="33">
        <f>C37*'E Balans VL '!L15/100/3.6*1000000+C37*'E Balans VL '!N15/100/3.6*1000000</f>
        <v>2463.0755600224775</v>
      </c>
      <c r="G15" s="34"/>
      <c r="H15" s="33"/>
      <c r="I15" s="33"/>
      <c r="J15" s="40">
        <f>C37*'E Balans VL '!D15/100/3.6*1000000+C37*'E Balans VL '!E15/100/3.6*1000000</f>
        <v>114.44991002368322</v>
      </c>
      <c r="K15" s="33"/>
      <c r="L15" s="33"/>
      <c r="M15" s="33"/>
      <c r="N15" s="33">
        <f>C37*'E Balans VL '!Y15/100/3.6*1000000</f>
        <v>544.42702539070888</v>
      </c>
      <c r="O15" s="33"/>
      <c r="P15" s="33"/>
      <c r="R15" s="32"/>
    </row>
    <row r="16" spans="1:18">
      <c r="A16" s="16" t="s">
        <v>478</v>
      </c>
      <c r="B16" s="247">
        <f>'lokale energieproductie'!N46+'lokale energieproductie'!N39</f>
        <v>0</v>
      </c>
      <c r="C16" s="247">
        <f>'lokale energieproductie'!O46+'lokale energieproductie'!O39</f>
        <v>0</v>
      </c>
      <c r="D16" s="308">
        <f>('lokale energieproductie'!P39+'lokale energieproductie'!P46)*(-1)</f>
        <v>0</v>
      </c>
      <c r="E16" s="248"/>
      <c r="F16" s="308">
        <f>('lokale energieproductie'!S39+'lokale energieproductie'!S46)*(-1)</f>
        <v>0</v>
      </c>
      <c r="G16" s="249"/>
      <c r="H16" s="248"/>
      <c r="I16" s="248"/>
      <c r="J16" s="248"/>
      <c r="K16" s="248"/>
      <c r="L16" s="308">
        <f>('lokale energieproductie'!T39+'lokale energieproductie'!U39+'lokale energieproductie'!T46+'lokale energieproductie'!U46)*(-1)</f>
        <v>0</v>
      </c>
      <c r="M16" s="248"/>
      <c r="N16" s="308">
        <f>('lokale energieproductie'!Q39+'lokale energieproductie'!R39+'lokale energieproductie'!V39+'lokale energieproductie'!Q46+'lokale energieproductie'!R46+'lokale energieproductie'!V46)*(-1)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48230.212273000005</v>
      </c>
      <c r="C18" s="21">
        <f>C5+C16</f>
        <v>0</v>
      </c>
      <c r="D18" s="21">
        <f>MAX((D5+D16),0)</f>
        <v>41179.672592432005</v>
      </c>
      <c r="E18" s="21">
        <f>MAX((E5+E16),0)</f>
        <v>2303.8640280410327</v>
      </c>
      <c r="F18" s="21">
        <f>MAX((F5+F16),0)</f>
        <v>10022.44121760417</v>
      </c>
      <c r="G18" s="21"/>
      <c r="H18" s="21"/>
      <c r="I18" s="21"/>
      <c r="J18" s="21">
        <f>MAX((J5+J16),0)</f>
        <v>368.66969069616601</v>
      </c>
      <c r="K18" s="21"/>
      <c r="L18" s="21">
        <f>MAX((L5+L16),0)</f>
        <v>0</v>
      </c>
      <c r="M18" s="21"/>
      <c r="N18" s="21">
        <f>MAX((N5+N16),0)</f>
        <v>2086.0464705811482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0.19448990494100346</v>
      </c>
      <c r="C20" s="25">
        <f ca="1">'EF ele_warmte'!B22</f>
        <v>0.21504892104895332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9380.2894002601897</v>
      </c>
      <c r="C22" s="23">
        <f ca="1">C18*C20</f>
        <v>0</v>
      </c>
      <c r="D22" s="23">
        <f>D18*D20</f>
        <v>8318.2938636712661</v>
      </c>
      <c r="E22" s="23">
        <f>E18*E20</f>
        <v>522.97713436531444</v>
      </c>
      <c r="F22" s="23">
        <f>F18*F20</f>
        <v>2675.9918051003133</v>
      </c>
      <c r="G22" s="23"/>
      <c r="H22" s="23"/>
      <c r="I22" s="23"/>
      <c r="J22" s="23">
        <f>J18*J20</f>
        <v>130.50907050644275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23019.059940000003</v>
      </c>
      <c r="C30" s="39">
        <f>IF(ISERROR(B30*3.6/1000000/'E Balans VL '!Z18*100),0,B30*3.6/1000000/'E Balans VL '!Z18*100)</f>
        <v>1.3288544125997079</v>
      </c>
      <c r="D30" s="237" t="s">
        <v>708</v>
      </c>
    </row>
    <row r="31" spans="1:18">
      <c r="A31" s="6" t="s">
        <v>32</v>
      </c>
      <c r="B31" s="37">
        <f>IF( ISERROR(IND_ander_ele_kWh/1000),0,IND_ander_ele_kWh/1000)</f>
        <v>4793.6169740000005</v>
      </c>
      <c r="C31" s="39">
        <f>IF(ISERROR(B31*3.6/1000000/'E Balans VL '!Z19*100),0,B31*3.6/1000000/'E Balans VL '!Z19*100)</f>
        <v>0.24110339588442178</v>
      </c>
      <c r="D31" s="237" t="s">
        <v>708</v>
      </c>
    </row>
    <row r="32" spans="1:18">
      <c r="A32" s="171" t="s">
        <v>40</v>
      </c>
      <c r="B32" s="37">
        <f>IF( ISERROR(IND_voed_ele_kWh/1000),0,IND_voed_ele_kWh/1000)</f>
        <v>1061.448445</v>
      </c>
      <c r="C32" s="39">
        <f>IF(ISERROR(B32*3.6/1000000/'E Balans VL '!Z20*100),0,B32*3.6/1000000/'E Balans VL '!Z20*100)</f>
        <v>3.5352536362696238E-2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3399.6137009999998</v>
      </c>
      <c r="C34" s="39">
        <f>IF(ISERROR(B34*3.6/1000000/'E Balans VL '!Z22*100),0,B34*3.6/1000000/'E Balans VL '!Z22*100)</f>
        <v>0.63414278180685468</v>
      </c>
      <c r="D34" s="237" t="s">
        <v>708</v>
      </c>
    </row>
    <row r="35" spans="1:5">
      <c r="A35" s="171" t="s">
        <v>38</v>
      </c>
      <c r="B35" s="37">
        <f>IF( ISERROR(IND_papier_ele_kWh/1000),0,IND_papier_ele_kWh/1000)</f>
        <v>2102.5872230000004</v>
      </c>
      <c r="C35" s="39">
        <f>IF(ISERROR(B35*3.6/1000000/'E Balans VL '!Z22*100),0,B35*3.6/1000000/'E Balans VL '!Z22*100)</f>
        <v>0.39220353482884429</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13853.885990000001</v>
      </c>
      <c r="C37" s="39">
        <f>IF(ISERROR(B37*3.6/1000000/'E Balans VL '!Z15*100),0,B37*3.6/1000000/'E Balans VL '!Z15*100)</f>
        <v>0.10809819599077405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2879.5360559999999</v>
      </c>
      <c r="C5" s="17">
        <f>'Eigen informatie GS &amp; warmtenet'!B62</f>
        <v>0</v>
      </c>
      <c r="D5" s="30">
        <f>IF(ISERROR(SUM(LB_lb_gas_kWh,LB_rest_gas_kWh)/1000),0,SUM(LB_lb_gas_kWh,LB_rest_gas_kWh)/1000)*0.902</f>
        <v>189644.094489168</v>
      </c>
      <c r="E5" s="17">
        <f>B17*'E Balans VL '!I25/3.6*1000000/100</f>
        <v>89.869370753913188</v>
      </c>
      <c r="F5" s="17">
        <f>B17*('E Balans VL '!L25/3.6*1000000+'E Balans VL '!N25/3.6*1000000)/100</f>
        <v>10176.599408303307</v>
      </c>
      <c r="G5" s="18"/>
      <c r="H5" s="17"/>
      <c r="I5" s="17"/>
      <c r="J5" s="17">
        <f>('E Balans VL '!D25+'E Balans VL '!E25)/3.6*1000000*landbouw!B17/100</f>
        <v>793.33215283553773</v>
      </c>
      <c r="K5" s="17"/>
      <c r="L5" s="17">
        <f>L6*(-1)</f>
        <v>22477.5</v>
      </c>
      <c r="M5" s="17"/>
      <c r="N5" s="17">
        <f>N6*(-1)</f>
        <v>0</v>
      </c>
      <c r="O5" s="17"/>
      <c r="P5" s="17"/>
      <c r="R5" s="32"/>
    </row>
    <row r="6" spans="1:18">
      <c r="A6" s="16" t="s">
        <v>478</v>
      </c>
      <c r="B6" s="17" t="s">
        <v>210</v>
      </c>
      <c r="C6" s="17">
        <f>'lokale energieproductie'!O48+'lokale energieproductie'!O41</f>
        <v>103113.64285714286</v>
      </c>
      <c r="D6" s="308">
        <f>('lokale energieproductie'!P41+'lokale energieproductie'!P48)*(-1)</f>
        <v>-179254.28571428571</v>
      </c>
      <c r="E6" s="248"/>
      <c r="F6" s="308">
        <f>('lokale energieproductie'!S41+'lokale energieproductie'!S48)*(-1)</f>
        <v>-7492.5</v>
      </c>
      <c r="G6" s="249"/>
      <c r="H6" s="248"/>
      <c r="I6" s="248"/>
      <c r="J6" s="248"/>
      <c r="K6" s="248"/>
      <c r="L6" s="308">
        <f>('lokale energieproductie'!T41+'lokale energieproductie'!U41+'lokale energieproductie'!T48+'lokale energieproductie'!U48)*(-1)</f>
        <v>-22477.5</v>
      </c>
      <c r="M6" s="248"/>
      <c r="N6" s="308">
        <f>('lokale energieproductie'!V41+'lokale energieproductie'!R41+'lokale energieproductie'!Q41+'lokale energieproductie'!Q48+'lokale energieproductie'!R48+'lokale energieproductie'!V48)*(-1)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2879.5360559999999</v>
      </c>
      <c r="C8" s="21">
        <f>C5+C6</f>
        <v>103113.64285714286</v>
      </c>
      <c r="D8" s="21">
        <f>MAX((D5+D6),0)</f>
        <v>10389.808774882287</v>
      </c>
      <c r="E8" s="21">
        <f>MAX((E5+E6),0)</f>
        <v>89.869370753913188</v>
      </c>
      <c r="F8" s="21">
        <f>MAX((F5+F6),0)</f>
        <v>2684.0994083033074</v>
      </c>
      <c r="G8" s="21"/>
      <c r="H8" s="21"/>
      <c r="I8" s="21"/>
      <c r="J8" s="21">
        <f>MAX((J5+J6),0)</f>
        <v>793.33215283553773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0.19448990494100346</v>
      </c>
      <c r="C10" s="31">
        <f ca="1">'EF ele_warmte'!B22</f>
        <v>0.21504892104895332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560.04069380563203</v>
      </c>
      <c r="C12" s="23">
        <f ca="1">C8*C10</f>
        <v>22174.477641855683</v>
      </c>
      <c r="D12" s="23">
        <f>D8*D10</f>
        <v>2098.7413725262222</v>
      </c>
      <c r="E12" s="23">
        <f>E8*E10</f>
        <v>20.400347161138296</v>
      </c>
      <c r="F12" s="23">
        <f>F8*F10</f>
        <v>716.6545420169831</v>
      </c>
      <c r="G12" s="23"/>
      <c r="H12" s="23"/>
      <c r="I12" s="23"/>
      <c r="J12" s="23">
        <f>J8*J10</f>
        <v>280.83958210378034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0.42806367719414906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291.57795380464364</v>
      </c>
      <c r="C26" s="247">
        <f>B26*'GWP N2O_CH4'!B5</f>
        <v>6123.1370298975162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52.250921937309691</v>
      </c>
      <c r="C27" s="247">
        <f>B27*'GWP N2O_CH4'!B5</f>
        <v>1097.2693606835035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3.9331547255300947</v>
      </c>
      <c r="C28" s="247">
        <f>B28*'GWP N2O_CH4'!B4</f>
        <v>1219.2779649143295</v>
      </c>
      <c r="D28" s="50"/>
    </row>
    <row r="29" spans="1:4">
      <c r="A29" s="41" t="s">
        <v>276</v>
      </c>
      <c r="B29" s="247">
        <f>B34*'ha_N2O bodem landbouw'!B4</f>
        <v>14.34580906891628</v>
      </c>
      <c r="C29" s="247">
        <f>B29*'GWP N2O_CH4'!B4</f>
        <v>4447.2008113640468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3.1457776383286683E-3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3.0783357349304047E-4</v>
      </c>
      <c r="C5" s="437" t="s">
        <v>210</v>
      </c>
      <c r="D5" s="422">
        <f>SUM(D6:D11)</f>
        <v>1.0493354723835004E-3</v>
      </c>
      <c r="E5" s="422">
        <f>SUM(E6:E11)</f>
        <v>8.9136837377028775E-4</v>
      </c>
      <c r="F5" s="435" t="s">
        <v>210</v>
      </c>
      <c r="G5" s="422">
        <f>SUM(G6:G11)</f>
        <v>0.47393405302497682</v>
      </c>
      <c r="H5" s="422">
        <f>SUM(H6:H11)</f>
        <v>9.8083592982822723E-2</v>
      </c>
      <c r="I5" s="437" t="s">
        <v>210</v>
      </c>
      <c r="J5" s="437" t="s">
        <v>210</v>
      </c>
      <c r="K5" s="437" t="s">
        <v>210</v>
      </c>
      <c r="L5" s="437" t="s">
        <v>210</v>
      </c>
      <c r="M5" s="422">
        <f>SUM(M6:M11)</f>
        <v>3.3812536848231191E-2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2.8204416047551088E-4</v>
      </c>
      <c r="C6" s="423"/>
      <c r="D6" s="890">
        <f>vkm_GW_PW*SUMIFS(TableVerdeelsleutelVkm[CNG],TableVerdeelsleutelVkm[Voertuigtype],"Lichte voertuigen")*SUMIFS(TableECFTransport[EnergieConsumptieFactor (PJ per km)],TableECFTransport[Index],CONCATENATE($A6,"_CNG_CNG"))</f>
        <v>9.0857773673838063E-4</v>
      </c>
      <c r="E6" s="890">
        <f>vkm_GW_PW*SUMIFS(TableVerdeelsleutelVkm[LPG],TableVerdeelsleutelVkm[Voertuigtype],"Lichte voertuigen")*SUMIFS(TableECFTransport[EnergieConsumptieFactor (PJ per km)],TableECFTransport[Index],CONCATENATE($A6,"_LPG_LPG"))</f>
        <v>7.769944264555468E-4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0.25100761383988535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8.5115142420373505E-2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2.0104067720350661E-2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0.18298195897910474</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2.6164777162731291E-6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1.054752042756563E-2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2.5789413017529604E-5</v>
      </c>
      <c r="C8" s="423"/>
      <c r="D8" s="425">
        <f>vkm_NGW_PW*SUMIFS(TableVerdeelsleutelVkm[CNG],TableVerdeelsleutelVkm[Voertuigtype],"Lichte voertuigen")*SUMIFS(TableECFTransport[EnergieConsumptieFactor (PJ per km)],TableECFTransport[Index],CONCATENATE($A8,"_CNG_CNG"))</f>
        <v>1.407577356451197E-4</v>
      </c>
      <c r="E8" s="425">
        <f>vkm_NGW_PW*SUMIFS(TableVerdeelsleutelVkm[LPG],TableVerdeelsleutelVkm[Voertuigtype],"Lichte voertuigen")*SUMIFS(TableECFTransport[EnergieConsumptieFactor (PJ per km)],TableECFTransport[Index],CONCATENATE($A8,"_LPG_LPG"))</f>
        <v>1.1437394731474092E-4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3.4526076285984947E-2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1.2965735849844881E-2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2.8486174856566749E-3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5.4184039200017896E-3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9.8234888078060012E-8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3.1233121465822972E-4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85.509325970289012</v>
      </c>
      <c r="C14" s="21"/>
      <c r="D14" s="21">
        <f t="shared" ref="D14:M14" si="0">((D5)*10^9/3600)+D12</f>
        <v>291.48207566208345</v>
      </c>
      <c r="E14" s="21">
        <f t="shared" si="0"/>
        <v>247.60232604730214</v>
      </c>
      <c r="F14" s="21"/>
      <c r="G14" s="21">
        <f t="shared" si="0"/>
        <v>131648.34806249358</v>
      </c>
      <c r="H14" s="21">
        <f t="shared" si="0"/>
        <v>27245.442495228534</v>
      </c>
      <c r="I14" s="21"/>
      <c r="J14" s="21"/>
      <c r="K14" s="21"/>
      <c r="L14" s="21"/>
      <c r="M14" s="21">
        <f t="shared" si="0"/>
        <v>9392.3713467308862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0.19448990494100346</v>
      </c>
      <c r="C16" s="56">
        <f ca="1">'EF ele_warmte'!B22</f>
        <v>0.21504892104895332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16.63070067953079</v>
      </c>
      <c r="C18" s="23"/>
      <c r="D18" s="23">
        <f t="shared" ref="D18:M18" si="1">D14*D16</f>
        <v>58.87937928374086</v>
      </c>
      <c r="E18" s="23">
        <f t="shared" si="1"/>
        <v>56.205728012737588</v>
      </c>
      <c r="F18" s="23"/>
      <c r="G18" s="23">
        <f t="shared" si="1"/>
        <v>35150.108932685784</v>
      </c>
      <c r="H18" s="23">
        <f t="shared" si="1"/>
        <v>6784.115181311905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1.5462220889527156E-2</v>
      </c>
      <c r="H50" s="319">
        <f t="shared" si="2"/>
        <v>0</v>
      </c>
      <c r="I50" s="319">
        <f t="shared" si="2"/>
        <v>0</v>
      </c>
      <c r="J50" s="319">
        <f t="shared" si="2"/>
        <v>0</v>
      </c>
      <c r="K50" s="319">
        <f t="shared" si="2"/>
        <v>0</v>
      </c>
      <c r="L50" s="319">
        <f t="shared" si="2"/>
        <v>0</v>
      </c>
      <c r="M50" s="319">
        <f t="shared" si="2"/>
        <v>8.5925674001838118E-4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1.5462220889527156E-2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8.5925674001838118E-4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4295.0613582019878</v>
      </c>
      <c r="H54" s="21">
        <f t="shared" si="3"/>
        <v>0</v>
      </c>
      <c r="I54" s="21">
        <f t="shared" si="3"/>
        <v>0</v>
      </c>
      <c r="J54" s="21">
        <f t="shared" si="3"/>
        <v>0</v>
      </c>
      <c r="K54" s="21">
        <f t="shared" si="3"/>
        <v>0</v>
      </c>
      <c r="L54" s="21">
        <f t="shared" si="3"/>
        <v>0</v>
      </c>
      <c r="M54" s="21">
        <f t="shared" si="3"/>
        <v>238.68242778288365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0.19448990494100346</v>
      </c>
      <c r="C56" s="56">
        <f ca="1">'EF ele_warmte'!B22</f>
        <v>0.21504892104895332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1146.7813826399308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74398.123672000016</v>
      </c>
      <c r="D10" s="686">
        <f ca="1">tertiair!C16</f>
        <v>900.00000000000023</v>
      </c>
      <c r="E10" s="686">
        <f ca="1">tertiair!D16</f>
        <v>66540.680139952005</v>
      </c>
      <c r="F10" s="686">
        <f>tertiair!E16</f>
        <v>855.83529685924714</v>
      </c>
      <c r="G10" s="686">
        <f ca="1">tertiair!F16</f>
        <v>6813.6321252249963</v>
      </c>
      <c r="H10" s="686">
        <f>tertiair!G16</f>
        <v>0</v>
      </c>
      <c r="I10" s="686">
        <f>tertiair!H16</f>
        <v>0</v>
      </c>
      <c r="J10" s="686">
        <f>tertiair!I16</f>
        <v>0</v>
      </c>
      <c r="K10" s="686">
        <f>tertiair!J16</f>
        <v>0.10953177117746965</v>
      </c>
      <c r="L10" s="686">
        <f>tertiair!K16</f>
        <v>0</v>
      </c>
      <c r="M10" s="686">
        <f ca="1">tertiair!L16</f>
        <v>0</v>
      </c>
      <c r="N10" s="686">
        <f>tertiair!M16</f>
        <v>0</v>
      </c>
      <c r="O10" s="686">
        <f ca="1">tertiair!N16</f>
        <v>0</v>
      </c>
      <c r="P10" s="686">
        <f>tertiair!O16</f>
        <v>19.589043063364617</v>
      </c>
      <c r="Q10" s="687">
        <f>tertiair!P16</f>
        <v>525.39138306495022</v>
      </c>
      <c r="R10" s="689">
        <f ca="1">SUM(C10:Q10)</f>
        <v>150053.36119193575</v>
      </c>
      <c r="S10" s="67"/>
    </row>
    <row r="11" spans="1:19" s="448" customFormat="1">
      <c r="A11" s="808" t="s">
        <v>224</v>
      </c>
      <c r="B11" s="813"/>
      <c r="C11" s="686">
        <f>huishoudens!B8</f>
        <v>57543.854699984338</v>
      </c>
      <c r="D11" s="686">
        <f>huishoudens!C8</f>
        <v>0</v>
      </c>
      <c r="E11" s="686">
        <f>huishoudens!D8</f>
        <v>166325.01556880001</v>
      </c>
      <c r="F11" s="686">
        <f>huishoudens!E8</f>
        <v>9382.7260282349016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8937.5221070798088</v>
      </c>
      <c r="P11" s="686">
        <f>huishoudens!O8</f>
        <v>436.47080826514696</v>
      </c>
      <c r="Q11" s="687">
        <f>huishoudens!P8</f>
        <v>874.31862253785675</v>
      </c>
      <c r="R11" s="689">
        <f>SUM(C11:Q11)</f>
        <v>243499.90783490206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48230.212273000005</v>
      </c>
      <c r="D13" s="686">
        <f>industrie!C18</f>
        <v>0</v>
      </c>
      <c r="E13" s="686">
        <f>industrie!D18</f>
        <v>41179.672592432005</v>
      </c>
      <c r="F13" s="686">
        <f>industrie!E18</f>
        <v>2303.8640280410327</v>
      </c>
      <c r="G13" s="686">
        <f>industrie!F18</f>
        <v>10022.44121760417</v>
      </c>
      <c r="H13" s="686">
        <f>industrie!G18</f>
        <v>0</v>
      </c>
      <c r="I13" s="686">
        <f>industrie!H18</f>
        <v>0</v>
      </c>
      <c r="J13" s="686">
        <f>industrie!I18</f>
        <v>0</v>
      </c>
      <c r="K13" s="686">
        <f>industrie!J18</f>
        <v>368.66969069616601</v>
      </c>
      <c r="L13" s="686">
        <f>industrie!K18</f>
        <v>0</v>
      </c>
      <c r="M13" s="686">
        <f>industrie!L18</f>
        <v>0</v>
      </c>
      <c r="N13" s="686">
        <f>industrie!M18</f>
        <v>0</v>
      </c>
      <c r="O13" s="686">
        <f>industrie!N18</f>
        <v>2086.0464705811482</v>
      </c>
      <c r="P13" s="686">
        <f>industrie!O18</f>
        <v>0</v>
      </c>
      <c r="Q13" s="687">
        <f>industrie!P18</f>
        <v>0</v>
      </c>
      <c r="R13" s="689">
        <f>SUM(C13:Q13)</f>
        <v>104190.90627235452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180172.19064498437</v>
      </c>
      <c r="D16" s="722">
        <f t="shared" ref="D16:R16" ca="1" si="0">SUM(D9:D15)</f>
        <v>900.00000000000023</v>
      </c>
      <c r="E16" s="722">
        <f t="shared" ca="1" si="0"/>
        <v>274045.36830118403</v>
      </c>
      <c r="F16" s="722">
        <f t="shared" si="0"/>
        <v>12542.425353135182</v>
      </c>
      <c r="G16" s="722">
        <f t="shared" ca="1" si="0"/>
        <v>16836.073342829164</v>
      </c>
      <c r="H16" s="722">
        <f t="shared" si="0"/>
        <v>0</v>
      </c>
      <c r="I16" s="722">
        <f t="shared" si="0"/>
        <v>0</v>
      </c>
      <c r="J16" s="722">
        <f t="shared" si="0"/>
        <v>0</v>
      </c>
      <c r="K16" s="722">
        <f t="shared" si="0"/>
        <v>368.77922246734346</v>
      </c>
      <c r="L16" s="722">
        <f t="shared" si="0"/>
        <v>0</v>
      </c>
      <c r="M16" s="722">
        <f t="shared" ca="1" si="0"/>
        <v>0</v>
      </c>
      <c r="N16" s="722">
        <f t="shared" si="0"/>
        <v>0</v>
      </c>
      <c r="O16" s="722">
        <f t="shared" ca="1" si="0"/>
        <v>11023.568577660957</v>
      </c>
      <c r="P16" s="722">
        <f t="shared" si="0"/>
        <v>456.05985132851157</v>
      </c>
      <c r="Q16" s="722">
        <f t="shared" si="0"/>
        <v>1399.7100056028071</v>
      </c>
      <c r="R16" s="722">
        <f t="shared" ca="1" si="0"/>
        <v>497744.17529919231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4295.0613582019878</v>
      </c>
      <c r="I19" s="686">
        <f>transport!H54</f>
        <v>0</v>
      </c>
      <c r="J19" s="686">
        <f>transport!I54</f>
        <v>0</v>
      </c>
      <c r="K19" s="686">
        <f>transport!J54</f>
        <v>0</v>
      </c>
      <c r="L19" s="686">
        <f>transport!K54</f>
        <v>0</v>
      </c>
      <c r="M19" s="686">
        <f>transport!L54</f>
        <v>0</v>
      </c>
      <c r="N19" s="686">
        <f>transport!M54</f>
        <v>238.68242778288365</v>
      </c>
      <c r="O19" s="686">
        <f>transport!N54</f>
        <v>0</v>
      </c>
      <c r="P19" s="686">
        <f>transport!O54</f>
        <v>0</v>
      </c>
      <c r="Q19" s="687">
        <f>transport!P54</f>
        <v>0</v>
      </c>
      <c r="R19" s="689">
        <f>SUM(C19:Q19)</f>
        <v>4533.7437859848715</v>
      </c>
      <c r="S19" s="67"/>
    </row>
    <row r="20" spans="1:19" s="448" customFormat="1">
      <c r="A20" s="808" t="s">
        <v>306</v>
      </c>
      <c r="B20" s="813"/>
      <c r="C20" s="686">
        <f>transport!B14</f>
        <v>85.509325970289012</v>
      </c>
      <c r="D20" s="686">
        <f>transport!C14</f>
        <v>0</v>
      </c>
      <c r="E20" s="686">
        <f>transport!D14</f>
        <v>291.48207566208345</v>
      </c>
      <c r="F20" s="686">
        <f>transport!E14</f>
        <v>247.60232604730214</v>
      </c>
      <c r="G20" s="686">
        <f>transport!F14</f>
        <v>0</v>
      </c>
      <c r="H20" s="686">
        <f>transport!G14</f>
        <v>131648.34806249358</v>
      </c>
      <c r="I20" s="686">
        <f>transport!H14</f>
        <v>27245.442495228534</v>
      </c>
      <c r="J20" s="686">
        <f>transport!I14</f>
        <v>0</v>
      </c>
      <c r="K20" s="686">
        <f>transport!J14</f>
        <v>0</v>
      </c>
      <c r="L20" s="686">
        <f>transport!K14</f>
        <v>0</v>
      </c>
      <c r="M20" s="686">
        <f>transport!L14</f>
        <v>0</v>
      </c>
      <c r="N20" s="686">
        <f>transport!M14</f>
        <v>9392.3713467308862</v>
      </c>
      <c r="O20" s="686">
        <f>transport!N14</f>
        <v>0</v>
      </c>
      <c r="P20" s="686">
        <f>transport!O14</f>
        <v>0</v>
      </c>
      <c r="Q20" s="687">
        <f>transport!P14</f>
        <v>0</v>
      </c>
      <c r="R20" s="689">
        <f>SUM(C20:Q20)</f>
        <v>168910.75563213267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85.509325970289012</v>
      </c>
      <c r="D22" s="811">
        <f t="shared" ref="D22:R22" si="1">SUM(D18:D21)</f>
        <v>0</v>
      </c>
      <c r="E22" s="811">
        <f t="shared" si="1"/>
        <v>291.48207566208345</v>
      </c>
      <c r="F22" s="811">
        <f t="shared" si="1"/>
        <v>247.60232604730214</v>
      </c>
      <c r="G22" s="811">
        <f t="shared" si="1"/>
        <v>0</v>
      </c>
      <c r="H22" s="811">
        <f t="shared" si="1"/>
        <v>135943.40942069556</v>
      </c>
      <c r="I22" s="811">
        <f t="shared" si="1"/>
        <v>27245.442495228534</v>
      </c>
      <c r="J22" s="811">
        <f t="shared" si="1"/>
        <v>0</v>
      </c>
      <c r="K22" s="811">
        <f t="shared" si="1"/>
        <v>0</v>
      </c>
      <c r="L22" s="811">
        <f t="shared" si="1"/>
        <v>0</v>
      </c>
      <c r="M22" s="811">
        <f t="shared" si="1"/>
        <v>0</v>
      </c>
      <c r="N22" s="811">
        <f t="shared" si="1"/>
        <v>9631.0537745137699</v>
      </c>
      <c r="O22" s="811">
        <f t="shared" si="1"/>
        <v>0</v>
      </c>
      <c r="P22" s="811">
        <f t="shared" si="1"/>
        <v>0</v>
      </c>
      <c r="Q22" s="811">
        <f t="shared" si="1"/>
        <v>0</v>
      </c>
      <c r="R22" s="811">
        <f t="shared" si="1"/>
        <v>173444.49941811754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2879.5360559999999</v>
      </c>
      <c r="D24" s="686">
        <f>+landbouw!C8</f>
        <v>103113.64285714286</v>
      </c>
      <c r="E24" s="686">
        <f>+landbouw!D8</f>
        <v>10389.808774882287</v>
      </c>
      <c r="F24" s="686">
        <f>+landbouw!E8</f>
        <v>89.869370753913188</v>
      </c>
      <c r="G24" s="686">
        <f>+landbouw!F8</f>
        <v>2684.0994083033074</v>
      </c>
      <c r="H24" s="686">
        <f>+landbouw!G8</f>
        <v>0</v>
      </c>
      <c r="I24" s="686">
        <f>+landbouw!H8</f>
        <v>0</v>
      </c>
      <c r="J24" s="686">
        <f>+landbouw!I8</f>
        <v>0</v>
      </c>
      <c r="K24" s="686">
        <f>+landbouw!J8</f>
        <v>793.33215283553773</v>
      </c>
      <c r="L24" s="686">
        <f>+landbouw!K8</f>
        <v>0</v>
      </c>
      <c r="M24" s="686">
        <f>+landbouw!L8</f>
        <v>0</v>
      </c>
      <c r="N24" s="686">
        <f>+landbouw!M8</f>
        <v>0</v>
      </c>
      <c r="O24" s="686">
        <f>+landbouw!N8</f>
        <v>0</v>
      </c>
      <c r="P24" s="686">
        <f>+landbouw!O8</f>
        <v>0</v>
      </c>
      <c r="Q24" s="687">
        <f>+landbouw!P8</f>
        <v>0</v>
      </c>
      <c r="R24" s="689">
        <f>SUM(C24:Q24)</f>
        <v>119950.28861991789</v>
      </c>
      <c r="S24" s="67"/>
    </row>
    <row r="25" spans="1:19" s="448" customFormat="1" ht="15" thickBot="1">
      <c r="A25" s="830" t="s">
        <v>724</v>
      </c>
      <c r="B25" s="949"/>
      <c r="C25" s="950">
        <f>IF(Onbekend_ele_kWh="---",0,Onbekend_ele_kWh)/1000+IF(REST_rest_ele_kWh="---",0,REST_rest_ele_kWh)/1000</f>
        <v>2977.079268</v>
      </c>
      <c r="D25" s="950"/>
      <c r="E25" s="950">
        <f>IF(onbekend_gas_kWh="---",0,onbekend_gas_kWh)/1000+IF(REST_rest_gas_kWh="---",0,REST_rest_gas_kWh)/1000</f>
        <v>9875.4800209999994</v>
      </c>
      <c r="F25" s="950"/>
      <c r="G25" s="950"/>
      <c r="H25" s="950"/>
      <c r="I25" s="950"/>
      <c r="J25" s="950"/>
      <c r="K25" s="950"/>
      <c r="L25" s="950"/>
      <c r="M25" s="950"/>
      <c r="N25" s="950"/>
      <c r="O25" s="950"/>
      <c r="P25" s="950"/>
      <c r="Q25" s="951"/>
      <c r="R25" s="689">
        <f>SUM(C25:Q25)</f>
        <v>12852.559288999999</v>
      </c>
      <c r="S25" s="67"/>
    </row>
    <row r="26" spans="1:19" s="448" customFormat="1" ht="15.75" thickBot="1">
      <c r="A26" s="694" t="s">
        <v>725</v>
      </c>
      <c r="B26" s="816"/>
      <c r="C26" s="811">
        <f>SUM(C24:C25)</f>
        <v>5856.6153240000003</v>
      </c>
      <c r="D26" s="811">
        <f t="shared" ref="D26:R26" si="2">SUM(D24:D25)</f>
        <v>103113.64285714286</v>
      </c>
      <c r="E26" s="811">
        <f t="shared" si="2"/>
        <v>20265.288795882287</v>
      </c>
      <c r="F26" s="811">
        <f t="shared" si="2"/>
        <v>89.869370753913188</v>
      </c>
      <c r="G26" s="811">
        <f t="shared" si="2"/>
        <v>2684.0994083033074</v>
      </c>
      <c r="H26" s="811">
        <f t="shared" si="2"/>
        <v>0</v>
      </c>
      <c r="I26" s="811">
        <f t="shared" si="2"/>
        <v>0</v>
      </c>
      <c r="J26" s="811">
        <f t="shared" si="2"/>
        <v>0</v>
      </c>
      <c r="K26" s="811">
        <f t="shared" si="2"/>
        <v>793.33215283553773</v>
      </c>
      <c r="L26" s="811">
        <f t="shared" si="2"/>
        <v>0</v>
      </c>
      <c r="M26" s="811">
        <f t="shared" si="2"/>
        <v>0</v>
      </c>
      <c r="N26" s="811">
        <f t="shared" si="2"/>
        <v>0</v>
      </c>
      <c r="O26" s="811">
        <f t="shared" si="2"/>
        <v>0</v>
      </c>
      <c r="P26" s="811">
        <f t="shared" si="2"/>
        <v>0</v>
      </c>
      <c r="Q26" s="811">
        <f t="shared" si="2"/>
        <v>0</v>
      </c>
      <c r="R26" s="811">
        <f t="shared" si="2"/>
        <v>132802.8479089179</v>
      </c>
      <c r="S26" s="67"/>
    </row>
    <row r="27" spans="1:19" s="448" customFormat="1" ht="17.25" thickTop="1" thickBot="1">
      <c r="A27" s="695" t="s">
        <v>115</v>
      </c>
      <c r="B27" s="803"/>
      <c r="C27" s="696">
        <f ca="1">C22+C16+C26</f>
        <v>186114.31529495466</v>
      </c>
      <c r="D27" s="696">
        <f t="shared" ref="D27:R27" ca="1" si="3">D22+D16+D26</f>
        <v>104013.64285714286</v>
      </c>
      <c r="E27" s="696">
        <f t="shared" ca="1" si="3"/>
        <v>294602.13917272841</v>
      </c>
      <c r="F27" s="696">
        <f t="shared" si="3"/>
        <v>12879.897049936399</v>
      </c>
      <c r="G27" s="696">
        <f t="shared" ca="1" si="3"/>
        <v>19520.172751132472</v>
      </c>
      <c r="H27" s="696">
        <f t="shared" si="3"/>
        <v>135943.40942069556</v>
      </c>
      <c r="I27" s="696">
        <f t="shared" si="3"/>
        <v>27245.442495228534</v>
      </c>
      <c r="J27" s="696">
        <f t="shared" si="3"/>
        <v>0</v>
      </c>
      <c r="K27" s="696">
        <f t="shared" si="3"/>
        <v>1162.1113753028812</v>
      </c>
      <c r="L27" s="696">
        <f t="shared" si="3"/>
        <v>0</v>
      </c>
      <c r="M27" s="696">
        <f t="shared" ca="1" si="3"/>
        <v>0</v>
      </c>
      <c r="N27" s="696">
        <f t="shared" si="3"/>
        <v>9631.0537745137699</v>
      </c>
      <c r="O27" s="696">
        <f t="shared" ca="1" si="3"/>
        <v>11023.568577660957</v>
      </c>
      <c r="P27" s="696">
        <f t="shared" si="3"/>
        <v>456.05985132851157</v>
      </c>
      <c r="Q27" s="696">
        <f t="shared" si="3"/>
        <v>1399.7100056028071</v>
      </c>
      <c r="R27" s="696">
        <f t="shared" ca="1" si="3"/>
        <v>803991.52262622782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14469.684000756302</v>
      </c>
      <c r="D40" s="686">
        <f ca="1">tertiair!C20</f>
        <v>193.54402894405803</v>
      </c>
      <c r="E40" s="686">
        <f ca="1">tertiair!D20</f>
        <v>13441.217388270306</v>
      </c>
      <c r="F40" s="686">
        <f>tertiair!E20</f>
        <v>194.2746123870491</v>
      </c>
      <c r="G40" s="686">
        <f ca="1">tertiair!F20</f>
        <v>1819.2397774350741</v>
      </c>
      <c r="H40" s="686">
        <f>tertiair!G20</f>
        <v>0</v>
      </c>
      <c r="I40" s="686">
        <f>tertiair!H20</f>
        <v>0</v>
      </c>
      <c r="J40" s="686">
        <f>tertiair!I20</f>
        <v>0</v>
      </c>
      <c r="K40" s="686">
        <f>tertiair!J20</f>
        <v>3.8774246996824253E-2</v>
      </c>
      <c r="L40" s="686">
        <f>tertiair!K20</f>
        <v>0</v>
      </c>
      <c r="M40" s="686">
        <f ca="1">tertiair!L20</f>
        <v>0</v>
      </c>
      <c r="N40" s="686">
        <f>tertiair!M20</f>
        <v>0</v>
      </c>
      <c r="O40" s="686">
        <f ca="1">tertiair!N20</f>
        <v>0</v>
      </c>
      <c r="P40" s="686">
        <f>tertiair!O20</f>
        <v>0</v>
      </c>
      <c r="Q40" s="769">
        <f>tertiair!P20</f>
        <v>0</v>
      </c>
      <c r="R40" s="849">
        <f t="shared" ca="1" si="4"/>
        <v>30117.998582039789</v>
      </c>
    </row>
    <row r="41" spans="1:18">
      <c r="A41" s="821" t="s">
        <v>224</v>
      </c>
      <c r="B41" s="828"/>
      <c r="C41" s="686">
        <f ca="1">huishoudens!B12</f>
        <v>11191.69883053887</v>
      </c>
      <c r="D41" s="686">
        <f ca="1">huishoudens!C12</f>
        <v>0</v>
      </c>
      <c r="E41" s="686">
        <f>huishoudens!D12</f>
        <v>33597.653144897602</v>
      </c>
      <c r="F41" s="686">
        <f>huishoudens!E12</f>
        <v>2129.8788084093226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46919.230783845793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9380.2894002601897</v>
      </c>
      <c r="D43" s="686">
        <f ca="1">industrie!C22</f>
        <v>0</v>
      </c>
      <c r="E43" s="686">
        <f>industrie!D22</f>
        <v>8318.2938636712661</v>
      </c>
      <c r="F43" s="686">
        <f>industrie!E22</f>
        <v>522.97713436531444</v>
      </c>
      <c r="G43" s="686">
        <f>industrie!F22</f>
        <v>2675.9918051003133</v>
      </c>
      <c r="H43" s="686">
        <f>industrie!G22</f>
        <v>0</v>
      </c>
      <c r="I43" s="686">
        <f>industrie!H22</f>
        <v>0</v>
      </c>
      <c r="J43" s="686">
        <f>industrie!I22</f>
        <v>0</v>
      </c>
      <c r="K43" s="686">
        <f>industrie!J22</f>
        <v>130.50907050644275</v>
      </c>
      <c r="L43" s="686">
        <f>industrie!K22</f>
        <v>0</v>
      </c>
      <c r="M43" s="686">
        <f>industrie!L22</f>
        <v>0</v>
      </c>
      <c r="N43" s="686">
        <f>industrie!M22</f>
        <v>0</v>
      </c>
      <c r="O43" s="686">
        <f>industrie!N22</f>
        <v>0</v>
      </c>
      <c r="P43" s="686">
        <f>industrie!O22</f>
        <v>0</v>
      </c>
      <c r="Q43" s="769">
        <f>industrie!P22</f>
        <v>0</v>
      </c>
      <c r="R43" s="848">
        <f t="shared" ca="1" si="4"/>
        <v>21028.061273903528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35041.672231555363</v>
      </c>
      <c r="D46" s="722">
        <f t="shared" ref="D46:Q46" ca="1" si="5">SUM(D39:D45)</f>
        <v>193.54402894405803</v>
      </c>
      <c r="E46" s="722">
        <f t="shared" ca="1" si="5"/>
        <v>55357.164396839173</v>
      </c>
      <c r="F46" s="722">
        <f t="shared" si="5"/>
        <v>2847.1305551616861</v>
      </c>
      <c r="G46" s="722">
        <f t="shared" ca="1" si="5"/>
        <v>4495.2315825353871</v>
      </c>
      <c r="H46" s="722">
        <f t="shared" si="5"/>
        <v>0</v>
      </c>
      <c r="I46" s="722">
        <f t="shared" si="5"/>
        <v>0</v>
      </c>
      <c r="J46" s="722">
        <f t="shared" si="5"/>
        <v>0</v>
      </c>
      <c r="K46" s="722">
        <f t="shared" si="5"/>
        <v>130.54784475343959</v>
      </c>
      <c r="L46" s="722">
        <f t="shared" si="5"/>
        <v>0</v>
      </c>
      <c r="M46" s="722">
        <f t="shared" ca="1" si="5"/>
        <v>0</v>
      </c>
      <c r="N46" s="722">
        <f t="shared" si="5"/>
        <v>0</v>
      </c>
      <c r="O46" s="722">
        <f t="shared" ca="1" si="5"/>
        <v>0</v>
      </c>
      <c r="P46" s="722">
        <f t="shared" si="5"/>
        <v>0</v>
      </c>
      <c r="Q46" s="722">
        <f t="shared" si="5"/>
        <v>0</v>
      </c>
      <c r="R46" s="722">
        <f ca="1">SUM(R39:R45)</f>
        <v>98065.290639789106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1146.7813826399308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1146.7813826399308</v>
      </c>
    </row>
    <row r="50" spans="1:18">
      <c r="A50" s="824" t="s">
        <v>306</v>
      </c>
      <c r="B50" s="834"/>
      <c r="C50" s="692">
        <f ca="1">transport!B18</f>
        <v>16.63070067953079</v>
      </c>
      <c r="D50" s="692">
        <f>transport!C18</f>
        <v>0</v>
      </c>
      <c r="E50" s="692">
        <f>transport!D18</f>
        <v>58.87937928374086</v>
      </c>
      <c r="F50" s="692">
        <f>transport!E18</f>
        <v>56.205728012737588</v>
      </c>
      <c r="G50" s="692">
        <f>transport!F18</f>
        <v>0</v>
      </c>
      <c r="H50" s="692">
        <f>transport!G18</f>
        <v>35150.108932685784</v>
      </c>
      <c r="I50" s="692">
        <f>transport!H18</f>
        <v>6784.115181311905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42065.939921973702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16.63070067953079</v>
      </c>
      <c r="D52" s="722">
        <f t="shared" ref="D52:Q52" ca="1" si="6">SUM(D48:D51)</f>
        <v>0</v>
      </c>
      <c r="E52" s="722">
        <f t="shared" si="6"/>
        <v>58.87937928374086</v>
      </c>
      <c r="F52" s="722">
        <f t="shared" si="6"/>
        <v>56.205728012737588</v>
      </c>
      <c r="G52" s="722">
        <f t="shared" si="6"/>
        <v>0</v>
      </c>
      <c r="H52" s="722">
        <f t="shared" si="6"/>
        <v>36296.890315325712</v>
      </c>
      <c r="I52" s="722">
        <f t="shared" si="6"/>
        <v>6784.115181311905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43212.721304613631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560.04069380563203</v>
      </c>
      <c r="D54" s="692">
        <f ca="1">+landbouw!C12</f>
        <v>22174.477641855683</v>
      </c>
      <c r="E54" s="692">
        <f>+landbouw!D12</f>
        <v>2098.7413725262222</v>
      </c>
      <c r="F54" s="692">
        <f>+landbouw!E12</f>
        <v>20.400347161138296</v>
      </c>
      <c r="G54" s="692">
        <f>+landbouw!F12</f>
        <v>716.6545420169831</v>
      </c>
      <c r="H54" s="692">
        <f>+landbouw!G12</f>
        <v>0</v>
      </c>
      <c r="I54" s="692">
        <f>+landbouw!H12</f>
        <v>0</v>
      </c>
      <c r="J54" s="692">
        <f>+landbouw!I12</f>
        <v>0</v>
      </c>
      <c r="K54" s="692">
        <f>+landbouw!J12</f>
        <v>280.83958210378034</v>
      </c>
      <c r="L54" s="692">
        <f>+landbouw!K12</f>
        <v>0</v>
      </c>
      <c r="M54" s="692">
        <f>+landbouw!L12</f>
        <v>0</v>
      </c>
      <c r="N54" s="692">
        <f>+landbouw!M12</f>
        <v>0</v>
      </c>
      <c r="O54" s="692">
        <f>+landbouw!N12</f>
        <v>0</v>
      </c>
      <c r="P54" s="692">
        <f>+landbouw!O12</f>
        <v>0</v>
      </c>
      <c r="Q54" s="693">
        <f>+landbouw!P12</f>
        <v>0</v>
      </c>
      <c r="R54" s="721">
        <f ca="1">SUM(C54:Q54)</f>
        <v>25851.154179469442</v>
      </c>
    </row>
    <row r="55" spans="1:18" ht="15" thickBot="1">
      <c r="A55" s="824" t="s">
        <v>724</v>
      </c>
      <c r="B55" s="834"/>
      <c r="C55" s="692">
        <f ca="1">C25*'EF ele_warmte'!B12</f>
        <v>579.01186383515221</v>
      </c>
      <c r="D55" s="692"/>
      <c r="E55" s="692">
        <f>E25*EF_CO2_aardgas</f>
        <v>1994.846964242</v>
      </c>
      <c r="F55" s="692"/>
      <c r="G55" s="692"/>
      <c r="H55" s="692"/>
      <c r="I55" s="692"/>
      <c r="J55" s="692"/>
      <c r="K55" s="692"/>
      <c r="L55" s="692"/>
      <c r="M55" s="692"/>
      <c r="N55" s="692"/>
      <c r="O55" s="692"/>
      <c r="P55" s="692"/>
      <c r="Q55" s="693"/>
      <c r="R55" s="721">
        <f ca="1">SUM(C55:Q55)</f>
        <v>2573.8588280771523</v>
      </c>
    </row>
    <row r="56" spans="1:18" ht="15.75" thickBot="1">
      <c r="A56" s="822" t="s">
        <v>725</v>
      </c>
      <c r="B56" s="835"/>
      <c r="C56" s="722">
        <f ca="1">SUM(C54:C55)</f>
        <v>1139.0525576407842</v>
      </c>
      <c r="D56" s="722">
        <f t="shared" ref="D56:Q56" ca="1" si="7">SUM(D54:D55)</f>
        <v>22174.477641855683</v>
      </c>
      <c r="E56" s="722">
        <f t="shared" si="7"/>
        <v>4093.5883367682222</v>
      </c>
      <c r="F56" s="722">
        <f t="shared" si="7"/>
        <v>20.400347161138296</v>
      </c>
      <c r="G56" s="722">
        <f t="shared" si="7"/>
        <v>716.6545420169831</v>
      </c>
      <c r="H56" s="722">
        <f t="shared" si="7"/>
        <v>0</v>
      </c>
      <c r="I56" s="722">
        <f t="shared" si="7"/>
        <v>0</v>
      </c>
      <c r="J56" s="722">
        <f t="shared" si="7"/>
        <v>0</v>
      </c>
      <c r="K56" s="722">
        <f t="shared" si="7"/>
        <v>280.83958210378034</v>
      </c>
      <c r="L56" s="722">
        <f t="shared" si="7"/>
        <v>0</v>
      </c>
      <c r="M56" s="722">
        <f t="shared" si="7"/>
        <v>0</v>
      </c>
      <c r="N56" s="722">
        <f t="shared" si="7"/>
        <v>0</v>
      </c>
      <c r="O56" s="722">
        <f t="shared" si="7"/>
        <v>0</v>
      </c>
      <c r="P56" s="722">
        <f t="shared" si="7"/>
        <v>0</v>
      </c>
      <c r="Q56" s="723">
        <f t="shared" si="7"/>
        <v>0</v>
      </c>
      <c r="R56" s="724">
        <f ca="1">SUM(R54:R55)</f>
        <v>28425.013007546593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36197.355489875677</v>
      </c>
      <c r="D61" s="730">
        <f t="shared" ref="D61:Q61" ca="1" si="8">D46+D52+D56</f>
        <v>22368.021670799742</v>
      </c>
      <c r="E61" s="730">
        <f t="shared" ca="1" si="8"/>
        <v>59509.632112891137</v>
      </c>
      <c r="F61" s="730">
        <f t="shared" si="8"/>
        <v>2923.7366303355616</v>
      </c>
      <c r="G61" s="730">
        <f t="shared" ca="1" si="8"/>
        <v>5211.8861245523703</v>
      </c>
      <c r="H61" s="730">
        <f t="shared" si="8"/>
        <v>36296.890315325712</v>
      </c>
      <c r="I61" s="730">
        <f t="shared" si="8"/>
        <v>6784.115181311905</v>
      </c>
      <c r="J61" s="730">
        <f t="shared" si="8"/>
        <v>0</v>
      </c>
      <c r="K61" s="730">
        <f t="shared" si="8"/>
        <v>411.38742685721991</v>
      </c>
      <c r="L61" s="730">
        <f t="shared" si="8"/>
        <v>0</v>
      </c>
      <c r="M61" s="730">
        <f t="shared" ca="1" si="8"/>
        <v>0</v>
      </c>
      <c r="N61" s="730">
        <f t="shared" si="8"/>
        <v>0</v>
      </c>
      <c r="O61" s="730">
        <f t="shared" ca="1" si="8"/>
        <v>0</v>
      </c>
      <c r="P61" s="730">
        <f t="shared" si="8"/>
        <v>0</v>
      </c>
      <c r="Q61" s="730">
        <f t="shared" si="8"/>
        <v>0</v>
      </c>
      <c r="R61" s="730">
        <f ca="1">R46+R52+R56</f>
        <v>169703.02495194934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0.19448990494100346</v>
      </c>
      <c r="D63" s="776">
        <f t="shared" ca="1" si="9"/>
        <v>0.21504892104895332</v>
      </c>
      <c r="E63" s="975">
        <f t="shared" ca="1" si="9"/>
        <v>0.20199999999999999</v>
      </c>
      <c r="F63" s="776">
        <f t="shared" si="9"/>
        <v>0.22699999999999992</v>
      </c>
      <c r="G63" s="776">
        <f t="shared" ca="1" si="9"/>
        <v>0.26700000000000002</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10351.166216268251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8026.7394900383833</v>
      </c>
      <c r="C76" s="743">
        <f>'lokale energieproductie'!B8*IFERROR(SUM(D76:H76)/SUM(D76:O76),0)</f>
        <v>67330.260509961605</v>
      </c>
      <c r="D76" s="958">
        <f>'lokale energieproductie'!C8</f>
        <v>76064.330211704495</v>
      </c>
      <c r="E76" s="959">
        <f>'lokale energieproductie'!D8</f>
        <v>0</v>
      </c>
      <c r="F76" s="959">
        <f>'lokale energieproductie'!E8</f>
        <v>3147.7409764856411</v>
      </c>
      <c r="G76" s="959">
        <f>'lokale energieproductie'!F8</f>
        <v>0</v>
      </c>
      <c r="H76" s="959">
        <f>'lokale energieproductie'!G8</f>
        <v>0</v>
      </c>
      <c r="I76" s="959">
        <f>'lokale energieproductie'!I8</f>
        <v>9443.2229294569224</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16205.441543485975</v>
      </c>
      <c r="R76" s="851">
        <v>0</v>
      </c>
    </row>
    <row r="77" spans="1:18" ht="15.75" thickBot="1">
      <c r="A77" s="746" t="s">
        <v>784</v>
      </c>
      <c r="B77" s="743">
        <f>'lokale energieproductie'!B9*IFERROR(SUM(I77:O77)/SUM(D77:O77),0)</f>
        <v>9945</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28414.285714285717</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28322.905706306636</v>
      </c>
      <c r="C78" s="748">
        <f>SUM(C72:C77)</f>
        <v>67330.260509961605</v>
      </c>
      <c r="D78" s="749">
        <f t="shared" ref="D78:H78" si="10">SUM(D76:D77)</f>
        <v>76064.330211704495</v>
      </c>
      <c r="E78" s="749">
        <f t="shared" si="10"/>
        <v>0</v>
      </c>
      <c r="F78" s="749">
        <f t="shared" si="10"/>
        <v>3147.7409764856411</v>
      </c>
      <c r="G78" s="749">
        <f t="shared" si="10"/>
        <v>0</v>
      </c>
      <c r="H78" s="749">
        <f t="shared" si="10"/>
        <v>0</v>
      </c>
      <c r="I78" s="749">
        <f>SUM(I76:I77)</f>
        <v>9443.2229294569224</v>
      </c>
      <c r="J78" s="749">
        <f>SUM(J76:J77)</f>
        <v>28414.285714285717</v>
      </c>
      <c r="K78" s="749">
        <f t="shared" ref="K78:L78" si="11">SUM(K76:K77)</f>
        <v>0</v>
      </c>
      <c r="L78" s="749">
        <f t="shared" si="11"/>
        <v>0</v>
      </c>
      <c r="M78" s="749">
        <f>SUM(M76:M77)</f>
        <v>0</v>
      </c>
      <c r="N78" s="749">
        <f>SUM(N76:N77)</f>
        <v>0</v>
      </c>
      <c r="O78" s="859">
        <f>SUM(O76:O77)</f>
        <v>0</v>
      </c>
      <c r="P78" s="750">
        <v>0</v>
      </c>
      <c r="Q78" s="750">
        <f>SUM(Q76:Q77)</f>
        <v>16205.441543485975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11079.135509961616</v>
      </c>
      <c r="C87" s="761">
        <f>'lokale energieproductie'!B17*IFERROR(SUM(D87:H87)/SUM(D87:O87),0)</f>
        <v>92934.50734718125</v>
      </c>
      <c r="D87" s="772">
        <f>'lokale energieproductie'!C17</f>
        <v>104989.95550258122</v>
      </c>
      <c r="E87" s="772">
        <f>'lokale energieproductie'!D17</f>
        <v>0</v>
      </c>
      <c r="F87" s="772">
        <f>'lokale energieproductie'!E17</f>
        <v>4344.7590235143598</v>
      </c>
      <c r="G87" s="772">
        <f>'lokale energieproductie'!F17</f>
        <v>0</v>
      </c>
      <c r="H87" s="772">
        <f>'lokale energieproductie'!G17</f>
        <v>0</v>
      </c>
      <c r="I87" s="772">
        <f>'lokale energieproductie'!I17</f>
        <v>13034.277070543078</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22368.021670799742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11079.135509961616</v>
      </c>
      <c r="C90" s="748">
        <f>SUM(C87:C89)</f>
        <v>92934.50734718125</v>
      </c>
      <c r="D90" s="748">
        <f t="shared" ref="D90:H90" si="12">SUM(D87:D89)</f>
        <v>104989.95550258122</v>
      </c>
      <c r="E90" s="748">
        <f t="shared" si="12"/>
        <v>0</v>
      </c>
      <c r="F90" s="748">
        <f t="shared" si="12"/>
        <v>4344.7590235143598</v>
      </c>
      <c r="G90" s="748">
        <f t="shared" si="12"/>
        <v>0</v>
      </c>
      <c r="H90" s="748">
        <f t="shared" si="12"/>
        <v>0</v>
      </c>
      <c r="I90" s="748">
        <f>SUM(I87:I89)</f>
        <v>13034.277070543078</v>
      </c>
      <c r="J90" s="748">
        <f>SUM(J87:J89)</f>
        <v>0</v>
      </c>
      <c r="K90" s="748">
        <f t="shared" ref="K90:L90" si="13">SUM(K87:K89)</f>
        <v>0</v>
      </c>
      <c r="L90" s="748">
        <f t="shared" si="13"/>
        <v>0</v>
      </c>
      <c r="M90" s="748">
        <f>SUM(M87:M89)</f>
        <v>0</v>
      </c>
      <c r="N90" s="748">
        <f>SUM(N87:N89)</f>
        <v>0</v>
      </c>
      <c r="O90" s="748">
        <f>SUM(O87:O89)</f>
        <v>0</v>
      </c>
      <c r="P90" s="748">
        <v>0</v>
      </c>
      <c r="Q90" s="748">
        <f>SUM(Q87:Q89)</f>
        <v>22368.021670799742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299" zoomScale="65" zoomScaleNormal="65" workbookViewId="0">
      <selection activeCell="M37" sqref="M37"/>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10351.166216268251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N38</f>
        <v>75357</v>
      </c>
      <c r="C8" s="548">
        <f>B57</f>
        <v>76064.330211704495</v>
      </c>
      <c r="D8" s="549"/>
      <c r="E8" s="549">
        <f>E57</f>
        <v>3147.7409764856411</v>
      </c>
      <c r="F8" s="550"/>
      <c r="G8" s="551"/>
      <c r="H8" s="549">
        <f>I57</f>
        <v>0</v>
      </c>
      <c r="I8" s="549">
        <f>G57+F57</f>
        <v>9443.2229294569224</v>
      </c>
      <c r="J8" s="549">
        <f>H57+D57+C57</f>
        <v>0</v>
      </c>
      <c r="K8" s="549"/>
      <c r="L8" s="549"/>
      <c r="M8" s="549"/>
      <c r="N8" s="552"/>
      <c r="O8" s="553">
        <f>C8*$C$12+D8*$D$12+E8*$E$12+F8*$F$12+G8*$G$12+H8*$H$12+I8*$I$12+J8*$J$12</f>
        <v>16205.441543485975</v>
      </c>
      <c r="P8" s="1244"/>
      <c r="Q8" s="1245"/>
      <c r="S8" s="543"/>
      <c r="T8" s="1232"/>
      <c r="U8" s="1232"/>
    </row>
    <row r="9" spans="1:21" s="534" customFormat="1" ht="17.45" customHeight="1" thickBot="1">
      <c r="A9" s="554" t="s">
        <v>247</v>
      </c>
      <c r="B9" s="555">
        <f>N45+'Eigen informatie GS &amp; warmtenet'!B12</f>
        <v>9945</v>
      </c>
      <c r="C9" s="556">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95653.166216268248</v>
      </c>
      <c r="C10" s="563">
        <f t="shared" ref="C10:L10" si="0">SUM(C8:C9)</f>
        <v>76064.330211704495</v>
      </c>
      <c r="D10" s="563">
        <f t="shared" si="0"/>
        <v>0</v>
      </c>
      <c r="E10" s="563">
        <f t="shared" si="0"/>
        <v>3147.7409764856411</v>
      </c>
      <c r="F10" s="563">
        <f t="shared" si="0"/>
        <v>0</v>
      </c>
      <c r="G10" s="563">
        <f t="shared" si="0"/>
        <v>0</v>
      </c>
      <c r="H10" s="563">
        <f t="shared" si="0"/>
        <v>0</v>
      </c>
      <c r="I10" s="563">
        <f t="shared" si="0"/>
        <v>9443.2229294569224</v>
      </c>
      <c r="J10" s="563">
        <f t="shared" si="0"/>
        <v>28414.285714285717</v>
      </c>
      <c r="K10" s="563">
        <f t="shared" si="0"/>
        <v>0</v>
      </c>
      <c r="L10" s="563">
        <f t="shared" si="0"/>
        <v>0</v>
      </c>
      <c r="M10" s="971"/>
      <c r="N10" s="971"/>
      <c r="O10" s="564">
        <f>SUM(O4:O9)</f>
        <v>16205.441543485975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O38</f>
        <v>104013.64285714286</v>
      </c>
      <c r="C17" s="579">
        <f>B58</f>
        <v>104989.95550258122</v>
      </c>
      <c r="D17" s="580"/>
      <c r="E17" s="580">
        <f>E58</f>
        <v>4344.7590235143598</v>
      </c>
      <c r="F17" s="581"/>
      <c r="G17" s="582"/>
      <c r="H17" s="579">
        <f>I58</f>
        <v>0</v>
      </c>
      <c r="I17" s="580">
        <f>G58+F58</f>
        <v>13034.277070543078</v>
      </c>
      <c r="J17" s="580">
        <f>H58+D58+C58</f>
        <v>0</v>
      </c>
      <c r="K17" s="580"/>
      <c r="L17" s="580"/>
      <c r="M17" s="580"/>
      <c r="N17" s="972"/>
      <c r="O17" s="583">
        <f>C17*$C$22+E17*$E$22+H17*$H$22+I17*$I$22+J17*$J$22+D17*$D$22+F17*$F$22+G17*$G$22+K17*$K$22+L17*$L$22</f>
        <v>22368.021670799742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104013.64285714286</v>
      </c>
      <c r="C20" s="562">
        <f>SUM(C17:C19)</f>
        <v>104989.95550258122</v>
      </c>
      <c r="D20" s="562">
        <f t="shared" ref="D20:L20" si="1">SUM(D17:D19)</f>
        <v>0</v>
      </c>
      <c r="E20" s="562">
        <f t="shared" si="1"/>
        <v>4344.7590235143598</v>
      </c>
      <c r="F20" s="562">
        <f t="shared" si="1"/>
        <v>0</v>
      </c>
      <c r="G20" s="562">
        <f t="shared" si="1"/>
        <v>0</v>
      </c>
      <c r="H20" s="562">
        <f t="shared" si="1"/>
        <v>0</v>
      </c>
      <c r="I20" s="562">
        <f t="shared" si="1"/>
        <v>13034.277070543078</v>
      </c>
      <c r="J20" s="562">
        <f t="shared" si="1"/>
        <v>0</v>
      </c>
      <c r="K20" s="562">
        <f t="shared" si="1"/>
        <v>0</v>
      </c>
      <c r="L20" s="562">
        <f t="shared" si="1"/>
        <v>0</v>
      </c>
      <c r="M20" s="562"/>
      <c r="N20" s="562"/>
      <c r="O20" s="588">
        <f>SUM(O17:O19)</f>
        <v>22368.021670799742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12021</v>
      </c>
      <c r="C28" s="791">
        <v>2500</v>
      </c>
      <c r="D28" s="640" t="s">
        <v>888</v>
      </c>
      <c r="E28" s="639" t="s">
        <v>889</v>
      </c>
      <c r="F28" s="639" t="s">
        <v>890</v>
      </c>
      <c r="G28" s="639" t="s">
        <v>891</v>
      </c>
      <c r="H28" s="639" t="s">
        <v>892</v>
      </c>
      <c r="I28" s="639" t="s">
        <v>889</v>
      </c>
      <c r="J28" s="790">
        <v>39386</v>
      </c>
      <c r="K28" s="790">
        <v>39218</v>
      </c>
      <c r="L28" s="639" t="s">
        <v>893</v>
      </c>
      <c r="M28" s="639">
        <v>3116</v>
      </c>
      <c r="N28" s="639">
        <v>14022</v>
      </c>
      <c r="O28" s="639">
        <v>20031.428571428572</v>
      </c>
      <c r="P28" s="639">
        <v>40062.857142857145</v>
      </c>
      <c r="Q28" s="639">
        <v>0</v>
      </c>
      <c r="R28" s="639">
        <v>0</v>
      </c>
      <c r="S28" s="639">
        <v>0</v>
      </c>
      <c r="T28" s="639">
        <v>0</v>
      </c>
      <c r="U28" s="639">
        <v>0</v>
      </c>
      <c r="V28" s="639">
        <v>0</v>
      </c>
      <c r="W28" s="639">
        <v>0</v>
      </c>
      <c r="X28" s="639">
        <v>10</v>
      </c>
      <c r="Y28" s="639" t="s">
        <v>111</v>
      </c>
      <c r="Z28" s="641" t="s">
        <v>111</v>
      </c>
    </row>
    <row r="29" spans="1:26" s="593" customFormat="1" ht="25.5">
      <c r="A29" s="592"/>
      <c r="B29" s="791">
        <v>12021</v>
      </c>
      <c r="C29" s="791">
        <v>2500</v>
      </c>
      <c r="D29" s="640" t="s">
        <v>894</v>
      </c>
      <c r="E29" s="639" t="s">
        <v>895</v>
      </c>
      <c r="F29" s="639" t="s">
        <v>896</v>
      </c>
      <c r="G29" s="639" t="s">
        <v>891</v>
      </c>
      <c r="H29" s="639" t="s">
        <v>892</v>
      </c>
      <c r="I29" s="639" t="s">
        <v>895</v>
      </c>
      <c r="J29" s="790">
        <v>39370</v>
      </c>
      <c r="K29" s="790">
        <v>39444</v>
      </c>
      <c r="L29" s="639" t="s">
        <v>893</v>
      </c>
      <c r="M29" s="639">
        <v>1147</v>
      </c>
      <c r="N29" s="639">
        <v>5161.5</v>
      </c>
      <c r="O29" s="639">
        <v>7373.5714285714284</v>
      </c>
      <c r="P29" s="639">
        <v>14747.142857142859</v>
      </c>
      <c r="Q29" s="639">
        <v>0</v>
      </c>
      <c r="R29" s="639">
        <v>0</v>
      </c>
      <c r="S29" s="639">
        <v>0</v>
      </c>
      <c r="T29" s="639">
        <v>0</v>
      </c>
      <c r="U29" s="639">
        <v>0</v>
      </c>
      <c r="V29" s="639">
        <v>0</v>
      </c>
      <c r="W29" s="639">
        <v>0</v>
      </c>
      <c r="X29" s="639">
        <v>10</v>
      </c>
      <c r="Y29" s="639" t="s">
        <v>111</v>
      </c>
      <c r="Z29" s="641" t="s">
        <v>111</v>
      </c>
    </row>
    <row r="30" spans="1:26" s="593" customFormat="1" ht="38.25">
      <c r="A30" s="592"/>
      <c r="B30" s="791">
        <v>12021</v>
      </c>
      <c r="C30" s="791">
        <v>2500</v>
      </c>
      <c r="D30" s="640" t="s">
        <v>897</v>
      </c>
      <c r="E30" s="639" t="s">
        <v>898</v>
      </c>
      <c r="F30" s="639" t="s">
        <v>899</v>
      </c>
      <c r="G30" s="639" t="s">
        <v>891</v>
      </c>
      <c r="H30" s="639" t="s">
        <v>900</v>
      </c>
      <c r="I30" s="639" t="s">
        <v>898</v>
      </c>
      <c r="J30" s="790">
        <v>40823</v>
      </c>
      <c r="K30" s="790">
        <v>39630</v>
      </c>
      <c r="L30" s="639" t="s">
        <v>893</v>
      </c>
      <c r="M30" s="639">
        <v>2664</v>
      </c>
      <c r="N30" s="639">
        <v>11988</v>
      </c>
      <c r="O30" s="639">
        <v>13486.5</v>
      </c>
      <c r="P30" s="639">
        <v>0</v>
      </c>
      <c r="Q30" s="639">
        <v>0</v>
      </c>
      <c r="R30" s="639">
        <v>0</v>
      </c>
      <c r="S30" s="639">
        <v>7492.5</v>
      </c>
      <c r="T30" s="639">
        <v>0</v>
      </c>
      <c r="U30" s="639">
        <v>22477.5</v>
      </c>
      <c r="V30" s="639">
        <v>0</v>
      </c>
      <c r="W30" s="639">
        <v>0</v>
      </c>
      <c r="X30" s="639">
        <v>10</v>
      </c>
      <c r="Y30" s="639" t="s">
        <v>111</v>
      </c>
      <c r="Z30" s="641" t="s">
        <v>111</v>
      </c>
    </row>
    <row r="31" spans="1:26" s="593" customFormat="1" ht="38.25">
      <c r="A31" s="592"/>
      <c r="B31" s="791">
        <v>12021</v>
      </c>
      <c r="C31" s="791">
        <v>2500</v>
      </c>
      <c r="D31" s="640" t="s">
        <v>901</v>
      </c>
      <c r="E31" s="639" t="s">
        <v>902</v>
      </c>
      <c r="F31" s="639" t="s">
        <v>903</v>
      </c>
      <c r="G31" s="639" t="s">
        <v>891</v>
      </c>
      <c r="H31" s="639" t="s">
        <v>892</v>
      </c>
      <c r="I31" s="639" t="s">
        <v>904</v>
      </c>
      <c r="J31" s="790">
        <v>40016</v>
      </c>
      <c r="K31" s="790">
        <v>40023</v>
      </c>
      <c r="L31" s="639" t="s">
        <v>893</v>
      </c>
      <c r="M31" s="639">
        <v>1008</v>
      </c>
      <c r="N31" s="639">
        <v>4536</v>
      </c>
      <c r="O31" s="639">
        <v>6480</v>
      </c>
      <c r="P31" s="639">
        <v>12960</v>
      </c>
      <c r="Q31" s="639">
        <v>0</v>
      </c>
      <c r="R31" s="639">
        <v>0</v>
      </c>
      <c r="S31" s="639">
        <v>0</v>
      </c>
      <c r="T31" s="639">
        <v>0</v>
      </c>
      <c r="U31" s="639">
        <v>0</v>
      </c>
      <c r="V31" s="639">
        <v>0</v>
      </c>
      <c r="W31" s="639">
        <v>0</v>
      </c>
      <c r="X31" s="639">
        <v>10</v>
      </c>
      <c r="Y31" s="639" t="s">
        <v>111</v>
      </c>
      <c r="Z31" s="641" t="s">
        <v>111</v>
      </c>
    </row>
    <row r="32" spans="1:26" s="593" customFormat="1" ht="25.5">
      <c r="A32" s="592"/>
      <c r="B32" s="791">
        <v>12021</v>
      </c>
      <c r="C32" s="791">
        <v>2500</v>
      </c>
      <c r="D32" s="640" t="s">
        <v>905</v>
      </c>
      <c r="E32" s="639" t="s">
        <v>906</v>
      </c>
      <c r="F32" s="639" t="s">
        <v>907</v>
      </c>
      <c r="G32" s="639" t="s">
        <v>891</v>
      </c>
      <c r="H32" s="639" t="s">
        <v>892</v>
      </c>
      <c r="I32" s="639" t="s">
        <v>908</v>
      </c>
      <c r="J32" s="790">
        <v>39998</v>
      </c>
      <c r="K32" s="790">
        <v>40028</v>
      </c>
      <c r="L32" s="639" t="s">
        <v>893</v>
      </c>
      <c r="M32" s="639">
        <v>1562</v>
      </c>
      <c r="N32" s="639">
        <v>7029</v>
      </c>
      <c r="O32" s="639">
        <v>10041.428571428572</v>
      </c>
      <c r="P32" s="639">
        <v>20082.857142857145</v>
      </c>
      <c r="Q32" s="639">
        <v>0</v>
      </c>
      <c r="R32" s="639">
        <v>0</v>
      </c>
      <c r="S32" s="639">
        <v>0</v>
      </c>
      <c r="T32" s="639">
        <v>0</v>
      </c>
      <c r="U32" s="639">
        <v>0</v>
      </c>
      <c r="V32" s="639">
        <v>0</v>
      </c>
      <c r="W32" s="639">
        <v>0</v>
      </c>
      <c r="X32" s="639">
        <v>10</v>
      </c>
      <c r="Y32" s="639" t="s">
        <v>111</v>
      </c>
      <c r="Z32" s="641" t="s">
        <v>111</v>
      </c>
    </row>
    <row r="33" spans="1:26" s="593" customFormat="1" ht="25.5">
      <c r="A33" s="592"/>
      <c r="B33" s="791">
        <v>12021</v>
      </c>
      <c r="C33" s="791">
        <v>2500</v>
      </c>
      <c r="D33" s="640" t="s">
        <v>909</v>
      </c>
      <c r="E33" s="639" t="s">
        <v>910</v>
      </c>
      <c r="F33" s="639" t="s">
        <v>911</v>
      </c>
      <c r="G33" s="639" t="s">
        <v>891</v>
      </c>
      <c r="H33" s="639" t="s">
        <v>892</v>
      </c>
      <c r="I33" s="639" t="s">
        <v>910</v>
      </c>
      <c r="J33" s="790">
        <v>40043</v>
      </c>
      <c r="K33" s="790">
        <v>40043</v>
      </c>
      <c r="L33" s="639" t="s">
        <v>893</v>
      </c>
      <c r="M33" s="639">
        <v>2425</v>
      </c>
      <c r="N33" s="639">
        <v>10912.5</v>
      </c>
      <c r="O33" s="639">
        <v>15589.285714285714</v>
      </c>
      <c r="P33" s="639">
        <v>31178.571428571431</v>
      </c>
      <c r="Q33" s="639">
        <v>0</v>
      </c>
      <c r="R33" s="639">
        <v>0</v>
      </c>
      <c r="S33" s="639">
        <v>0</v>
      </c>
      <c r="T33" s="639">
        <v>0</v>
      </c>
      <c r="U33" s="639">
        <v>0</v>
      </c>
      <c r="V33" s="639">
        <v>0</v>
      </c>
      <c r="W33" s="639">
        <v>0</v>
      </c>
      <c r="X33" s="639">
        <v>10</v>
      </c>
      <c r="Y33" s="639" t="s">
        <v>111</v>
      </c>
      <c r="Z33" s="641" t="s">
        <v>111</v>
      </c>
    </row>
    <row r="34" spans="1:26" s="593" customFormat="1" ht="25.5">
      <c r="A34" s="592"/>
      <c r="B34" s="791">
        <v>12021</v>
      </c>
      <c r="C34" s="791">
        <v>2500</v>
      </c>
      <c r="D34" s="640" t="s">
        <v>912</v>
      </c>
      <c r="E34" s="639" t="s">
        <v>913</v>
      </c>
      <c r="F34" s="639" t="s">
        <v>914</v>
      </c>
      <c r="G34" s="639" t="s">
        <v>891</v>
      </c>
      <c r="H34" s="639" t="s">
        <v>892</v>
      </c>
      <c r="I34" s="639" t="s">
        <v>913</v>
      </c>
      <c r="J34" s="790">
        <v>40619</v>
      </c>
      <c r="K34" s="790">
        <v>40619</v>
      </c>
      <c r="L34" s="639" t="s">
        <v>893</v>
      </c>
      <c r="M34" s="639">
        <v>1184</v>
      </c>
      <c r="N34" s="639">
        <v>5328</v>
      </c>
      <c r="O34" s="639">
        <v>7611.4285714285716</v>
      </c>
      <c r="P34" s="639">
        <v>15222.857142857143</v>
      </c>
      <c r="Q34" s="639">
        <v>0</v>
      </c>
      <c r="R34" s="639">
        <v>0</v>
      </c>
      <c r="S34" s="639">
        <v>0</v>
      </c>
      <c r="T34" s="639">
        <v>0</v>
      </c>
      <c r="U34" s="639">
        <v>0</v>
      </c>
      <c r="V34" s="639">
        <v>0</v>
      </c>
      <c r="W34" s="639">
        <v>0</v>
      </c>
      <c r="X34" s="639">
        <v>10</v>
      </c>
      <c r="Y34" s="639" t="s">
        <v>111</v>
      </c>
      <c r="Z34" s="641" t="s">
        <v>111</v>
      </c>
    </row>
    <row r="35" spans="1:26" s="593" customFormat="1" ht="51">
      <c r="A35" s="592"/>
      <c r="B35" s="791">
        <v>12021</v>
      </c>
      <c r="C35" s="791">
        <v>2500</v>
      </c>
      <c r="D35" s="640" t="s">
        <v>915</v>
      </c>
      <c r="E35" s="639" t="s">
        <v>916</v>
      </c>
      <c r="F35" s="639" t="s">
        <v>917</v>
      </c>
      <c r="G35" s="639" t="s">
        <v>891</v>
      </c>
      <c r="H35" s="639" t="s">
        <v>892</v>
      </c>
      <c r="I35" s="639" t="s">
        <v>918</v>
      </c>
      <c r="J35" s="790">
        <v>41393</v>
      </c>
      <c r="K35" s="790">
        <v>41659</v>
      </c>
      <c r="L35" s="639" t="s">
        <v>893</v>
      </c>
      <c r="M35" s="639">
        <v>140</v>
      </c>
      <c r="N35" s="639">
        <v>630.00000000000011</v>
      </c>
      <c r="O35" s="639">
        <v>900.00000000000023</v>
      </c>
      <c r="P35" s="639">
        <v>1800.0000000000005</v>
      </c>
      <c r="Q35" s="639">
        <v>0</v>
      </c>
      <c r="R35" s="639">
        <v>0</v>
      </c>
      <c r="S35" s="639">
        <v>0</v>
      </c>
      <c r="T35" s="639">
        <v>0</v>
      </c>
      <c r="U35" s="639">
        <v>0</v>
      </c>
      <c r="V35" s="639">
        <v>0</v>
      </c>
      <c r="W35" s="639">
        <v>0</v>
      </c>
      <c r="X35" s="639">
        <v>1500</v>
      </c>
      <c r="Y35" s="639" t="s">
        <v>50</v>
      </c>
      <c r="Z35" s="641" t="s">
        <v>155</v>
      </c>
    </row>
    <row r="36" spans="1:26" s="593" customFormat="1" ht="25.5">
      <c r="A36" s="592"/>
      <c r="B36" s="791">
        <v>12021</v>
      </c>
      <c r="C36" s="791">
        <v>2500</v>
      </c>
      <c r="D36" s="640"/>
      <c r="E36" s="639"/>
      <c r="F36" s="639" t="s">
        <v>919</v>
      </c>
      <c r="G36" s="639" t="s">
        <v>891</v>
      </c>
      <c r="H36" s="639" t="s">
        <v>892</v>
      </c>
      <c r="I36" s="639" t="s">
        <v>920</v>
      </c>
      <c r="J36" s="790">
        <v>41990</v>
      </c>
      <c r="K36" s="790">
        <v>42188</v>
      </c>
      <c r="L36" s="639" t="s">
        <v>893</v>
      </c>
      <c r="M36" s="639">
        <v>2000</v>
      </c>
      <c r="N36" s="639">
        <v>9000</v>
      </c>
      <c r="O36" s="639">
        <v>12857.142857142857</v>
      </c>
      <c r="P36" s="639">
        <v>25714.285714285717</v>
      </c>
      <c r="Q36" s="639">
        <v>0</v>
      </c>
      <c r="R36" s="639">
        <v>0</v>
      </c>
      <c r="S36" s="639">
        <v>0</v>
      </c>
      <c r="T36" s="639">
        <v>0</v>
      </c>
      <c r="U36" s="639">
        <v>0</v>
      </c>
      <c r="V36" s="639">
        <v>0</v>
      </c>
      <c r="W36" s="639">
        <v>0</v>
      </c>
      <c r="X36" s="639">
        <v>10</v>
      </c>
      <c r="Y36" s="639" t="s">
        <v>921</v>
      </c>
      <c r="Z36" s="641" t="s">
        <v>111</v>
      </c>
    </row>
    <row r="37" spans="1:26" s="593" customFormat="1" ht="25.5">
      <c r="A37" s="592"/>
      <c r="B37" s="791">
        <v>12021</v>
      </c>
      <c r="C37" s="791">
        <v>2500</v>
      </c>
      <c r="D37" s="640" t="s">
        <v>922</v>
      </c>
      <c r="E37" s="639"/>
      <c r="F37" s="639" t="s">
        <v>923</v>
      </c>
      <c r="G37" s="639" t="s">
        <v>924</v>
      </c>
      <c r="H37" s="639" t="s">
        <v>892</v>
      </c>
      <c r="I37" s="639" t="s">
        <v>925</v>
      </c>
      <c r="J37" s="790">
        <v>42564</v>
      </c>
      <c r="K37" s="790">
        <v>42598</v>
      </c>
      <c r="L37" s="639" t="s">
        <v>926</v>
      </c>
      <c r="M37" s="639">
        <v>1500</v>
      </c>
      <c r="N37" s="639">
        <v>6750</v>
      </c>
      <c r="O37" s="639">
        <v>9642.8571428571431</v>
      </c>
      <c r="P37" s="639">
        <v>19285.714285714286</v>
      </c>
      <c r="Q37" s="639">
        <v>0</v>
      </c>
      <c r="R37" s="639">
        <v>0</v>
      </c>
      <c r="S37" s="639">
        <v>0</v>
      </c>
      <c r="T37" s="639">
        <v>0</v>
      </c>
      <c r="U37" s="639">
        <v>0</v>
      </c>
      <c r="V37" s="639">
        <v>0</v>
      </c>
      <c r="W37" s="639">
        <v>0</v>
      </c>
      <c r="X37" s="639">
        <v>10</v>
      </c>
      <c r="Y37" s="639" t="s">
        <v>111</v>
      </c>
      <c r="Z37" s="641" t="s">
        <v>111</v>
      </c>
    </row>
    <row r="38" spans="1:26" s="573" customFormat="1">
      <c r="A38" s="595" t="s">
        <v>279</v>
      </c>
      <c r="B38" s="596"/>
      <c r="C38" s="596"/>
      <c r="D38" s="596"/>
      <c r="E38" s="596"/>
      <c r="F38" s="596"/>
      <c r="G38" s="596"/>
      <c r="H38" s="596"/>
      <c r="I38" s="596"/>
      <c r="J38" s="596"/>
      <c r="K38" s="596"/>
      <c r="L38" s="597"/>
      <c r="M38" s="597">
        <f>SUM(M28:M37)</f>
        <v>16746</v>
      </c>
      <c r="N38" s="597">
        <f>SUM(N28:N37)</f>
        <v>75357</v>
      </c>
      <c r="O38" s="597">
        <f>SUM(O28:O37)</f>
        <v>104013.64285714286</v>
      </c>
      <c r="P38" s="597">
        <f>SUM(P28:P37)</f>
        <v>181054.28571428571</v>
      </c>
      <c r="Q38" s="597">
        <f>SUM(Q28:Q37)</f>
        <v>0</v>
      </c>
      <c r="R38" s="597">
        <f>SUM(R28:R37)</f>
        <v>0</v>
      </c>
      <c r="S38" s="597">
        <f>SUM(S28:S37)</f>
        <v>7492.5</v>
      </c>
      <c r="T38" s="597">
        <f>SUM(T28:T37)</f>
        <v>0</v>
      </c>
      <c r="U38" s="597">
        <f>SUM(U28:U37)</f>
        <v>22477.5</v>
      </c>
      <c r="V38" s="597">
        <f>SUM(V28:V37)</f>
        <v>0</v>
      </c>
      <c r="W38" s="597">
        <f>SUM(W28:W37)</f>
        <v>0</v>
      </c>
      <c r="X38" s="598"/>
      <c r="Y38" s="598"/>
      <c r="Z38" s="599"/>
    </row>
    <row r="39" spans="1:26" s="573" customFormat="1">
      <c r="A39" s="595" t="s">
        <v>286</v>
      </c>
      <c r="B39" s="596"/>
      <c r="C39" s="596"/>
      <c r="D39" s="596"/>
      <c r="E39" s="596"/>
      <c r="F39" s="596"/>
      <c r="G39" s="596"/>
      <c r="H39" s="596"/>
      <c r="I39" s="596"/>
      <c r="J39" s="596"/>
      <c r="K39" s="596"/>
      <c r="L39" s="597"/>
      <c r="M39" s="597">
        <f>SUMIF($Z$28:$Z$37,"industrie",M28:M37)</f>
        <v>0</v>
      </c>
      <c r="N39" s="597">
        <f>SUMIF($Z$28:$Z$37,"industrie",N28:N37)</f>
        <v>0</v>
      </c>
      <c r="O39" s="597">
        <f>SUMIF($Z$28:$Z$37,"industrie",O28:O37)</f>
        <v>0</v>
      </c>
      <c r="P39" s="597">
        <f>SUMIF($Z$28:$Z$37,"industrie",P28:P37)</f>
        <v>0</v>
      </c>
      <c r="Q39" s="597">
        <f>SUMIF($Z$28:$Z$37,"industrie",Q28:Q37)</f>
        <v>0</v>
      </c>
      <c r="R39" s="597">
        <f>SUMIF($Z$28:$Z$37,"industrie",R28:R37)</f>
        <v>0</v>
      </c>
      <c r="S39" s="597">
        <f>SUMIF($Z$28:$Z$37,"industrie",S28:S37)</f>
        <v>0</v>
      </c>
      <c r="T39" s="597">
        <f>SUMIF($Z$28:$Z$37,"industrie",T28:T37)</f>
        <v>0</v>
      </c>
      <c r="U39" s="597">
        <f>SUMIF($Z$28:$Z$37,"industrie",U28:U37)</f>
        <v>0</v>
      </c>
      <c r="V39" s="597">
        <f>SUMIF($Z$28:$Z$37,"industrie",V28:V37)</f>
        <v>0</v>
      </c>
      <c r="W39" s="597">
        <f>SUMIF($Z$28:$Z$37,"industrie",W28:W37)</f>
        <v>0</v>
      </c>
      <c r="X39" s="598"/>
      <c r="Y39" s="598"/>
      <c r="Z39" s="599"/>
    </row>
    <row r="40" spans="1:26" s="573" customFormat="1">
      <c r="A40" s="595" t="s">
        <v>287</v>
      </c>
      <c r="B40" s="596"/>
      <c r="C40" s="596"/>
      <c r="D40" s="596"/>
      <c r="E40" s="596"/>
      <c r="F40" s="596"/>
      <c r="G40" s="596"/>
      <c r="H40" s="596"/>
      <c r="I40" s="596"/>
      <c r="J40" s="596"/>
      <c r="K40" s="596"/>
      <c r="L40" s="597"/>
      <c r="M40" s="597">
        <f ca="1">SUMIF($Z$28:AC37,"tertiair",M28:M37)</f>
        <v>140</v>
      </c>
      <c r="N40" s="597">
        <f ca="1">SUMIF($Z$28:AD37,"tertiair",N28:N37)</f>
        <v>630.00000000000011</v>
      </c>
      <c r="O40" s="597">
        <f ca="1">SUMIF($Z$28:AE37,"tertiair",O28:O37)</f>
        <v>900.00000000000023</v>
      </c>
      <c r="P40" s="597">
        <f ca="1">SUMIF($Z$28:AF37,"tertiair",P28:P37)</f>
        <v>1800.0000000000005</v>
      </c>
      <c r="Q40" s="597">
        <f ca="1">SUMIF($Z$28:AG37,"tertiair",Q28:Q37)</f>
        <v>0</v>
      </c>
      <c r="R40" s="597">
        <f ca="1">SUMIF($Z$28:AH37,"tertiair",R28:R37)</f>
        <v>0</v>
      </c>
      <c r="S40" s="597">
        <f ca="1">SUMIF($Z$28:AI37,"tertiair",S28:S37)</f>
        <v>0</v>
      </c>
      <c r="T40" s="597">
        <f ca="1">SUMIF($Z$28:AJ37,"tertiair",T28:T37)</f>
        <v>0</v>
      </c>
      <c r="U40" s="597">
        <f ca="1">SUMIF($Z$28:AK37,"tertiair",U28:U37)</f>
        <v>0</v>
      </c>
      <c r="V40" s="597">
        <f ca="1">SUMIF($Z$28:AL37,"tertiair",V28:V37)</f>
        <v>0</v>
      </c>
      <c r="W40" s="597">
        <f ca="1">SUMIF($Z$28:AM37,"tertiair",W28:W37)</f>
        <v>0</v>
      </c>
      <c r="X40" s="598"/>
      <c r="Y40" s="598"/>
      <c r="Z40" s="599"/>
    </row>
    <row r="41" spans="1:26" s="573" customFormat="1" ht="15.75" thickBot="1">
      <c r="A41" s="600" t="s">
        <v>288</v>
      </c>
      <c r="B41" s="601"/>
      <c r="C41" s="601"/>
      <c r="D41" s="601"/>
      <c r="E41" s="601"/>
      <c r="F41" s="601"/>
      <c r="G41" s="601"/>
      <c r="H41" s="601"/>
      <c r="I41" s="601"/>
      <c r="J41" s="601"/>
      <c r="K41" s="601"/>
      <c r="L41" s="602"/>
      <c r="M41" s="602">
        <f>SUMIF($Z$28:$Z$37,"landbouw",M28:M37)</f>
        <v>16606</v>
      </c>
      <c r="N41" s="602">
        <f>SUMIF($Z$28:$Z$37,"landbouw",N28:N37)</f>
        <v>74727</v>
      </c>
      <c r="O41" s="602">
        <f>SUMIF($Z$28:$Z$37,"landbouw",O28:O37)</f>
        <v>103113.64285714286</v>
      </c>
      <c r="P41" s="602">
        <f>SUMIF($Z$28:$Z$37,"landbouw",P28:P37)</f>
        <v>179254.28571428571</v>
      </c>
      <c r="Q41" s="602">
        <f>SUMIF($Z$28:$Z$37,"landbouw",Q28:Q37)</f>
        <v>0</v>
      </c>
      <c r="R41" s="602">
        <f>SUMIF($Z$28:$Z$37,"landbouw",R28:R37)</f>
        <v>0</v>
      </c>
      <c r="S41" s="602">
        <f>SUMIF($Z$28:$Z$37,"landbouw",S28:S37)</f>
        <v>7492.5</v>
      </c>
      <c r="T41" s="602">
        <f>SUMIF($Z$28:$Z$37,"landbouw",T28:T37)</f>
        <v>0</v>
      </c>
      <c r="U41" s="602">
        <f>SUMIF($Z$28:$Z$37,"landbouw",U28:U37)</f>
        <v>22477.5</v>
      </c>
      <c r="V41" s="602">
        <f>SUMIF($Z$28:$Z$37,"landbouw",V28:V37)</f>
        <v>0</v>
      </c>
      <c r="W41" s="602">
        <f>SUMIF($Z$28:$Z$37,"landbouw",W28:W37)</f>
        <v>0</v>
      </c>
      <c r="X41" s="603"/>
      <c r="Y41" s="603"/>
      <c r="Z41" s="604"/>
    </row>
    <row r="42" spans="1:26" s="534" customFormat="1" ht="15.75" thickBot="1">
      <c r="A42" s="605"/>
      <c r="B42" s="606"/>
      <c r="C42" s="606"/>
      <c r="D42" s="606"/>
      <c r="E42" s="606"/>
      <c r="F42" s="606"/>
      <c r="G42" s="606"/>
      <c r="H42" s="606"/>
      <c r="I42" s="606"/>
      <c r="J42" s="606"/>
      <c r="K42" s="606"/>
      <c r="L42" s="589"/>
      <c r="M42" s="589"/>
      <c r="N42" s="589"/>
      <c r="O42" s="590"/>
      <c r="P42" s="590"/>
    </row>
    <row r="43" spans="1:26" s="534" customFormat="1" ht="45">
      <c r="A43" s="607" t="s">
        <v>280</v>
      </c>
      <c r="B43" s="636" t="s">
        <v>89</v>
      </c>
      <c r="C43" s="636" t="s">
        <v>90</v>
      </c>
      <c r="D43" s="636" t="s">
        <v>91</v>
      </c>
      <c r="E43" s="636" t="s">
        <v>92</v>
      </c>
      <c r="F43" s="636" t="s">
        <v>93</v>
      </c>
      <c r="G43" s="636" t="s">
        <v>94</v>
      </c>
      <c r="H43" s="636" t="s">
        <v>95</v>
      </c>
      <c r="I43" s="636" t="s">
        <v>96</v>
      </c>
      <c r="J43" s="636" t="s">
        <v>97</v>
      </c>
      <c r="K43" s="636" t="s">
        <v>98</v>
      </c>
      <c r="L43" s="636" t="s">
        <v>99</v>
      </c>
      <c r="M43" s="637" t="s">
        <v>297</v>
      </c>
      <c r="N43" s="637" t="s">
        <v>100</v>
      </c>
      <c r="O43" s="637" t="s">
        <v>101</v>
      </c>
      <c r="P43" s="637" t="s">
        <v>524</v>
      </c>
      <c r="Q43" s="637" t="s">
        <v>102</v>
      </c>
      <c r="R43" s="637" t="s">
        <v>103</v>
      </c>
      <c r="S43" s="637" t="s">
        <v>104</v>
      </c>
      <c r="T43" s="637" t="s">
        <v>105</v>
      </c>
      <c r="U43" s="637" t="s">
        <v>106</v>
      </c>
      <c r="V43" s="637" t="s">
        <v>107</v>
      </c>
      <c r="W43" s="636" t="s">
        <v>108</v>
      </c>
      <c r="X43" s="636" t="s">
        <v>298</v>
      </c>
      <c r="Y43" s="636" t="s">
        <v>109</v>
      </c>
      <c r="Z43" s="638" t="s">
        <v>299</v>
      </c>
    </row>
    <row r="44" spans="1:26" s="608" customFormat="1" ht="63.75">
      <c r="A44" s="594"/>
      <c r="B44" s="791">
        <v>12021</v>
      </c>
      <c r="C44" s="791">
        <v>2500</v>
      </c>
      <c r="D44" s="642" t="s">
        <v>927</v>
      </c>
      <c r="E44" s="642" t="s">
        <v>928</v>
      </c>
      <c r="F44" s="642" t="s">
        <v>929</v>
      </c>
      <c r="G44" s="642" t="s">
        <v>930</v>
      </c>
      <c r="H44" s="642" t="s">
        <v>931</v>
      </c>
      <c r="I44" s="642" t="s">
        <v>913</v>
      </c>
      <c r="J44" s="790">
        <v>34973</v>
      </c>
      <c r="K44" s="790">
        <v>37681</v>
      </c>
      <c r="L44" s="642" t="s">
        <v>932</v>
      </c>
      <c r="M44" s="642">
        <v>2210</v>
      </c>
      <c r="N44" s="642">
        <v>9945</v>
      </c>
      <c r="O44" s="642">
        <v>0</v>
      </c>
      <c r="P44" s="642">
        <v>0</v>
      </c>
      <c r="Q44" s="642">
        <v>0</v>
      </c>
      <c r="R44" s="642">
        <v>28414.285714285717</v>
      </c>
      <c r="S44" s="642">
        <v>0</v>
      </c>
      <c r="T44" s="642">
        <v>0</v>
      </c>
      <c r="U44" s="642">
        <v>0</v>
      </c>
      <c r="V44" s="642">
        <v>0</v>
      </c>
      <c r="W44" s="642">
        <v>0</v>
      </c>
      <c r="X44" s="642">
        <v>1600</v>
      </c>
      <c r="Y44" s="642" t="s">
        <v>49</v>
      </c>
      <c r="Z44" s="643" t="s">
        <v>155</v>
      </c>
    </row>
    <row r="45" spans="1:26" s="573" customFormat="1">
      <c r="A45" s="595" t="s">
        <v>279</v>
      </c>
      <c r="B45" s="596"/>
      <c r="C45" s="596"/>
      <c r="D45" s="596"/>
      <c r="E45" s="596"/>
      <c r="F45" s="596"/>
      <c r="G45" s="596"/>
      <c r="H45" s="596"/>
      <c r="I45" s="596"/>
      <c r="J45" s="596"/>
      <c r="K45" s="596"/>
      <c r="L45" s="597"/>
      <c r="M45" s="597">
        <f>SUM(M44:M44)</f>
        <v>2210</v>
      </c>
      <c r="N45" s="597">
        <f>SUM(N44:N44)</f>
        <v>9945</v>
      </c>
      <c r="O45" s="597">
        <f>SUM(O44:O44)</f>
        <v>0</v>
      </c>
      <c r="P45" s="597">
        <f>SUM(P44:P44)</f>
        <v>0</v>
      </c>
      <c r="Q45" s="597">
        <f>SUM(Q44:Q44)</f>
        <v>0</v>
      </c>
      <c r="R45" s="597">
        <f>SUM(R44:R44)</f>
        <v>28414.285714285717</v>
      </c>
      <c r="S45" s="597">
        <f>SUM(S44:S44)</f>
        <v>0</v>
      </c>
      <c r="T45" s="597">
        <f>SUM(T44:T44)</f>
        <v>0</v>
      </c>
      <c r="U45" s="597">
        <f>SUM(U44:U44)</f>
        <v>0</v>
      </c>
      <c r="V45" s="597">
        <f>SUM(V44:V44)</f>
        <v>0</v>
      </c>
      <c r="W45" s="597">
        <f>SUM(W44:W44)</f>
        <v>0</v>
      </c>
      <c r="X45" s="598"/>
      <c r="Y45" s="598"/>
      <c r="Z45" s="599"/>
    </row>
    <row r="46" spans="1:26" s="573" customFormat="1">
      <c r="A46" s="595" t="s">
        <v>286</v>
      </c>
      <c r="B46" s="596"/>
      <c r="C46" s="596"/>
      <c r="D46" s="596"/>
      <c r="E46" s="596"/>
      <c r="F46" s="596"/>
      <c r="G46" s="596"/>
      <c r="H46" s="596"/>
      <c r="I46" s="596"/>
      <c r="J46" s="596"/>
      <c r="K46" s="596"/>
      <c r="L46" s="597"/>
      <c r="M46" s="597">
        <f>SUMIF($Z$44:$Z$44,"industrie",M44:M44)</f>
        <v>0</v>
      </c>
      <c r="N46" s="597">
        <f>SUMIF($Z$44:$Z$44,"industrie",N44:N44)</f>
        <v>0</v>
      </c>
      <c r="O46" s="597">
        <f>SUMIF($Z$44:$Z$44,"industrie",O44:O44)</f>
        <v>0</v>
      </c>
      <c r="P46" s="597">
        <f>SUMIF($Z$44:$Z$44,"industrie",P44:P44)</f>
        <v>0</v>
      </c>
      <c r="Q46" s="597">
        <f>SUMIF($Z$44:$Z$44,"industrie",Q44:Q44)</f>
        <v>0</v>
      </c>
      <c r="R46" s="597">
        <f>SUMIF($Z$44:$Z$44,"industrie",R44:R44)</f>
        <v>0</v>
      </c>
      <c r="S46" s="597">
        <f>SUMIF($Z$44:$Z$44,"industrie",S44:S44)</f>
        <v>0</v>
      </c>
      <c r="T46" s="597">
        <f>SUMIF($Z$44:$Z$44,"industrie",T44:T44)</f>
        <v>0</v>
      </c>
      <c r="U46" s="597">
        <f>SUMIF($Z$44:$Z$44,"industrie",U44:U44)</f>
        <v>0</v>
      </c>
      <c r="V46" s="597">
        <f>SUMIF($Z$44:$Z$44,"industrie",V44:V44)</f>
        <v>0</v>
      </c>
      <c r="W46" s="597">
        <f>SUMIF($Z$44:$Z$44,"industrie",W44:W44)</f>
        <v>0</v>
      </c>
      <c r="X46" s="598"/>
      <c r="Y46" s="598"/>
      <c r="Z46" s="599"/>
    </row>
    <row r="47" spans="1:26" s="573" customFormat="1">
      <c r="A47" s="595" t="s">
        <v>287</v>
      </c>
      <c r="B47" s="596"/>
      <c r="C47" s="596"/>
      <c r="D47" s="596"/>
      <c r="E47" s="596"/>
      <c r="F47" s="596"/>
      <c r="G47" s="596"/>
      <c r="H47" s="596"/>
      <c r="I47" s="596"/>
      <c r="J47" s="596"/>
      <c r="K47" s="596"/>
      <c r="L47" s="597"/>
      <c r="M47" s="597">
        <f>SUMIF($Z$44:$Z$45,"tertiair",M44:M45)</f>
        <v>2210</v>
      </c>
      <c r="N47" s="597">
        <f>SUMIF($Z$44:$Z$45,"tertiair",N44:N45)</f>
        <v>9945</v>
      </c>
      <c r="O47" s="597">
        <f>SUMIF($Z$44:$Z$45,"tertiair",O44:O45)</f>
        <v>0</v>
      </c>
      <c r="P47" s="597">
        <f>SUMIF($Z$44:$Z$45,"tertiair",P44:P45)</f>
        <v>0</v>
      </c>
      <c r="Q47" s="597">
        <f>SUMIF($Z$44:$Z$45,"tertiair",Q44:Q45)</f>
        <v>0</v>
      </c>
      <c r="R47" s="597">
        <f>SUMIF($Z$44:$Z$45,"tertiair",R44:R45)</f>
        <v>28414.285714285717</v>
      </c>
      <c r="S47" s="597">
        <f>SUMIF($Z$44:$Z$45,"tertiair",S44:S45)</f>
        <v>0</v>
      </c>
      <c r="T47" s="597">
        <f>SUMIF($Z$44:$Z$45,"tertiair",T44:T45)</f>
        <v>0</v>
      </c>
      <c r="U47" s="597">
        <f>SUMIF($Z$44:$Z$45,"tertiair",U44:U45)</f>
        <v>0</v>
      </c>
      <c r="V47" s="597">
        <f>SUMIF($Z$44:$Z$45,"tertiair",V44:V45)</f>
        <v>0</v>
      </c>
      <c r="W47" s="597">
        <f>SUMIF($Z$44:$Z$45,"tertiair",W44:W45)</f>
        <v>0</v>
      </c>
      <c r="X47" s="598"/>
      <c r="Y47" s="598"/>
      <c r="Z47" s="599"/>
    </row>
    <row r="48" spans="1:26" s="573" customFormat="1" ht="15.75" thickBot="1">
      <c r="A48" s="600" t="s">
        <v>288</v>
      </c>
      <c r="B48" s="601"/>
      <c r="C48" s="601"/>
      <c r="D48" s="601"/>
      <c r="E48" s="601"/>
      <c r="F48" s="601"/>
      <c r="G48" s="601"/>
      <c r="H48" s="601"/>
      <c r="I48" s="601"/>
      <c r="J48" s="601"/>
      <c r="K48" s="601"/>
      <c r="L48" s="602"/>
      <c r="M48" s="602">
        <f>SUMIF($Z$44:$Z$46,"landbouw",M44:M46)</f>
        <v>0</v>
      </c>
      <c r="N48" s="602">
        <f>SUMIF($Z$44:$Z$46,"landbouw",N44:N46)</f>
        <v>0</v>
      </c>
      <c r="O48" s="602">
        <f>SUMIF($Z$44:$Z$46,"landbouw",O44:O46)</f>
        <v>0</v>
      </c>
      <c r="P48" s="602">
        <f>SUMIF($Z$44:$Z$46,"landbouw",P44:P46)</f>
        <v>0</v>
      </c>
      <c r="Q48" s="602">
        <f>SUMIF($Z$44:$Z$46,"landbouw",Q44:Q46)</f>
        <v>0</v>
      </c>
      <c r="R48" s="602">
        <f>SUMIF($Z$44:$Z$46,"landbouw",R44:R46)</f>
        <v>0</v>
      </c>
      <c r="S48" s="602">
        <f>SUMIF($Z$44:$Z$46,"landbouw",S44:S46)</f>
        <v>0</v>
      </c>
      <c r="T48" s="602">
        <f>SUMIF($Z$44:$Z$46,"landbouw",T44:T46)</f>
        <v>0</v>
      </c>
      <c r="U48" s="602">
        <f>SUMIF($Z$44:$Z$46,"landbouw",U44:U46)</f>
        <v>0</v>
      </c>
      <c r="V48" s="602">
        <f>SUMIF($Z$44:$Z$46,"landbouw",V44:V46)</f>
        <v>0</v>
      </c>
      <c r="W48" s="602">
        <f>SUMIF($Z$44:$Z$46,"landbouw",W44:W46)</f>
        <v>0</v>
      </c>
      <c r="X48" s="603"/>
      <c r="Y48" s="603"/>
      <c r="Z48" s="604"/>
    </row>
    <row r="49" spans="1:27" s="609" customFormat="1">
      <c r="A49" s="605"/>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row>
    <row r="50" spans="1:27" s="609" customFormat="1" ht="15.75" thickBot="1">
      <c r="A50" s="605"/>
      <c r="B50" s="589"/>
      <c r="C50" s="589"/>
      <c r="D50" s="589"/>
      <c r="E50" s="589"/>
      <c r="F50" s="589"/>
      <c r="G50" s="589"/>
      <c r="H50" s="589"/>
      <c r="I50" s="589"/>
      <c r="J50" s="589"/>
      <c r="K50" s="589"/>
      <c r="L50" s="589"/>
      <c r="M50" s="589"/>
      <c r="N50" s="589"/>
      <c r="O50" s="589"/>
      <c r="P50" s="589"/>
      <c r="Q50" s="589"/>
      <c r="R50" s="589"/>
      <c r="S50" s="589"/>
      <c r="T50" s="589"/>
      <c r="U50" s="589"/>
      <c r="V50" s="589"/>
      <c r="W50" s="589"/>
      <c r="X50" s="589"/>
      <c r="Y50" s="589"/>
      <c r="Z50" s="589"/>
      <c r="AA50" s="589"/>
    </row>
    <row r="51" spans="1:27">
      <c r="A51" s="610" t="s">
        <v>281</v>
      </c>
      <c r="B51" s="611"/>
      <c r="C51" s="611"/>
      <c r="D51" s="611"/>
      <c r="E51" s="611"/>
      <c r="F51" s="611"/>
      <c r="G51" s="611"/>
      <c r="H51" s="611"/>
      <c r="I51" s="612"/>
      <c r="J51" s="613"/>
      <c r="K51" s="613"/>
      <c r="L51" s="614"/>
      <c r="M51" s="614"/>
      <c r="N51" s="614"/>
      <c r="O51" s="614"/>
      <c r="P51" s="614"/>
    </row>
    <row r="52" spans="1:27">
      <c r="A52" s="616"/>
      <c r="B52" s="606"/>
      <c r="C52" s="606"/>
      <c r="D52" s="606"/>
      <c r="E52" s="606"/>
      <c r="F52" s="606"/>
      <c r="G52" s="606"/>
      <c r="H52" s="606"/>
      <c r="I52" s="617"/>
      <c r="J52" s="606"/>
      <c r="K52" s="606"/>
      <c r="L52" s="614"/>
      <c r="M52" s="614"/>
      <c r="N52" s="614"/>
      <c r="O52" s="614"/>
      <c r="P52" s="614"/>
    </row>
    <row r="53" spans="1:27">
      <c r="A53" s="618"/>
      <c r="B53" s="619" t="s">
        <v>282</v>
      </c>
      <c r="C53" s="619" t="s">
        <v>283</v>
      </c>
      <c r="D53" s="619"/>
      <c r="E53" s="619"/>
      <c r="F53" s="619"/>
      <c r="G53" s="619"/>
      <c r="H53" s="619"/>
      <c r="I53" s="620"/>
      <c r="J53" s="619"/>
      <c r="K53" s="619"/>
      <c r="L53" s="619"/>
      <c r="M53" s="619"/>
      <c r="N53" s="619"/>
      <c r="O53" s="619"/>
      <c r="P53" s="614"/>
    </row>
    <row r="54" spans="1:27">
      <c r="A54" s="616" t="s">
        <v>279</v>
      </c>
      <c r="B54" s="621">
        <f>IF(ISERROR(O38/(O38+N38)),0,O38/(O38+N38))</f>
        <v>0.57988108421946738</v>
      </c>
      <c r="C54" s="622">
        <f>IF(ISERROR(N38/(O38+N38)),0,N38/(N38+O38))</f>
        <v>0.42011891578053268</v>
      </c>
      <c r="D54" s="589"/>
      <c r="E54" s="589"/>
      <c r="F54" s="589"/>
      <c r="G54" s="589"/>
      <c r="H54" s="589"/>
      <c r="I54" s="623"/>
      <c r="J54" s="589"/>
      <c r="K54" s="589"/>
      <c r="L54" s="624"/>
      <c r="M54" s="624"/>
      <c r="N54" s="624"/>
      <c r="O54" s="624"/>
      <c r="P54" s="614"/>
    </row>
    <row r="55" spans="1:27">
      <c r="A55" s="616"/>
      <c r="B55" s="625"/>
      <c r="C55" s="625"/>
      <c r="D55" s="625"/>
      <c r="E55" s="625"/>
      <c r="F55" s="625"/>
      <c r="G55" s="625"/>
      <c r="H55" s="625"/>
      <c r="I55" s="626"/>
      <c r="J55" s="625"/>
      <c r="K55" s="625"/>
      <c r="L55" s="627"/>
      <c r="M55" s="627"/>
      <c r="N55" s="627"/>
      <c r="O55" s="627"/>
      <c r="P55" s="614"/>
    </row>
    <row r="56" spans="1:27" ht="30">
      <c r="A56" s="628"/>
      <c r="B56" s="629" t="s">
        <v>524</v>
      </c>
      <c r="C56" s="629" t="s">
        <v>102</v>
      </c>
      <c r="D56" s="629" t="s">
        <v>103</v>
      </c>
      <c r="E56" s="629" t="s">
        <v>104</v>
      </c>
      <c r="F56" s="629" t="s">
        <v>105</v>
      </c>
      <c r="G56" s="629" t="s">
        <v>106</v>
      </c>
      <c r="H56" s="629" t="s">
        <v>107</v>
      </c>
      <c r="I56" s="630" t="s">
        <v>108</v>
      </c>
      <c r="J56" s="619"/>
      <c r="K56" s="619"/>
      <c r="L56" s="627"/>
      <c r="M56" s="627"/>
      <c r="N56" s="627"/>
      <c r="O56" s="614"/>
      <c r="P56" s="614"/>
    </row>
    <row r="57" spans="1:27">
      <c r="A57" s="618" t="s">
        <v>284</v>
      </c>
      <c r="B57" s="631">
        <f t="shared" ref="B57:I57" si="2">$C$54*P38</f>
        <v>76064.330211704495</v>
      </c>
      <c r="C57" s="631">
        <f t="shared" si="2"/>
        <v>0</v>
      </c>
      <c r="D57" s="631">
        <f t="shared" si="2"/>
        <v>0</v>
      </c>
      <c r="E57" s="631">
        <f t="shared" si="2"/>
        <v>3147.7409764856411</v>
      </c>
      <c r="F57" s="631">
        <f t="shared" si="2"/>
        <v>0</v>
      </c>
      <c r="G57" s="631">
        <f t="shared" si="2"/>
        <v>9443.2229294569224</v>
      </c>
      <c r="H57" s="631">
        <f t="shared" si="2"/>
        <v>0</v>
      </c>
      <c r="I57" s="632">
        <f t="shared" si="2"/>
        <v>0</v>
      </c>
      <c r="J57" s="589"/>
      <c r="K57" s="589"/>
      <c r="L57" s="627"/>
      <c r="M57" s="627"/>
      <c r="N57" s="627"/>
      <c r="O57" s="614"/>
      <c r="P57" s="614"/>
    </row>
    <row r="58" spans="1:27" ht="15.75" thickBot="1">
      <c r="A58" s="633" t="s">
        <v>285</v>
      </c>
      <c r="B58" s="634">
        <f t="shared" ref="B58:I58" si="3">$B$54*P38</f>
        <v>104989.95550258122</v>
      </c>
      <c r="C58" s="634">
        <f t="shared" si="3"/>
        <v>0</v>
      </c>
      <c r="D58" s="634">
        <f t="shared" si="3"/>
        <v>0</v>
      </c>
      <c r="E58" s="634">
        <f t="shared" si="3"/>
        <v>4344.7590235143598</v>
      </c>
      <c r="F58" s="634">
        <f t="shared" si="3"/>
        <v>0</v>
      </c>
      <c r="G58" s="634">
        <f t="shared" si="3"/>
        <v>13034.277070543078</v>
      </c>
      <c r="H58" s="634">
        <f t="shared" si="3"/>
        <v>0</v>
      </c>
      <c r="I58" s="635">
        <f t="shared" si="3"/>
        <v>0</v>
      </c>
      <c r="J58" s="589"/>
      <c r="K58" s="589"/>
      <c r="L58" s="627"/>
      <c r="M58" s="627"/>
      <c r="N58" s="627"/>
      <c r="O58" s="614"/>
      <c r="P58" s="614"/>
    </row>
    <row r="59" spans="1:27">
      <c r="J59" s="569"/>
      <c r="K59" s="569"/>
      <c r="L59" s="569"/>
      <c r="M59" s="569"/>
      <c r="N59" s="569"/>
    </row>
    <row r="60" spans="1:27">
      <c r="J60" s="569"/>
      <c r="K60" s="569"/>
      <c r="L60" s="569"/>
      <c r="M60" s="569"/>
      <c r="N60"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57543.854699984338</v>
      </c>
      <c r="C4" s="452">
        <f>huishoudens!C8</f>
        <v>0</v>
      </c>
      <c r="D4" s="452">
        <f>huishoudens!D8</f>
        <v>166325.01556880001</v>
      </c>
      <c r="E4" s="452">
        <f>huishoudens!E8</f>
        <v>9382.7260282349016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8937.5221070798088</v>
      </c>
      <c r="O4" s="452">
        <f>huishoudens!O8</f>
        <v>436.47080826514696</v>
      </c>
      <c r="P4" s="453">
        <f>huishoudens!P8</f>
        <v>874.31862253785675</v>
      </c>
      <c r="Q4" s="454">
        <f>SUM(B4:P4)</f>
        <v>243499.90783490206</v>
      </c>
    </row>
    <row r="5" spans="1:17">
      <c r="A5" s="451" t="s">
        <v>155</v>
      </c>
      <c r="B5" s="452">
        <f ca="1">tertiair!B16</f>
        <v>72297.838672000013</v>
      </c>
      <c r="C5" s="452">
        <f ca="1">tertiair!C16</f>
        <v>900.00000000000023</v>
      </c>
      <c r="D5" s="452">
        <f ca="1">tertiair!D16</f>
        <v>66540.680139952005</v>
      </c>
      <c r="E5" s="452">
        <f>tertiair!E16</f>
        <v>855.83529685924714</v>
      </c>
      <c r="F5" s="452">
        <f ca="1">tertiair!F16</f>
        <v>6813.6321252249963</v>
      </c>
      <c r="G5" s="452">
        <f>tertiair!G16</f>
        <v>0</v>
      </c>
      <c r="H5" s="452">
        <f>tertiair!H16</f>
        <v>0</v>
      </c>
      <c r="I5" s="452">
        <f>tertiair!I16</f>
        <v>0</v>
      </c>
      <c r="J5" s="452">
        <f>tertiair!J16</f>
        <v>0.10953177117746965</v>
      </c>
      <c r="K5" s="452">
        <f>tertiair!K16</f>
        <v>0</v>
      </c>
      <c r="L5" s="452">
        <f ca="1">tertiair!L16</f>
        <v>0</v>
      </c>
      <c r="M5" s="452">
        <f>tertiair!M16</f>
        <v>0</v>
      </c>
      <c r="N5" s="452">
        <f ca="1">tertiair!N16</f>
        <v>0</v>
      </c>
      <c r="O5" s="452">
        <f>tertiair!O16</f>
        <v>19.589043063364617</v>
      </c>
      <c r="P5" s="453">
        <f>tertiair!P16</f>
        <v>525.39138306495022</v>
      </c>
      <c r="Q5" s="451">
        <f t="shared" ref="Q5:Q14" ca="1" si="0">SUM(B5:P5)</f>
        <v>147953.07619193578</v>
      </c>
    </row>
    <row r="6" spans="1:17">
      <c r="A6" s="451" t="s">
        <v>193</v>
      </c>
      <c r="B6" s="452">
        <f>'openbare verlichting'!B8</f>
        <v>2100.2849999999999</v>
      </c>
      <c r="C6" s="452"/>
      <c r="D6" s="452"/>
      <c r="E6" s="452"/>
      <c r="F6" s="452"/>
      <c r="G6" s="452"/>
      <c r="H6" s="452"/>
      <c r="I6" s="452"/>
      <c r="J6" s="452"/>
      <c r="K6" s="452"/>
      <c r="L6" s="452"/>
      <c r="M6" s="452"/>
      <c r="N6" s="452"/>
      <c r="O6" s="452"/>
      <c r="P6" s="453"/>
      <c r="Q6" s="451">
        <f t="shared" si="0"/>
        <v>2100.2849999999999</v>
      </c>
    </row>
    <row r="7" spans="1:17">
      <c r="A7" s="451" t="s">
        <v>111</v>
      </c>
      <c r="B7" s="452">
        <f>landbouw!B8</f>
        <v>2879.5360559999999</v>
      </c>
      <c r="C7" s="452">
        <f>landbouw!C8</f>
        <v>103113.64285714286</v>
      </c>
      <c r="D7" s="452">
        <f>landbouw!D8</f>
        <v>10389.808774882287</v>
      </c>
      <c r="E7" s="452">
        <f>landbouw!E8</f>
        <v>89.869370753913188</v>
      </c>
      <c r="F7" s="452">
        <f>landbouw!F8</f>
        <v>2684.0994083033074</v>
      </c>
      <c r="G7" s="452">
        <f>landbouw!G8</f>
        <v>0</v>
      </c>
      <c r="H7" s="452">
        <f>landbouw!H8</f>
        <v>0</v>
      </c>
      <c r="I7" s="452">
        <f>landbouw!I8</f>
        <v>0</v>
      </c>
      <c r="J7" s="452">
        <f>landbouw!J8</f>
        <v>793.33215283553773</v>
      </c>
      <c r="K7" s="452">
        <f>landbouw!K8</f>
        <v>0</v>
      </c>
      <c r="L7" s="452">
        <f>landbouw!L8</f>
        <v>0</v>
      </c>
      <c r="M7" s="452">
        <f>landbouw!M8</f>
        <v>0</v>
      </c>
      <c r="N7" s="452">
        <f>landbouw!N8</f>
        <v>0</v>
      </c>
      <c r="O7" s="452">
        <f>landbouw!O8</f>
        <v>0</v>
      </c>
      <c r="P7" s="453">
        <f>landbouw!P8</f>
        <v>0</v>
      </c>
      <c r="Q7" s="451">
        <f t="shared" si="0"/>
        <v>119950.28861991789</v>
      </c>
    </row>
    <row r="8" spans="1:17">
      <c r="A8" s="451" t="s">
        <v>625</v>
      </c>
      <c r="B8" s="452">
        <f>industrie!B18</f>
        <v>48230.212273000005</v>
      </c>
      <c r="C8" s="452">
        <f>industrie!C18</f>
        <v>0</v>
      </c>
      <c r="D8" s="452">
        <f>industrie!D18</f>
        <v>41179.672592432005</v>
      </c>
      <c r="E8" s="452">
        <f>industrie!E18</f>
        <v>2303.8640280410327</v>
      </c>
      <c r="F8" s="452">
        <f>industrie!F18</f>
        <v>10022.44121760417</v>
      </c>
      <c r="G8" s="452">
        <f>industrie!G18</f>
        <v>0</v>
      </c>
      <c r="H8" s="452">
        <f>industrie!H18</f>
        <v>0</v>
      </c>
      <c r="I8" s="452">
        <f>industrie!I18</f>
        <v>0</v>
      </c>
      <c r="J8" s="452">
        <f>industrie!J18</f>
        <v>368.66969069616601</v>
      </c>
      <c r="K8" s="452">
        <f>industrie!K18</f>
        <v>0</v>
      </c>
      <c r="L8" s="452">
        <f>industrie!L18</f>
        <v>0</v>
      </c>
      <c r="M8" s="452">
        <f>industrie!M18</f>
        <v>0</v>
      </c>
      <c r="N8" s="452">
        <f>industrie!N18</f>
        <v>2086.0464705811482</v>
      </c>
      <c r="O8" s="452">
        <f>industrie!O18</f>
        <v>0</v>
      </c>
      <c r="P8" s="453">
        <f>industrie!P18</f>
        <v>0</v>
      </c>
      <c r="Q8" s="451">
        <f t="shared" si="0"/>
        <v>104190.90627235452</v>
      </c>
    </row>
    <row r="9" spans="1:17" s="457" customFormat="1">
      <c r="A9" s="455" t="s">
        <v>551</v>
      </c>
      <c r="B9" s="456">
        <f>transport!B14</f>
        <v>85.509325970289012</v>
      </c>
      <c r="C9" s="456">
        <f>transport!C14</f>
        <v>0</v>
      </c>
      <c r="D9" s="456">
        <f>transport!D14</f>
        <v>291.48207566208345</v>
      </c>
      <c r="E9" s="456">
        <f>transport!E14</f>
        <v>247.60232604730214</v>
      </c>
      <c r="F9" s="456">
        <f>transport!F14</f>
        <v>0</v>
      </c>
      <c r="G9" s="456">
        <f>transport!G14</f>
        <v>131648.34806249358</v>
      </c>
      <c r="H9" s="456">
        <f>transport!H14</f>
        <v>27245.442495228534</v>
      </c>
      <c r="I9" s="456">
        <f>transport!I14</f>
        <v>0</v>
      </c>
      <c r="J9" s="456">
        <f>transport!J14</f>
        <v>0</v>
      </c>
      <c r="K9" s="456">
        <f>transport!K14</f>
        <v>0</v>
      </c>
      <c r="L9" s="456">
        <f>transport!L14</f>
        <v>0</v>
      </c>
      <c r="M9" s="456">
        <f>transport!M14</f>
        <v>9392.3713467308862</v>
      </c>
      <c r="N9" s="456">
        <f>transport!N14</f>
        <v>0</v>
      </c>
      <c r="O9" s="456">
        <f>transport!O14</f>
        <v>0</v>
      </c>
      <c r="P9" s="456">
        <f>transport!P14</f>
        <v>0</v>
      </c>
      <c r="Q9" s="455">
        <f>SUM(B9:P9)</f>
        <v>168910.75563213267</v>
      </c>
    </row>
    <row r="10" spans="1:17">
      <c r="A10" s="451" t="s">
        <v>541</v>
      </c>
      <c r="B10" s="452">
        <f>transport!B54</f>
        <v>0</v>
      </c>
      <c r="C10" s="452">
        <f>transport!C54</f>
        <v>0</v>
      </c>
      <c r="D10" s="452">
        <f>transport!D54</f>
        <v>0</v>
      </c>
      <c r="E10" s="452">
        <f>transport!E54</f>
        <v>0</v>
      </c>
      <c r="F10" s="452">
        <f>transport!F54</f>
        <v>0</v>
      </c>
      <c r="G10" s="452">
        <f>transport!G54</f>
        <v>4295.0613582019878</v>
      </c>
      <c r="H10" s="452">
        <f>transport!H54</f>
        <v>0</v>
      </c>
      <c r="I10" s="452">
        <f>transport!I54</f>
        <v>0</v>
      </c>
      <c r="J10" s="452">
        <f>transport!J54</f>
        <v>0</v>
      </c>
      <c r="K10" s="452">
        <f>transport!K54</f>
        <v>0</v>
      </c>
      <c r="L10" s="452">
        <f>transport!L54</f>
        <v>0</v>
      </c>
      <c r="M10" s="452">
        <f>transport!M54</f>
        <v>238.68242778288365</v>
      </c>
      <c r="N10" s="452">
        <f>transport!N54</f>
        <v>0</v>
      </c>
      <c r="O10" s="452">
        <f>transport!O54</f>
        <v>0</v>
      </c>
      <c r="P10" s="453">
        <f>transport!P54</f>
        <v>0</v>
      </c>
      <c r="Q10" s="451">
        <f t="shared" si="0"/>
        <v>4533.7437859848715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2977.079268</v>
      </c>
      <c r="C14" s="459"/>
      <c r="D14" s="459">
        <f>'SEAP template'!E25</f>
        <v>9875.4800209999994</v>
      </c>
      <c r="E14" s="459"/>
      <c r="F14" s="459"/>
      <c r="G14" s="459"/>
      <c r="H14" s="459"/>
      <c r="I14" s="459"/>
      <c r="J14" s="459"/>
      <c r="K14" s="459"/>
      <c r="L14" s="459"/>
      <c r="M14" s="459"/>
      <c r="N14" s="459"/>
      <c r="O14" s="459"/>
      <c r="P14" s="460"/>
      <c r="Q14" s="451">
        <f t="shared" si="0"/>
        <v>12852.559288999999</v>
      </c>
    </row>
    <row r="15" spans="1:17" s="463" customFormat="1">
      <c r="A15" s="461" t="s">
        <v>545</v>
      </c>
      <c r="B15" s="462">
        <f ca="1">SUM(B4:B14)</f>
        <v>186114.31529495466</v>
      </c>
      <c r="C15" s="462">
        <f t="shared" ref="C15:Q15" ca="1" si="1">SUM(C4:C14)</f>
        <v>104013.64285714286</v>
      </c>
      <c r="D15" s="462">
        <f t="shared" ca="1" si="1"/>
        <v>294602.13917272841</v>
      </c>
      <c r="E15" s="462">
        <f t="shared" si="1"/>
        <v>12879.897049936399</v>
      </c>
      <c r="F15" s="462">
        <f t="shared" ca="1" si="1"/>
        <v>19520.172751132472</v>
      </c>
      <c r="G15" s="462">
        <f t="shared" si="1"/>
        <v>135943.40942069556</v>
      </c>
      <c r="H15" s="462">
        <f t="shared" si="1"/>
        <v>27245.442495228534</v>
      </c>
      <c r="I15" s="462">
        <f t="shared" si="1"/>
        <v>0</v>
      </c>
      <c r="J15" s="462">
        <f t="shared" si="1"/>
        <v>1162.1113753028812</v>
      </c>
      <c r="K15" s="462">
        <f t="shared" si="1"/>
        <v>0</v>
      </c>
      <c r="L15" s="462">
        <f t="shared" ca="1" si="1"/>
        <v>0</v>
      </c>
      <c r="M15" s="462">
        <f t="shared" si="1"/>
        <v>9631.0537745137699</v>
      </c>
      <c r="N15" s="462">
        <f t="shared" ca="1" si="1"/>
        <v>11023.568577660957</v>
      </c>
      <c r="O15" s="462">
        <f t="shared" si="1"/>
        <v>456.05985132851157</v>
      </c>
      <c r="P15" s="462">
        <f t="shared" si="1"/>
        <v>1399.7100056028071</v>
      </c>
      <c r="Q15" s="462">
        <f t="shared" ca="1" si="1"/>
        <v>803991.5226262277</v>
      </c>
    </row>
    <row r="17" spans="1:17">
      <c r="A17" s="464" t="s">
        <v>546</v>
      </c>
      <c r="B17" s="781">
        <f ca="1">huishoudens!B10</f>
        <v>0.19448990494100346</v>
      </c>
      <c r="C17" s="781">
        <f ca="1">huishoudens!C10</f>
        <v>0.21504892104895332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11191.69883053887</v>
      </c>
      <c r="C22" s="452">
        <f t="shared" ref="C22:C32" ca="1" si="3">C4*$C$17</f>
        <v>0</v>
      </c>
      <c r="D22" s="452">
        <f t="shared" ref="D22:D32" si="4">D4*$D$17</f>
        <v>33597.653144897602</v>
      </c>
      <c r="E22" s="452">
        <f t="shared" ref="E22:E32" si="5">E4*$E$17</f>
        <v>2129.8788084093226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46919.230783845793</v>
      </c>
    </row>
    <row r="23" spans="1:17">
      <c r="A23" s="451" t="s">
        <v>155</v>
      </c>
      <c r="B23" s="452">
        <f t="shared" ca="1" si="2"/>
        <v>14061.199770757286</v>
      </c>
      <c r="C23" s="452">
        <f t="shared" ca="1" si="3"/>
        <v>193.54402894405803</v>
      </c>
      <c r="D23" s="452">
        <f t="shared" ca="1" si="4"/>
        <v>13441.217388270306</v>
      </c>
      <c r="E23" s="452">
        <f t="shared" si="5"/>
        <v>194.2746123870491</v>
      </c>
      <c r="F23" s="452">
        <f t="shared" ca="1" si="6"/>
        <v>1819.2397774350741</v>
      </c>
      <c r="G23" s="452">
        <f t="shared" si="7"/>
        <v>0</v>
      </c>
      <c r="H23" s="452">
        <f t="shared" si="8"/>
        <v>0</v>
      </c>
      <c r="I23" s="452">
        <f t="shared" si="9"/>
        <v>0</v>
      </c>
      <c r="J23" s="452">
        <f t="shared" si="10"/>
        <v>3.8774246996824253E-2</v>
      </c>
      <c r="K23" s="452">
        <f t="shared" si="11"/>
        <v>0</v>
      </c>
      <c r="L23" s="452">
        <f t="shared" ca="1" si="12"/>
        <v>0</v>
      </c>
      <c r="M23" s="452">
        <f t="shared" si="13"/>
        <v>0</v>
      </c>
      <c r="N23" s="452">
        <f t="shared" ca="1" si="14"/>
        <v>0</v>
      </c>
      <c r="O23" s="452">
        <f t="shared" si="15"/>
        <v>0</v>
      </c>
      <c r="P23" s="453">
        <f t="shared" si="16"/>
        <v>0</v>
      </c>
      <c r="Q23" s="451">
        <f t="shared" ref="Q23:Q31" ca="1" si="17">SUM(B23:P23)</f>
        <v>29709.514352040773</v>
      </c>
    </row>
    <row r="24" spans="1:17">
      <c r="A24" s="451" t="s">
        <v>193</v>
      </c>
      <c r="B24" s="452">
        <f t="shared" ca="1" si="2"/>
        <v>408.48422999901544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408.48422999901544</v>
      </c>
    </row>
    <row r="25" spans="1:17">
      <c r="A25" s="451" t="s">
        <v>111</v>
      </c>
      <c r="B25" s="452">
        <f t="shared" ca="1" si="2"/>
        <v>560.04069380563203</v>
      </c>
      <c r="C25" s="452">
        <f t="shared" ca="1" si="3"/>
        <v>22174.477641855683</v>
      </c>
      <c r="D25" s="452">
        <f t="shared" si="4"/>
        <v>2098.7413725262222</v>
      </c>
      <c r="E25" s="452">
        <f t="shared" si="5"/>
        <v>20.400347161138296</v>
      </c>
      <c r="F25" s="452">
        <f t="shared" si="6"/>
        <v>716.6545420169831</v>
      </c>
      <c r="G25" s="452">
        <f t="shared" si="7"/>
        <v>0</v>
      </c>
      <c r="H25" s="452">
        <f t="shared" si="8"/>
        <v>0</v>
      </c>
      <c r="I25" s="452">
        <f t="shared" si="9"/>
        <v>0</v>
      </c>
      <c r="J25" s="452">
        <f t="shared" si="10"/>
        <v>280.83958210378034</v>
      </c>
      <c r="K25" s="452">
        <f t="shared" si="11"/>
        <v>0</v>
      </c>
      <c r="L25" s="452">
        <f t="shared" si="12"/>
        <v>0</v>
      </c>
      <c r="M25" s="452">
        <f t="shared" si="13"/>
        <v>0</v>
      </c>
      <c r="N25" s="452">
        <f t="shared" si="14"/>
        <v>0</v>
      </c>
      <c r="O25" s="452">
        <f t="shared" si="15"/>
        <v>0</v>
      </c>
      <c r="P25" s="453">
        <f t="shared" si="16"/>
        <v>0</v>
      </c>
      <c r="Q25" s="451">
        <f t="shared" ca="1" si="17"/>
        <v>25851.154179469442</v>
      </c>
    </row>
    <row r="26" spans="1:17">
      <c r="A26" s="451" t="s">
        <v>625</v>
      </c>
      <c r="B26" s="452">
        <f t="shared" ca="1" si="2"/>
        <v>9380.2894002601897</v>
      </c>
      <c r="C26" s="452">
        <f t="shared" ca="1" si="3"/>
        <v>0</v>
      </c>
      <c r="D26" s="452">
        <f t="shared" si="4"/>
        <v>8318.2938636712661</v>
      </c>
      <c r="E26" s="452">
        <f t="shared" si="5"/>
        <v>522.97713436531444</v>
      </c>
      <c r="F26" s="452">
        <f t="shared" si="6"/>
        <v>2675.9918051003133</v>
      </c>
      <c r="G26" s="452">
        <f t="shared" si="7"/>
        <v>0</v>
      </c>
      <c r="H26" s="452">
        <f t="shared" si="8"/>
        <v>0</v>
      </c>
      <c r="I26" s="452">
        <f t="shared" si="9"/>
        <v>0</v>
      </c>
      <c r="J26" s="452">
        <f t="shared" si="10"/>
        <v>130.50907050644275</v>
      </c>
      <c r="K26" s="452">
        <f t="shared" si="11"/>
        <v>0</v>
      </c>
      <c r="L26" s="452">
        <f t="shared" si="12"/>
        <v>0</v>
      </c>
      <c r="M26" s="452">
        <f t="shared" si="13"/>
        <v>0</v>
      </c>
      <c r="N26" s="452">
        <f t="shared" si="14"/>
        <v>0</v>
      </c>
      <c r="O26" s="452">
        <f t="shared" si="15"/>
        <v>0</v>
      </c>
      <c r="P26" s="453">
        <f t="shared" si="16"/>
        <v>0</v>
      </c>
      <c r="Q26" s="451">
        <f t="shared" ca="1" si="17"/>
        <v>21028.061273903528</v>
      </c>
    </row>
    <row r="27" spans="1:17" s="457" customFormat="1">
      <c r="A27" s="455" t="s">
        <v>551</v>
      </c>
      <c r="B27" s="775">
        <f t="shared" ca="1" si="2"/>
        <v>16.63070067953079</v>
      </c>
      <c r="C27" s="456">
        <f t="shared" ca="1" si="3"/>
        <v>0</v>
      </c>
      <c r="D27" s="456">
        <f t="shared" si="4"/>
        <v>58.87937928374086</v>
      </c>
      <c r="E27" s="456">
        <f t="shared" si="5"/>
        <v>56.205728012737588</v>
      </c>
      <c r="F27" s="456">
        <f t="shared" si="6"/>
        <v>0</v>
      </c>
      <c r="G27" s="456">
        <f t="shared" si="7"/>
        <v>35150.108932685784</v>
      </c>
      <c r="H27" s="456">
        <f t="shared" si="8"/>
        <v>6784.115181311905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42065.939921973702</v>
      </c>
    </row>
    <row r="28" spans="1:17" ht="16.5" customHeight="1">
      <c r="A28" s="451" t="s">
        <v>541</v>
      </c>
      <c r="B28" s="452">
        <f t="shared" ca="1" si="2"/>
        <v>0</v>
      </c>
      <c r="C28" s="452">
        <f t="shared" ca="1" si="3"/>
        <v>0</v>
      </c>
      <c r="D28" s="452">
        <f t="shared" si="4"/>
        <v>0</v>
      </c>
      <c r="E28" s="452">
        <f t="shared" si="5"/>
        <v>0</v>
      </c>
      <c r="F28" s="452">
        <f t="shared" si="6"/>
        <v>0</v>
      </c>
      <c r="G28" s="452">
        <f t="shared" si="7"/>
        <v>1146.7813826399308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1146.7813826399308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579.01186383515221</v>
      </c>
      <c r="C32" s="452">
        <f t="shared" ca="1" si="3"/>
        <v>0</v>
      </c>
      <c r="D32" s="452">
        <f t="shared" si="4"/>
        <v>1994.846964242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2573.8588280771523</v>
      </c>
    </row>
    <row r="33" spans="1:17" s="463" customFormat="1">
      <c r="A33" s="461" t="s">
        <v>545</v>
      </c>
      <c r="B33" s="462">
        <f ca="1">SUM(B22:B32)</f>
        <v>36197.35548987567</v>
      </c>
      <c r="C33" s="462">
        <f t="shared" ref="C33:Q33" ca="1" si="19">SUM(C22:C32)</f>
        <v>22368.021670799742</v>
      </c>
      <c r="D33" s="462">
        <f t="shared" ca="1" si="19"/>
        <v>59509.632112891137</v>
      </c>
      <c r="E33" s="462">
        <f t="shared" si="19"/>
        <v>2923.736630335562</v>
      </c>
      <c r="F33" s="462">
        <f t="shared" ca="1" si="19"/>
        <v>5211.8861245523703</v>
      </c>
      <c r="G33" s="462">
        <f t="shared" si="19"/>
        <v>36296.890315325712</v>
      </c>
      <c r="H33" s="462">
        <f t="shared" si="19"/>
        <v>6784.115181311905</v>
      </c>
      <c r="I33" s="462">
        <f t="shared" si="19"/>
        <v>0</v>
      </c>
      <c r="J33" s="462">
        <f t="shared" si="19"/>
        <v>411.38742685721991</v>
      </c>
      <c r="K33" s="462">
        <f t="shared" si="19"/>
        <v>0</v>
      </c>
      <c r="L33" s="462">
        <f t="shared" ca="1" si="19"/>
        <v>0</v>
      </c>
      <c r="M33" s="462">
        <f t="shared" si="19"/>
        <v>0</v>
      </c>
      <c r="N33" s="462">
        <f t="shared" ca="1" si="19"/>
        <v>0</v>
      </c>
      <c r="O33" s="462">
        <f t="shared" si="19"/>
        <v>0</v>
      </c>
      <c r="P33" s="462">
        <f t="shared" si="19"/>
        <v>0</v>
      </c>
      <c r="Q33" s="462">
        <f t="shared" ca="1" si="19"/>
        <v>169703.02495194934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10351.166216268251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8026.7394900383833</v>
      </c>
      <c r="C8" s="1029">
        <f>'SEAP template'!C76</f>
        <v>67330.260509961605</v>
      </c>
      <c r="D8" s="1029">
        <f>'SEAP template'!D76</f>
        <v>76064.330211704495</v>
      </c>
      <c r="E8" s="1029">
        <f>'SEAP template'!E76</f>
        <v>0</v>
      </c>
      <c r="F8" s="1029">
        <f>'SEAP template'!F76</f>
        <v>3147.7409764856411</v>
      </c>
      <c r="G8" s="1029">
        <f>'SEAP template'!G76</f>
        <v>0</v>
      </c>
      <c r="H8" s="1029">
        <f>'SEAP template'!H76</f>
        <v>0</v>
      </c>
      <c r="I8" s="1029">
        <f>'SEAP template'!I76</f>
        <v>9443.2229294569224</v>
      </c>
      <c r="J8" s="1029">
        <f>'SEAP template'!J76</f>
        <v>0</v>
      </c>
      <c r="K8" s="1029">
        <f>'SEAP template'!K76</f>
        <v>0</v>
      </c>
      <c r="L8" s="1029">
        <f>'SEAP template'!L76</f>
        <v>0</v>
      </c>
      <c r="M8" s="1029">
        <f>'SEAP template'!M76</f>
        <v>0</v>
      </c>
      <c r="N8" s="1029">
        <f>'SEAP template'!N76</f>
        <v>0</v>
      </c>
      <c r="O8" s="1029">
        <f>'SEAP template'!O76</f>
        <v>0</v>
      </c>
      <c r="P8" s="1030">
        <f>'SEAP template'!Q76</f>
        <v>16205.441543485975</v>
      </c>
    </row>
    <row r="9" spans="1:16">
      <c r="A9" s="1035" t="s">
        <v>785</v>
      </c>
      <c r="B9" s="1029">
        <f>'SEAP template'!B77</f>
        <v>9945</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28414.285714285717</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28322.905706306636</v>
      </c>
      <c r="C10" s="1031">
        <f>SUM(C4:C9)</f>
        <v>67330.260509961605</v>
      </c>
      <c r="D10" s="1031">
        <f t="shared" ref="D10:H10" si="0">SUM(D8:D9)</f>
        <v>76064.330211704495</v>
      </c>
      <c r="E10" s="1031">
        <f t="shared" si="0"/>
        <v>0</v>
      </c>
      <c r="F10" s="1031">
        <f t="shared" si="0"/>
        <v>3147.7409764856411</v>
      </c>
      <c r="G10" s="1031">
        <f t="shared" si="0"/>
        <v>0</v>
      </c>
      <c r="H10" s="1031">
        <f t="shared" si="0"/>
        <v>0</v>
      </c>
      <c r="I10" s="1031">
        <f>SUM(I8:I9)</f>
        <v>9443.2229294569224</v>
      </c>
      <c r="J10" s="1031">
        <f>SUM(J8:J9)</f>
        <v>28414.285714285717</v>
      </c>
      <c r="K10" s="1031">
        <f t="shared" ref="K10:L10" si="1">SUM(K8:K9)</f>
        <v>0</v>
      </c>
      <c r="L10" s="1031">
        <f t="shared" si="1"/>
        <v>0</v>
      </c>
      <c r="M10" s="1031">
        <f>SUM(M8:M9)</f>
        <v>0</v>
      </c>
      <c r="N10" s="1031">
        <f>SUM(N8:N9)</f>
        <v>0</v>
      </c>
      <c r="O10" s="1031">
        <f>SUM(O8:O9)</f>
        <v>0</v>
      </c>
      <c r="P10" s="1031">
        <f>SUM(P8:P9)</f>
        <v>16205.441543485975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0.19448990494100346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11079.135509961616</v>
      </c>
      <c r="C17" s="1032">
        <f>'SEAP template'!C87</f>
        <v>92934.50734718125</v>
      </c>
      <c r="D17" s="1030">
        <f>'SEAP template'!D87</f>
        <v>104989.95550258122</v>
      </c>
      <c r="E17" s="1030">
        <f>'SEAP template'!E87</f>
        <v>0</v>
      </c>
      <c r="F17" s="1030">
        <f>'SEAP template'!F87</f>
        <v>4344.7590235143598</v>
      </c>
      <c r="G17" s="1030">
        <f>'SEAP template'!G87</f>
        <v>0</v>
      </c>
      <c r="H17" s="1030">
        <f>'SEAP template'!H87</f>
        <v>0</v>
      </c>
      <c r="I17" s="1030">
        <f>'SEAP template'!I87</f>
        <v>13034.277070543078</v>
      </c>
      <c r="J17" s="1030">
        <f>'SEAP template'!J87</f>
        <v>0</v>
      </c>
      <c r="K17" s="1030">
        <f>'SEAP template'!K87</f>
        <v>0</v>
      </c>
      <c r="L17" s="1030">
        <f>'SEAP template'!L87</f>
        <v>0</v>
      </c>
      <c r="M17" s="1030">
        <f>'SEAP template'!M87</f>
        <v>0</v>
      </c>
      <c r="N17" s="1030">
        <f>'SEAP template'!N87</f>
        <v>0</v>
      </c>
      <c r="O17" s="1030">
        <f>'SEAP template'!O87</f>
        <v>0</v>
      </c>
      <c r="P17" s="1030">
        <f>'SEAP template'!Q87</f>
        <v>22368.021670799742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11079.135509961616</v>
      </c>
      <c r="C20" s="1031">
        <f>SUM(C17:C19)</f>
        <v>92934.50734718125</v>
      </c>
      <c r="D20" s="1031">
        <f t="shared" ref="D20:H20" si="2">SUM(D17:D19)</f>
        <v>104989.95550258122</v>
      </c>
      <c r="E20" s="1031">
        <f t="shared" si="2"/>
        <v>0</v>
      </c>
      <c r="F20" s="1031">
        <f t="shared" si="2"/>
        <v>4344.7590235143598</v>
      </c>
      <c r="G20" s="1031">
        <f t="shared" si="2"/>
        <v>0</v>
      </c>
      <c r="H20" s="1031">
        <f t="shared" si="2"/>
        <v>0</v>
      </c>
      <c r="I20" s="1031">
        <f>SUM(I17:I19)</f>
        <v>13034.277070543078</v>
      </c>
      <c r="J20" s="1031">
        <f>SUM(J17:J19)</f>
        <v>0</v>
      </c>
      <c r="K20" s="1031">
        <f t="shared" ref="K20:L20" si="3">SUM(K17:K19)</f>
        <v>0</v>
      </c>
      <c r="L20" s="1031">
        <f t="shared" si="3"/>
        <v>0</v>
      </c>
      <c r="M20" s="1031">
        <f>SUM(M17:M19)</f>
        <v>0</v>
      </c>
      <c r="N20" s="1031">
        <f>SUM(N17:N19)</f>
        <v>0</v>
      </c>
      <c r="O20" s="1031">
        <f>SUM(O17:O19)</f>
        <v>0</v>
      </c>
      <c r="P20" s="1031">
        <f>SUM(P17:P19)</f>
        <v>22368.021670799742</v>
      </c>
    </row>
    <row r="21" spans="1:16">
      <c r="B21" s="887"/>
    </row>
    <row r="22" spans="1:16">
      <c r="A22" s="464" t="s">
        <v>797</v>
      </c>
      <c r="B22" s="781" t="s">
        <v>795</v>
      </c>
      <c r="C22" s="781">
        <f ca="1">'EF ele_warmte'!B22</f>
        <v>0.21504892104895332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0.19448990494100346</v>
      </c>
      <c r="C17" s="501">
        <f ca="1">'EF ele_warmte'!B22</f>
        <v>0.21504892104895332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2020-06-20T15:28:50Z</dcterms:modified>
</cp:coreProperties>
</file>