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D16" i="16" s="1"/>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20" i="16"/>
  <c r="C22" i="16" s="1"/>
  <c r="D43" i="14" s="1"/>
  <c r="C10" i="17"/>
  <c r="C12" i="17" s="1"/>
  <c r="D54" i="14" s="1"/>
  <c r="D56" i="14" s="1"/>
  <c r="C17" i="49"/>
  <c r="C18" i="15"/>
  <c r="C20" i="15" s="1"/>
  <c r="D40" i="14" s="1"/>
  <c r="C10" i="13"/>
  <c r="C12" i="13" s="1"/>
  <c r="D41" i="14" s="1"/>
  <c r="D46" i="14" s="1"/>
  <c r="D61" i="14" s="1"/>
  <c r="D63" i="14" s="1"/>
  <c r="C29" i="20"/>
  <c r="C56" i="22"/>
  <c r="C58" i="22" s="1"/>
  <c r="D49" i="14" s="1"/>
  <c r="D52"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<sst xmlns="http://schemas.openxmlformats.org/spreadsheetml/2006/main" count="2437" uniqueCount="906">
  <si>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</si>
  <si>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</si>
  <si>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</si>
  <si>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</si>
  <si>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</si>
  <si>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</si>
  <si>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</si>
  <si>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</si>
  <si>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</si>
  <si>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</si>
  <si>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</si>
  <si>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</si>
  <si>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</si>
  <si>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</si>
  <si>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</si>
  <si>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</si>
  <si>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</si>
  <si>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</si>
  <si>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</si>
  <si>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</si>
  <si>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</si>
  <si>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</si>
  <si>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</si>
  <si>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</si>
  <si>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</si>
  <si>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</si>
  <si>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</si>
  <si>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</si>
  <si>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</si>
  <si>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</si>
  <si>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</si>
  <si>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</si>
  <si>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</si>
  <si>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</si>
  <si>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</si>
  <si>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</si>
  <si>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</si>
  <si>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</si>
  <si>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</si>
  <si>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</si>
  <si>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</si>
  <si>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</si>
  <si>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</si>
  <si>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</si>
  <si>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</si>
  <si>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</si>
  <si>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</si>
  <si>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</si>
  <si>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</si>
  <si>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</si>
  <si>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</si>
  <si>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</si>
  <si>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</si>
  <si>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</si>
  <si>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</si>
  <si>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</si>
  <si>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</si>
  <si>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</si>
  <si>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</si>
  <si>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</si>
  <si>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</si>
  <si>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</si>
  <si>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</si>
  <si>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</si>
  <si>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</si>
  <si>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</si>
  <si>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</si>
  <si>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</si>
  <si>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</si>
  <si>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</si>
  <si>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</si>
  <si>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</si>
  <si>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</si>
  <si>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</si>
  <si>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</si>
  <si>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</si>
  <si>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</si>
  <si>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</si>
  <si>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</si>
  <si>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</si>
  <si>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</si>
  <si>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</si>
  <si>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</si>
  <si>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</si>
  <si>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</si>
  <si>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</si>
  <si>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</si>
  <si>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</si>
  <si>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</si>
  <si>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</si>
  <si>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</si>
  <si>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</si>
  <si>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</si>
  <si>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</si>
  <si>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</si>
  <si>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</si>
  <si>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</si>
  <si>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</si>
  <si>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</si>
  <si>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</si>
  <si>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</si>
  <si>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</si>
  <si>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</si>
  <si>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</si>
  <si>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</si>
  <si>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</si>
  <si>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</si>
  <si>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</si>
  <si>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</si>
  <si>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</si>
  <si>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</si>
  <si>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</si>
  <si>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</si>
  <si>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</si>
  <si>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</si>
  <si>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</si>
  <si>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</si>
  <si>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</si>
  <si>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</si>
  <si>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</si>
  <si>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</si>
  <si>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</si>
  <si>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</si>
  <si>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</si>
  <si>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</si>
  <si>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</si>
  <si>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</si>
  <si>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</si>
  <si>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</si>
  <si>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</si>
  <si>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</si>
  <si>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</si>
  <si>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</si>
  <si>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</si>
  <si>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</si>
  <si>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</si>
  <si>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</si>
  <si>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</si>
  <si>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</si>
  <si>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</si>
  <si>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</si>
  <si>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</si>
  <si>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</si>
  <si>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</si>
  <si>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</si>
  <si>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</si>
  <si>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</si>
  <si>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</si>
  <si>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</si>
  <si>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</si>
  <si>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</si>
  <si>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</si>
  <si>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</si>
  <si>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</si>
  <si>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</si>
  <si>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</si>
  <si>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</si>
  <si>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</si>
  <si>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</si>
  <si>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</si>
  <si>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</si>
  <si>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</si>
  <si>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</si>
  <si>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</si>
  <si>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</si>
  <si>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</si>
  <si>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</si>
  <si>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</si>
  <si>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</si>
  <si>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</si>
  <si>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</si>
  <si>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</si>
  <si>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</si>
  <si>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</si>
  <si>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</si>
  <si>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</si>
  <si>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</si>
  <si>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</si>
  <si>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</si>
  <si>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</si>
  <si>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</si>
  <si>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</si>
  <si>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</si>
  <si>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</si>
  <si>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</si>
  <si>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</si>
  <si>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</si>
  <si>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</si>
  <si>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</si>
  <si>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</si>
  <si>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</si>
  <si>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</si>
  <si>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</si>
  <si>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</si>
  <si>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</si>
  <si>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</si>
  <si>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</si>
  <si>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</si>
  <si>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</si>
  <si>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</si>
  <si>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</si>
  <si>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</si>
  <si>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</si>
  <si>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</si>
  <si>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</si>
  <si>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</si>
  <si>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</si>
  <si>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</si>
  <si>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</si>
  <si>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</si>
  <si>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</si>
  <si>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</si>
  <si>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</si>
  <si>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</si>
  <si>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</si>
  <si>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</si>
  <si>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</si>
  <si>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</si>
  <si>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</si>
  <si>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</si>
  <si>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</si>
  <si>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</si>
  <si>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</si>
  <si>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</si>
  <si>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</si>
  <si>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</si>
  <si>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</si>
  <si>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</si>
  <si>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</si>
  <si>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</si>
  <si>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</si>
  <si>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</si>
  <si>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</si>
  <si>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</si>
  <si>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</si>
  <si>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</si>
  <si>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</si>
  <si>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</si>
  <si>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</si>
  <si>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</si>
  <si>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</si>
  <si>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</si>
  <si>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</si>
  <si>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</si>
  <si>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</si>
  <si>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</si>
  <si>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</si>
  <si>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</si>
  <si>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</si>
  <si>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</si>
  <si>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</si>
  <si>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</si>
  <si>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</si>
  <si>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</si>
  <si>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</si>
  <si>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</si>
  <si>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</si>
  <si>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</si>
  <si>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</si>
  <si>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</si>
  <si>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</si>
  <si>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</si>
  <si>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</si>
  <si>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</si>
  <si>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</si>
  <si>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</si>
  <si>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</si>
  <si>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</si>
  <si>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</si>
  <si>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</si>
  <si>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</si>
  <si>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</si>
  <si>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</si>
  <si>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</si>
  <si>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</si>
  <si>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</si>
  <si>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</si>
  <si>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</si>
  <si>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</si>
  <si>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</si>
  <si>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</si>
  <si>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</si>
  <si>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</si>
  <si>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</si>
  <si>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</si>
  <si>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</si>
  <si>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</si>
  <si>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</si>
  <si>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</si>
  <si>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</si>
  <si>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</si>
  <si>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</si>
  <si>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</si>
  <si>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</si>
  <si>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</si>
  <si>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</si>
  <si>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</si>
  <si>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</si>
  <si>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</si>
  <si>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</si>
  <si>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</si>
  <si>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</si>
  <si>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</si>
  <si>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</si>
  <si>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</si>
  <si>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</si>
  <si>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</si>
  <si>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</si>
  <si>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</si>
  <si>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</si>
  <si>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</si>
  <si>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</si>
  <si>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</si>
  <si>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</si>
  <si>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</si>
  <si>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</si>
  <si>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</si>
  <si>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</si>
  <si>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</si>
  <si>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</si>
  <si>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</si>
  <si>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</si>
  <si>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</si>
  <si>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</si>
  <si>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</si>
  <si>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</si>
  <si>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</si>
  <si>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</si>
  <si>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</si>
  <si>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</si>
  <si>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</si>
  <si>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</si>
  <si>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</si>
  <si>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</si>
  <si>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</si>
  <si>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</si>
  <si>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</si>
  <si>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</si>
  <si>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</si>
  <si>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</si>
  <si>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</si>
  <si>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</si>
  <si>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</si>
  <si>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</si>
  <si>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</si>
  <si>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</si>
  <si>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</si>
  <si>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</si>
  <si>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</si>
  <si>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</si>
  <si>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</si>
  <si>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</si>
  <si>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</si>
  <si>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</si>
  <si>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</si>
  <si>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</si>
  <si>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</si>
  <si>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</si>
  <si>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</si>
  <si>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</si>
  <si>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</si>
  <si>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</si>
  <si>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</si>
  <si>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</si>
  <si>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</si>
  <si>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</si>
  <si>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</si>
  <si>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</si>
  <si>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</si>
  <si>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</si>
  <si>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</si>
  <si>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</si>
  <si>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</si>
  <si>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</si>
  <si>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</si>
  <si>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</si>
  <si>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</si>
  <si>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</si>
  <si>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</si>
  <si>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</si>
  <si>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</si>
  <si>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</si>
  <si>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</si>
  <si>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</si>
  <si>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</si>
  <si>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</si>
  <si>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</si>
  <si>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</si>
  <si>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</si>
  <si>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</si>
  <si>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</si>
  <si>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</si>
  <si>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</si>
  <si>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</si>
  <si>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</si>
  <si>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</si>
  <si>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</si>
  <si>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</si>
  <si>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</si>
  <si>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</si>
  <si>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</si>
  <si>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</si>
  <si>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</si>
  <si>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</si>
  <si>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</si>
  <si>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</si>
  <si>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</si>
  <si>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</si>
  <si>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</si>
  <si>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</si>
  <si>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</si>
  <si>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</si>
  <si>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</si>
  <si>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</si>
  <si>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</si>
  <si>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</si>
  <si>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</si>
  <si>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</si>
  <si>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</si>
  <si>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</si>
  <si>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</si>
  <si>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</si>
  <si>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</si>
  <si>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</si>
  <si>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</si>
  <si>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</si>
  <si>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</si>
  <si>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</si>
  <si>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</si>
  <si>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</si>
  <si>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</si>
  <si>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</si>
  <si>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</si>
  <si>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</si>
  <si>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</si>
  <si>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</si>
  <si>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</si>
  <si>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</si>
  <si>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</si>
  <si>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</si>
  <si>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</si>
  <si>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</si>
  <si>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</si>
  <si>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</si>
  <si>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</si>
  <si>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</si>
  <si>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</si>
  <si>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</si>
  <si>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</si>
  <si>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</si>
  <si>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</si>
  <si>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</si>
  <si>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</si>
  <si>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</si>
  <si>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</si>
  <si>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</si>
  <si>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</si>
  <si>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</si>
  <si>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</si>
  <si>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</si>
  <si>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</si>
  <si>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</si>
  <si>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</si>
  <si>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</si>
  <si>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</si>
  <si>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</si>
  <si>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</si>
  <si>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</si>
  <si>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</si>
  <si>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</si>
  <si>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</si>
  <si>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</si>
  <si>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</si>
  <si>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</si>
  <si>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</si>
  <si>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</si>
  <si>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</si>
  <si>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</si>
  <si>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</si>
  <si>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</si>
  <si>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</si>
  <si>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</si>
  <si>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</si>
  <si>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</si>
  <si>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</si>
  <si>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</si>
  <si>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</si>
  <si>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</si>
  <si>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</si>
  <si>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</si>
  <si>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</si>
  <si>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</si>
  <si>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</si>
  <si>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</si>
  <si>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</si>
  <si>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</si>
  <si>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</si>
  <si>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</si>
  <si>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</si>
  <si>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</si>
  <si>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</si>
  <si>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</si>
  <si>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</si>
  <si>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</si>
  <si>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</si>
  <si>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</si>
  <si>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</si>
  <si>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</si>
  <si>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</si>
  <si>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</si>
  <si>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</si>
  <si>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</si>
  <si>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</si>
  <si>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</si>
  <si>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</si>
  <si>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</si>
  <si>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</si>
  <si>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</si>
  <si>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</si>
  <si>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</si>
  <si>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</si>
  <si>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</si>
  <si>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</si>
  <si>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</si>
  <si>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</si>
  <si>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</si>
  <si>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</si>
  <si>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</si>
  <si>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</si>
  <si>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</si>
  <si>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</si>
  <si>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</si>
  <si>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</si>
  <si>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</si>
  <si>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</si>
  <si>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</si>
  <si>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</si>
  <si>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</si>
  <si>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</si>
  <si>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</si>
  <si>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</si>
  <si>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</si>
  <si>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</si>
  <si>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</si>
  <si>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</si>
  <si>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</si>
  <si>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</si>
  <si>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</si>
  <si>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</si>
  <si>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</si>
  <si>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</si>
  <si>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</si>
  <si>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</si>
  <si>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</si>
  <si>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</si>
  <si>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</si>
  <si>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</si>
  <si>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</si>
  <si>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</si>
  <si>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</si>
  <si>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</si>
  <si>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</si>
  <si>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</si>
  <si>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</si>
  <si>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</si>
  <si>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</si>
  <si>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</si>
  <si>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</si>
  <si>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</si>
  <si>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</si>
  <si>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</si>
  <si>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</si>
  <si>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</si>
  <si>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</si>
  <si>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</si>
  <si>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</si>
  <si>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</si>
  <si>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</si>
  <si>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</si>
  <si>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</si>
  <si>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</si>
  <si>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</si>
  <si>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</si>
  <si>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</si>
  <si>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</si>
  <si>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</si>
  <si>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</si>
  <si>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</si>
  <si>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</si>
  <si>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</si>
  <si>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</si>
  <si>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</si>
  <si>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</si>
  <si>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</si>
  <si>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</si>
  <si>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</si>
  <si>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</si>
  <si>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</si>
  <si>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</si>
  <si>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</si>
  <si>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</si>
  <si>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</si>
  <si>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</si>
  <si>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</si>
  <si>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</si>
  <si>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</si>
  <si>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</si>
  <si>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</si>
  <si>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</si>
  <si>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</si>
  <si>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</si>
  <si>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</si>
  <si>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</si>
  <si>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</si>
  <si>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</si>
  <si>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</si>
  <si>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</si>
  <si>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</si>
  <si>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</si>
  <si>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</si>
  <si>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</si>
  <si>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</si>
  <si>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</si>
  <si>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</si>
  <si>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</si>
  <si>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</si>
  <si>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</si>
  <si>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</si>
  <si>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</si>
  <si>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</si>
  <si>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</si>
  <si>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</si>
  <si>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</si>
  <si>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</si>
  <si>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</si>
  <si>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</si>
  <si>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</si>
  <si>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</si>
  <si>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</si>
  <si>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</si>
  <si>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</si>
  <si>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</si>
  <si>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</si>
  <si>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</si>
  <si>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</si>
  <si>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</si>
  <si>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</si>
  <si>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</si>
  <si>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</si>
  <si>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</si>
  <si>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</si>
  <si>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</si>
  <si>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</si>
  <si>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</si>
  <si>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</si>
  <si>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</si>
  <si>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</si>
  <si>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</si>
  <si>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</si>
  <si>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</si>
  <si>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</si>
  <si>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</si>
  <si>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</si>
  <si>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</si>
  <si>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</si>
  <si>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</si>
  <si>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</si>
  <si>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</si>
  <si>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</si>
  <si>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</si>
  <si>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</si>
  <si>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</si>
  <si>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</si>
  <si>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</si>
  <si>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</si>
  <si>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</si>
  <si>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</si>
  <si>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</si>
  <si>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</si>
  <si>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</si>
  <si>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</si>
  <si>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</si>
  <si>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</si>
  <si>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</si>
  <si>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</si>
  <si>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</si>
  <si>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</si>
  <si>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</si>
  <si>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</si>
  <si>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</si>
  <si>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</si>
  <si>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</si>
  <si>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</si>
  <si>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</si>
  <si>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</si>
  <si>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</si>
  <si>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</si>
  <si>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</si>
  <si>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</si>
  <si>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</si>
  <si>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</si>
  <si>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</si>
  <si>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</si>
  <si>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</si>
  <si>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</si>
  <si>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</si>
  <si>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</si>
  <si>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</si>
  <si>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</si>
  <si>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</si>
  <si>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</si>
  <si>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</si>
  <si>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</si>
  <si>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</si>
  <si>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</si>
  <si>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</si>
  <si>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</si>
  <si>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</si>
  <si>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</si>
  <si>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</si>
  <si>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</si>
  <si>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</si>
  <si>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</si>
  <si>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</si>
  <si>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</si>
  <si>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</si>
  <si>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</si>
  <si>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</si>
  <si>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</si>
  <si>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</si>
  <si>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</si>
  <si>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</si>
  <si>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</si>
  <si>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</si>
  <si>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</si>
  <si>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</si>
  <si>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</si>
  <si>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</si>
  <si>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</si>
  <si>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</si>
  <si>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</si>
  <si>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</si>
  <si>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</si>
  <si>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</si>
  <si>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</si>
  <si>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</si>
  <si>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</si>
  <si>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</si>
  <si>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</si>
  <si>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</si>
  <si>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</si>
  <si>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</si>
  <si>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</si>
  <si>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</si>
  <si>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</si>
  <si>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</si>
  <si>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</si>
  <si>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</si>
  <si>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</si>
  <si>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</si>
  <si>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</si>
  <si>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</si>
  <si>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</si>
  <si>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</si>
  <si>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</si>
  <si>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</si>
  <si>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</si>
  <si>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</si>
  <si>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</si>
  <si>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</si>
  <si>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</si>
  <si>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</si>
  <si>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</si>
  <si>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</si>
  <si>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</si>
  <si>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</si>
  <si>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</si>
  <si>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</si>
  <si>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</si>
  <si>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</si>
  <si>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</si>
  <si>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</si>
  <si>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</si>
  <si>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</si>
  <si>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</si>
  <si>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</si>
  <si>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</si>
  <si>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</si>
  <si>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</si>
  <si>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</si>
  <si>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</si>
  <si>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</si>
  <si>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</si>
  <si>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</si>
  <si>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</si>
  <si>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</si>
  <si>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</si>
  <si>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</si>
  <si>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</si>
  <si>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</si>
  <si>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</si>
  <si>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</si>
  <si>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</si>
  <si>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</si>
  <si>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</si>
  <si>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</si>
  <si>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</si>
  <si>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</si>
  <si>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</si>
  <si>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</si>
  <si>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</si>
  <si>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</si>
  <si>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</si>
  <si>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</si>
  <si>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</si>
  <si>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</si>
  <si>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</si>
  <si>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</si>
  <si>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</si>
  <si>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</si>
  <si>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</si>
  <si>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</si>
  <si>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</si>
  <si>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</si>
  <si>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</si>
  <si>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</si>
  <si>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</si>
  <si>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</si>
  <si>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</si>
  <si>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</si>
  <si>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</si>
  <si>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</si>
  <si>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</si>
  <si>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</si>
  <si>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</si>
  <si>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</si>
  <si>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</si>
  <si>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</si>
  <si>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</si>
  <si>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</si>
  <si>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</si>
  <si>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</si>
  <si>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</si>
  <si>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</si>
  <si>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</si>
  <si>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</si>
  <si>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</si>
  <si>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</si>
  <si>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</si>
  <si>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</si>
  <si>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</si>
  <si>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</si>
  <si>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</si>
  <si>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</si>
  <si>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</si>
  <si>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</si>
  <si>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</si>
  <si>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</si>
  <si>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</si>
  <si>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</si>
  <si>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</si>
  <si>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</si>
  <si>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</si>
  <si>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</si>
  <si>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</si>
  <si>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</si>
  <si>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</si>
  <si>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</si>
  <si>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</si>
  <si>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</si>
  <si>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</si>
  <si>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</si>
  <si>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</si>
  <si>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</si>
  <si>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</si>
  <si>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</si>
  <si>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</si>
  <si>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</si>
  <si>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</si>
  <si>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</si>
  <si>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</si>
  <si>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</si>
  <si>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</si>
  <si>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</si>
  <si>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</si>
  <si>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11056</t>
  </si>
  <si>
    <t>ZWIJNDRECHT</t>
  </si>
  <si>
    <t>referentietaak LNE (2017); Jaarverslag De Lijn</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</si>
  <si>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</si>
  <si>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</si>
  <si>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</si>
  <si>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</si>
  <si>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</si>
  <si>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</si>
  <si>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</si>
  <si>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</si>
  <si>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</si>
  <si>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</si>
  <si>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</si>
  <si>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</si>
  <si>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</si>
  <si>
    <t>Herdi</t>
  </si>
  <si>
    <t>WKK-0736</t>
  </si>
  <si>
    <t>Interne verbrandingsmotor</t>
  </si>
  <si>
    <t>Blauwe Hoevestraat 17</t>
  </si>
  <si>
    <t>I.M.E.A. of IMEA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</si>
</sst>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123653.68280534407</c:v>
                </c:pt>
                <c:pt idx="1">
                  <c:v>103587.44295531158</c:v>
                </c:pt>
                <c:pt idx="2">
                  <c:v>1270.5200989999998</c:v>
                </c:pt>
                <c:pt idx="3">
                  <c:v>51410.793305193147</c:v>
                </c:pt>
                <c:pt idx="4">
                  <c:v>63793.445587717746</c:v>
                </c:pt>
                <c:pt idx="5">
                  <c:v>237182.49317486226</c:v>
                </c:pt>
                <c:pt idx="6">
                  <c:v>2272.6491163687101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123653.68280534407</c:v>
                </c:pt>
                <c:pt idx="1">
                  <c:v>103587.44295531158</c:v>
                </c:pt>
                <c:pt idx="2">
                  <c:v>1270.5200989999998</c:v>
                </c:pt>
                <c:pt idx="3">
                  <c:v>51410.793305193147</c:v>
                </c:pt>
                <c:pt idx="4">
                  <c:v>63793.445587717746</c:v>
                </c:pt>
                <c:pt idx="5">
                  <c:v>237182.49317486226</c:v>
                </c:pt>
                <c:pt idx="6">
                  <c:v>2272.6491163687101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24447.791729479435</c:v>
                </c:pt>
                <c:pt idx="1">
                  <c:v>20878.924964143771</c:v>
                </c:pt>
                <c:pt idx="2">
                  <c:v>272.9140346057581</c:v>
                </c:pt>
                <c:pt idx="3">
                  <c:v>12361.68120799913</c:v>
                </c:pt>
                <c:pt idx="4">
                  <c:v>13709.375605335475</c:v>
                </c:pt>
                <c:pt idx="5">
                  <c:v>59230.389911486513</c:v>
                </c:pt>
                <c:pt idx="6">
                  <c:v>528.61749584305358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24447.791729479435</c:v>
                </c:pt>
                <c:pt idx="1">
                  <c:v>20878.924964143771</c:v>
                </c:pt>
                <c:pt idx="2">
                  <c:v>272.9140346057581</c:v>
                </c:pt>
                <c:pt idx="3">
                  <c:v>12361.68120799913</c:v>
                </c:pt>
                <c:pt idx="4">
                  <c:v>13709.375605335475</c:v>
                </c:pt>
                <c:pt idx="5">
                  <c:v>59230.389911486513</c:v>
                </c:pt>
                <c:pt idx="6">
                  <c:v>528.61749584305358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11056</v>
      </c>
      <c r="B6" s="390"/>
      <c r="C6" s="391"/>
    </row>
    <row r="7" spans="1:7" s="388" customFormat="1" ht="15.75" customHeight="1">
      <c r="A7" s="392" t="str">
        <f>txtMunicipality</f>
        <v>ZWIJNDRECHT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0.21480497224763553</v>
      </c>
      <c r="C17" s="501">
        <f ca="1">'EF ele_warmte'!B22</f>
        <v>0.23764705882352938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0.21480497224763553</v>
      </c>
      <c r="C29" s="502">
        <f ca="1">'EF ele_warmte'!B22</f>
        <v>0.23764705882352938</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8142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364.37</v>
      </c>
      <c r="C14" s="330"/>
      <c r="D14" s="330"/>
      <c r="E14" s="330"/>
      <c r="F14" s="330"/>
    </row>
    <row r="15" spans="1:6">
      <c r="A15" s="1298" t="s">
        <v>183</v>
      </c>
      <c r="B15" s="1299">
        <v>0</v>
      </c>
      <c r="C15" s="330"/>
      <c r="D15" s="330"/>
      <c r="E15" s="330"/>
      <c r="F15" s="330"/>
    </row>
    <row r="16" spans="1:6">
      <c r="A16" s="1298" t="s">
        <v>6</v>
      </c>
      <c r="B16" s="1299">
        <v>30</v>
      </c>
      <c r="C16" s="330"/>
      <c r="D16" s="330"/>
      <c r="E16" s="330"/>
      <c r="F16" s="330"/>
    </row>
    <row r="17" spans="1:6">
      <c r="A17" s="1298" t="s">
        <v>7</v>
      </c>
      <c r="B17" s="1299">
        <v>19</v>
      </c>
      <c r="C17" s="330"/>
      <c r="D17" s="330"/>
      <c r="E17" s="330"/>
      <c r="F17" s="330"/>
    </row>
    <row r="18" spans="1:6">
      <c r="A18" s="1298" t="s">
        <v>8</v>
      </c>
      <c r="B18" s="1299">
        <v>34</v>
      </c>
      <c r="C18" s="330"/>
      <c r="D18" s="330"/>
      <c r="E18" s="330"/>
      <c r="F18" s="330"/>
    </row>
    <row r="19" spans="1:6">
      <c r="A19" s="1298" t="s">
        <v>9</v>
      </c>
      <c r="B19" s="1299">
        <v>29</v>
      </c>
      <c r="C19" s="330"/>
      <c r="D19" s="330"/>
      <c r="E19" s="330"/>
      <c r="F19" s="330"/>
    </row>
    <row r="20" spans="1:6">
      <c r="A20" s="1298" t="s">
        <v>10</v>
      </c>
      <c r="B20" s="1299">
        <v>7</v>
      </c>
      <c r="C20" s="330"/>
      <c r="D20" s="330"/>
      <c r="E20" s="330"/>
      <c r="F20" s="330"/>
    </row>
    <row r="21" spans="1:6">
      <c r="A21" s="1298" t="s">
        <v>11</v>
      </c>
      <c r="B21" s="1299">
        <v>59</v>
      </c>
      <c r="C21" s="330"/>
      <c r="D21" s="330"/>
      <c r="E21" s="330"/>
      <c r="F21" s="330"/>
    </row>
    <row r="22" spans="1:6">
      <c r="A22" s="1298" t="s">
        <v>12</v>
      </c>
      <c r="B22" s="1299">
        <v>240</v>
      </c>
      <c r="C22" s="330"/>
      <c r="D22" s="330"/>
      <c r="E22" s="330"/>
      <c r="F22" s="330"/>
    </row>
    <row r="23" spans="1:6">
      <c r="A23" s="1298" t="s">
        <v>13</v>
      </c>
      <c r="B23" s="1299">
        <v>10</v>
      </c>
      <c r="C23" s="330"/>
      <c r="D23" s="330"/>
      <c r="E23" s="330"/>
      <c r="F23" s="330"/>
    </row>
    <row r="24" spans="1:6">
      <c r="A24" s="1298" t="s">
        <v>14</v>
      </c>
      <c r="B24" s="1299">
        <v>1</v>
      </c>
      <c r="C24" s="330"/>
      <c r="D24" s="330"/>
      <c r="E24" s="330"/>
      <c r="F24" s="330"/>
    </row>
    <row r="25" spans="1:6">
      <c r="A25" s="1298" t="s">
        <v>15</v>
      </c>
      <c r="B25" s="1299">
        <v>30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15</v>
      </c>
      <c r="C29" s="336"/>
      <c r="D29" s="336"/>
      <c r="E29" s="336"/>
      <c r="F29" s="336"/>
    </row>
    <row r="30" spans="1:6">
      <c r="A30" s="1293" t="s">
        <v>706</v>
      </c>
      <c r="B30" s="1302">
        <v>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4</v>
      </c>
      <c r="D36" s="1299">
        <v>263256.14799999999</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7324.4210000000003</v>
      </c>
    </row>
    <row r="39" spans="1:6">
      <c r="A39" s="1298" t="s">
        <v>29</v>
      </c>
      <c r="B39" s="1298" t="s">
        <v>30</v>
      </c>
      <c r="C39" s="1299">
        <v>6774</v>
      </c>
      <c r="D39" s="1299">
        <v>96149029.829999998</v>
      </c>
      <c r="E39" s="1299">
        <v>8243</v>
      </c>
      <c r="F39" s="1299">
        <v>28900962.260000002</v>
      </c>
    </row>
    <row r="40" spans="1:6">
      <c r="A40" s="1298" t="s">
        <v>29</v>
      </c>
      <c r="B40" s="1298" t="s">
        <v>28</v>
      </c>
      <c r="C40" s="1299">
        <v>0</v>
      </c>
      <c r="D40" s="1299">
        <v>0</v>
      </c>
      <c r="E40" s="1299">
        <v>0</v>
      </c>
      <c r="F40" s="1299">
        <v>0</v>
      </c>
    </row>
    <row r="41" spans="1:6">
      <c r="A41" s="1298" t="s">
        <v>31</v>
      </c>
      <c r="B41" s="1298" t="s">
        <v>32</v>
      </c>
      <c r="C41" s="1299">
        <v>39</v>
      </c>
      <c r="D41" s="1299">
        <v>2784944.585</v>
      </c>
      <c r="E41" s="1299">
        <v>70</v>
      </c>
      <c r="F41" s="1299">
        <v>1856437.33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8</v>
      </c>
      <c r="F44" s="1299">
        <v>1841912.959</v>
      </c>
    </row>
    <row r="45" spans="1:6">
      <c r="A45" s="1298" t="s">
        <v>31</v>
      </c>
      <c r="B45" s="1298" t="s">
        <v>36</v>
      </c>
      <c r="C45" s="1299">
        <v>0</v>
      </c>
      <c r="D45" s="1299">
        <v>0</v>
      </c>
      <c r="E45" s="1299">
        <v>4</v>
      </c>
      <c r="F45" s="1299">
        <v>17977.423999999999</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20</v>
      </c>
      <c r="D48" s="1299">
        <v>9170658.5079999994</v>
      </c>
      <c r="E48" s="1299">
        <v>28</v>
      </c>
      <c r="F48" s="1299">
        <v>36126302.799999997</v>
      </c>
    </row>
    <row r="49" spans="1:6">
      <c r="A49" s="1298" t="s">
        <v>31</v>
      </c>
      <c r="B49" s="1298" t="s">
        <v>39</v>
      </c>
      <c r="C49" s="1299">
        <v>4</v>
      </c>
      <c r="D49" s="1299">
        <v>72410.668999999994</v>
      </c>
      <c r="E49" s="1299">
        <v>4</v>
      </c>
      <c r="F49" s="1299">
        <v>42179.642999999996</v>
      </c>
    </row>
    <row r="50" spans="1:6">
      <c r="A50" s="1298" t="s">
        <v>31</v>
      </c>
      <c r="B50" s="1298" t="s">
        <v>40</v>
      </c>
      <c r="C50" s="1299">
        <v>4</v>
      </c>
      <c r="D50" s="1299">
        <v>495475.56199999998</v>
      </c>
      <c r="E50" s="1299">
        <v>7</v>
      </c>
      <c r="F50" s="1299">
        <v>312522.37699999998</v>
      </c>
    </row>
    <row r="51" spans="1:6">
      <c r="A51" s="1298" t="s">
        <v>41</v>
      </c>
      <c r="B51" s="1298" t="s">
        <v>42</v>
      </c>
      <c r="C51" s="1299">
        <v>3</v>
      </c>
      <c r="D51" s="1299">
        <v>43785.612999999998</v>
      </c>
      <c r="E51" s="1299">
        <v>27</v>
      </c>
      <c r="F51" s="1299">
        <v>1278935.2890000001</v>
      </c>
    </row>
    <row r="52" spans="1:6">
      <c r="A52" s="1298" t="s">
        <v>41</v>
      </c>
      <c r="B52" s="1298" t="s">
        <v>28</v>
      </c>
      <c r="C52" s="1299">
        <v>6</v>
      </c>
      <c r="D52" s="1299">
        <v>15503125.060000001</v>
      </c>
      <c r="E52" s="1299">
        <v>2</v>
      </c>
      <c r="F52" s="1299">
        <v>230.727</v>
      </c>
    </row>
    <row r="53" spans="1:6">
      <c r="A53" s="1298" t="s">
        <v>43</v>
      </c>
      <c r="B53" s="1298" t="s">
        <v>44</v>
      </c>
      <c r="C53" s="1299">
        <v>137</v>
      </c>
      <c r="D53" s="1299">
        <v>2076082.379</v>
      </c>
      <c r="E53" s="1299">
        <v>327</v>
      </c>
      <c r="F53" s="1299">
        <v>785722.27</v>
      </c>
    </row>
    <row r="54" spans="1:6">
      <c r="A54" s="1298" t="s">
        <v>45</v>
      </c>
      <c r="B54" s="1298" t="s">
        <v>46</v>
      </c>
      <c r="C54" s="1299">
        <v>0</v>
      </c>
      <c r="D54" s="1299">
        <v>0</v>
      </c>
      <c r="E54" s="1299">
        <v>4</v>
      </c>
      <c r="F54" s="1299">
        <v>1270520.0989999999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54</v>
      </c>
      <c r="D57" s="1299">
        <v>3545235.9870000002</v>
      </c>
      <c r="E57" s="1299">
        <v>99</v>
      </c>
      <c r="F57" s="1299">
        <v>3262937.1719999998</v>
      </c>
    </row>
    <row r="58" spans="1:6">
      <c r="A58" s="1298" t="s">
        <v>48</v>
      </c>
      <c r="B58" s="1298" t="s">
        <v>50</v>
      </c>
      <c r="C58" s="1299">
        <v>31</v>
      </c>
      <c r="D58" s="1299">
        <v>3455593.5269999998</v>
      </c>
      <c r="E58" s="1299">
        <v>42</v>
      </c>
      <c r="F58" s="1299">
        <v>1568061.3670000001</v>
      </c>
    </row>
    <row r="59" spans="1:6">
      <c r="A59" s="1298" t="s">
        <v>48</v>
      </c>
      <c r="B59" s="1298" t="s">
        <v>51</v>
      </c>
      <c r="C59" s="1299">
        <v>104</v>
      </c>
      <c r="D59" s="1299">
        <v>5813745.977</v>
      </c>
      <c r="E59" s="1299">
        <v>162</v>
      </c>
      <c r="F59" s="1299">
        <v>7667286.9630000005</v>
      </c>
    </row>
    <row r="60" spans="1:6">
      <c r="A60" s="1298" t="s">
        <v>48</v>
      </c>
      <c r="B60" s="1298" t="s">
        <v>52</v>
      </c>
      <c r="C60" s="1299">
        <v>54</v>
      </c>
      <c r="D60" s="1299">
        <v>1850984.0260000001</v>
      </c>
      <c r="E60" s="1299">
        <v>57</v>
      </c>
      <c r="F60" s="1299">
        <v>1329698.564</v>
      </c>
    </row>
    <row r="61" spans="1:6">
      <c r="A61" s="1298" t="s">
        <v>48</v>
      </c>
      <c r="B61" s="1298" t="s">
        <v>53</v>
      </c>
      <c r="C61" s="1299">
        <v>105</v>
      </c>
      <c r="D61" s="1299">
        <v>11815758.41</v>
      </c>
      <c r="E61" s="1299">
        <v>302</v>
      </c>
      <c r="F61" s="1299">
        <v>4361196.335</v>
      </c>
    </row>
    <row r="62" spans="1:6">
      <c r="A62" s="1298" t="s">
        <v>48</v>
      </c>
      <c r="B62" s="1298" t="s">
        <v>54</v>
      </c>
      <c r="C62" s="1299">
        <v>3</v>
      </c>
      <c r="D62" s="1299">
        <v>656001.40399999998</v>
      </c>
      <c r="E62" s="1299">
        <v>6</v>
      </c>
      <c r="F62" s="1299">
        <v>228726.592</v>
      </c>
    </row>
    <row r="63" spans="1:6">
      <c r="A63" s="1298" t="s">
        <v>48</v>
      </c>
      <c r="B63" s="1298" t="s">
        <v>28</v>
      </c>
      <c r="C63" s="1299">
        <v>81</v>
      </c>
      <c r="D63" s="1299">
        <v>52959302.609999999</v>
      </c>
      <c r="E63" s="1299">
        <v>89</v>
      </c>
      <c r="F63" s="1299">
        <v>6886746.8420000002</v>
      </c>
    </row>
    <row r="64" spans="1:6">
      <c r="A64" s="1298" t="s">
        <v>55</v>
      </c>
      <c r="B64" s="1298" t="s">
        <v>56</v>
      </c>
      <c r="C64" s="1299">
        <v>0</v>
      </c>
      <c r="D64" s="1299">
        <v>0</v>
      </c>
      <c r="E64" s="1299">
        <v>0</v>
      </c>
      <c r="F64" s="1299">
        <v>0</v>
      </c>
    </row>
    <row r="65" spans="1:6">
      <c r="A65" s="1298" t="s">
        <v>55</v>
      </c>
      <c r="B65" s="1298" t="s">
        <v>28</v>
      </c>
      <c r="C65" s="1299">
        <v>4</v>
      </c>
      <c r="D65" s="1299">
        <v>230077.549</v>
      </c>
      <c r="E65" s="1299">
        <v>5</v>
      </c>
      <c r="F65" s="1299">
        <v>633855.06999999995</v>
      </c>
    </row>
    <row r="66" spans="1:6">
      <c r="A66" s="1298" t="s">
        <v>55</v>
      </c>
      <c r="B66" s="1298" t="s">
        <v>57</v>
      </c>
      <c r="C66" s="1299">
        <v>0</v>
      </c>
      <c r="D66" s="1299">
        <v>0</v>
      </c>
      <c r="E66" s="1299">
        <v>13</v>
      </c>
      <c r="F66" s="1299">
        <v>732130.99</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214663.67300000001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42441342</v>
      </c>
      <c r="E73" s="450"/>
      <c r="F73" s="330"/>
    </row>
    <row r="74" spans="1:6">
      <c r="A74" s="1298" t="s">
        <v>63</v>
      </c>
      <c r="B74" s="1298" t="s">
        <v>647</v>
      </c>
      <c r="C74" s="1312" t="s">
        <v>649</v>
      </c>
      <c r="D74" s="1313">
        <v>3789622.5</v>
      </c>
      <c r="E74" s="450"/>
      <c r="F74" s="330"/>
    </row>
    <row r="75" spans="1:6">
      <c r="A75" s="1298" t="s">
        <v>64</v>
      </c>
      <c r="B75" s="1298" t="s">
        <v>646</v>
      </c>
      <c r="C75" s="1312" t="s">
        <v>650</v>
      </c>
      <c r="D75" s="1313">
        <v>14371496</v>
      </c>
      <c r="E75" s="450"/>
      <c r="F75" s="330"/>
    </row>
    <row r="76" spans="1:6">
      <c r="A76" s="1298" t="s">
        <v>64</v>
      </c>
      <c r="B76" s="1298" t="s">
        <v>647</v>
      </c>
      <c r="C76" s="1312" t="s">
        <v>651</v>
      </c>
      <c r="D76" s="1313">
        <v>2012989.5</v>
      </c>
      <c r="E76" s="450"/>
      <c r="F76" s="330"/>
    </row>
    <row r="77" spans="1:6">
      <c r="A77" s="1298" t="s">
        <v>65</v>
      </c>
      <c r="B77" s="1298" t="s">
        <v>646</v>
      </c>
      <c r="C77" s="1312" t="s">
        <v>652</v>
      </c>
      <c r="D77" s="1313">
        <v>139663774</v>
      </c>
      <c r="E77" s="450"/>
      <c r="F77" s="330"/>
    </row>
    <row r="78" spans="1:6">
      <c r="A78" s="1293" t="s">
        <v>65</v>
      </c>
      <c r="B78" s="1293" t="s">
        <v>647</v>
      </c>
      <c r="C78" s="1293" t="s">
        <v>653</v>
      </c>
      <c r="D78" s="1314">
        <v>32956974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291081</v>
      </c>
      <c r="C83" s="450"/>
      <c r="D83" s="330"/>
      <c r="E83" s="330"/>
      <c r="F83" s="330"/>
    </row>
    <row r="84" spans="1:6">
      <c r="A84" s="1293" t="s">
        <v>336</v>
      </c>
      <c r="B84" s="1314">
        <v>343908</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2378.3418010481464</v>
      </c>
      <c r="C91" s="330"/>
      <c r="D91" s="330"/>
      <c r="E91" s="330"/>
      <c r="F91" s="330"/>
    </row>
    <row r="92" spans="1:6">
      <c r="A92" s="1293" t="s">
        <v>68</v>
      </c>
      <c r="B92" s="1294">
        <v>2851.347059620467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5156</v>
      </c>
      <c r="C97" s="330"/>
      <c r="D97" s="330"/>
      <c r="E97" s="330"/>
      <c r="F97" s="330"/>
    </row>
    <row r="98" spans="1:6">
      <c r="A98" s="1298" t="s">
        <v>71</v>
      </c>
      <c r="B98" s="1299">
        <v>14</v>
      </c>
      <c r="C98" s="330"/>
      <c r="D98" s="330"/>
      <c r="E98" s="330"/>
      <c r="F98" s="330"/>
    </row>
    <row r="99" spans="1:6">
      <c r="A99" s="1298" t="s">
        <v>72</v>
      </c>
      <c r="B99" s="1299">
        <v>13</v>
      </c>
      <c r="C99" s="330"/>
      <c r="D99" s="330"/>
      <c r="E99" s="330"/>
      <c r="F99" s="330"/>
    </row>
    <row r="100" spans="1:6">
      <c r="A100" s="1298" t="s">
        <v>73</v>
      </c>
      <c r="B100" s="1299">
        <v>969</v>
      </c>
      <c r="C100" s="330"/>
      <c r="D100" s="330"/>
      <c r="E100" s="330"/>
      <c r="F100" s="330"/>
    </row>
    <row r="101" spans="1:6">
      <c r="A101" s="1298" t="s">
        <v>74</v>
      </c>
      <c r="B101" s="1299">
        <v>49</v>
      </c>
      <c r="C101" s="330"/>
      <c r="D101" s="330"/>
      <c r="E101" s="330"/>
      <c r="F101" s="330"/>
    </row>
    <row r="102" spans="1:6">
      <c r="A102" s="1298" t="s">
        <v>75</v>
      </c>
      <c r="B102" s="1299">
        <v>101</v>
      </c>
      <c r="C102" s="330"/>
      <c r="D102" s="330"/>
      <c r="E102" s="330"/>
      <c r="F102" s="330"/>
    </row>
    <row r="103" spans="1:6">
      <c r="A103" s="1298" t="s">
        <v>76</v>
      </c>
      <c r="B103" s="1299">
        <v>138</v>
      </c>
      <c r="C103" s="330"/>
      <c r="D103" s="330"/>
      <c r="E103" s="330"/>
      <c r="F103" s="330"/>
    </row>
    <row r="104" spans="1:6">
      <c r="A104" s="1298" t="s">
        <v>77</v>
      </c>
      <c r="B104" s="1299">
        <v>696</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7</v>
      </c>
      <c r="C123" s="1299">
        <v>16</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78</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101445.44166137019</v>
      </c>
      <c r="C3" s="43" t="s">
        <v>169</v>
      </c>
      <c r="D3" s="43"/>
      <c r="E3" s="154"/>
      <c r="F3" s="43"/>
      <c r="G3" s="43"/>
      <c r="H3" s="43"/>
      <c r="I3" s="43"/>
      <c r="J3" s="43"/>
      <c r="K3" s="96"/>
    </row>
    <row r="4" spans="1:11">
      <c r="A4" s="358" t="s">
        <v>170</v>
      </c>
      <c r="B4" s="49">
        <f>IF(ISERROR('SEAP template'!B78+'SEAP template'!C78),0,'SEAP template'!B78+'SEAP template'!C78)</f>
        <v>36905.188860668612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7527.5894117647058</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0.21480497224763553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10753.699159663864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45250.714285714283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1270.5200989999998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1270.5200989999998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0.21480497224763553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272.9140346057581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28900.96226</v>
      </c>
      <c r="C5" s="17">
        <f>IF(ISERROR('Eigen informatie GS &amp; warmtenet'!B59),0,'Eigen informatie GS &amp; warmtenet'!B59)</f>
        <v>0</v>
      </c>
      <c r="D5" s="30">
        <f>(SUM(HH_hh_gas_kWh,HH_rest_gas_kWh)/1000)*0.902</f>
        <v>86726.424906660002</v>
      </c>
      <c r="E5" s="17">
        <f>B46*B57</f>
        <v>925.56765451679553</v>
      </c>
      <c r="F5" s="17">
        <f>B51*B62</f>
        <v>0</v>
      </c>
      <c r="G5" s="18"/>
      <c r="H5" s="17"/>
      <c r="I5" s="17"/>
      <c r="J5" s="17">
        <f>B50*B61+C50*C61</f>
        <v>0</v>
      </c>
      <c r="K5" s="17"/>
      <c r="L5" s="17"/>
      <c r="M5" s="17"/>
      <c r="N5" s="17">
        <f>B48*B59+C48*C59</f>
        <v>4352.8488858273249</v>
      </c>
      <c r="O5" s="17">
        <f>B69*B70*B71</f>
        <v>190.45998906115506</v>
      </c>
      <c r="P5" s="17">
        <f>B77*B78*B79/1000-B77*B78*B79/1000/B80</f>
        <v>179.07730823064537</v>
      </c>
    </row>
    <row r="6" spans="1:16">
      <c r="A6" s="16" t="s">
        <v>611</v>
      </c>
      <c r="B6" s="783">
        <f>kWh_PV_kleiner_dan_10kW</f>
        <v>2378.3418010481464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31279.304061048148</v>
      </c>
      <c r="C8" s="21">
        <f>C5</f>
        <v>0</v>
      </c>
      <c r="D8" s="21">
        <f>D5</f>
        <v>86726.424906660002</v>
      </c>
      <c r="E8" s="21">
        <f>E5</f>
        <v>925.56765451679553</v>
      </c>
      <c r="F8" s="21">
        <f>F5</f>
        <v>0</v>
      </c>
      <c r="G8" s="21"/>
      <c r="H8" s="21"/>
      <c r="I8" s="21"/>
      <c r="J8" s="21">
        <f>J5</f>
        <v>0</v>
      </c>
      <c r="K8" s="21"/>
      <c r="L8" s="21">
        <f>L5</f>
        <v>0</v>
      </c>
      <c r="M8" s="21">
        <f>M5</f>
        <v>0</v>
      </c>
      <c r="N8" s="21">
        <f>N5</f>
        <v>4352.8488858273249</v>
      </c>
      <c r="O8" s="21">
        <f>O5</f>
        <v>190.45998906115506</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0.21480497224763553</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6718.9500407588012</v>
      </c>
      <c r="C12" s="23">
        <f ca="1">C10*C8</f>
        <v>0</v>
      </c>
      <c r="D12" s="23">
        <f>D8*D10</f>
        <v>17518.737831145321</v>
      </c>
      <c r="E12" s="23">
        <f>E10*E8</f>
        <v>210.10385757531259</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5156</v>
      </c>
      <c r="C18" s="166" t="s">
        <v>110</v>
      </c>
      <c r="D18" s="228"/>
      <c r="E18" s="15"/>
    </row>
    <row r="19" spans="1:7">
      <c r="A19" s="171" t="s">
        <v>71</v>
      </c>
      <c r="B19" s="37">
        <f>aantalw2001_ander</f>
        <v>14</v>
      </c>
      <c r="C19" s="166" t="s">
        <v>110</v>
      </c>
      <c r="D19" s="229"/>
      <c r="E19" s="15"/>
    </row>
    <row r="20" spans="1:7">
      <c r="A20" s="171" t="s">
        <v>72</v>
      </c>
      <c r="B20" s="37">
        <f>aantalw2001_propaan</f>
        <v>13</v>
      </c>
      <c r="C20" s="167">
        <f>IF(ISERROR(B20/SUM($B$20,$B$21,$B$22)*100),0,B20/SUM($B$20,$B$21,$B$22)*100)</f>
        <v>1.2609117361784674</v>
      </c>
      <c r="D20" s="229"/>
      <c r="E20" s="15"/>
    </row>
    <row r="21" spans="1:7">
      <c r="A21" s="171" t="s">
        <v>73</v>
      </c>
      <c r="B21" s="37">
        <f>aantalw2001_elektriciteit</f>
        <v>969</v>
      </c>
      <c r="C21" s="167">
        <f>IF(ISERROR(B21/SUM($B$20,$B$21,$B$22)*100),0,B21/SUM($B$20,$B$21,$B$22)*100)</f>
        <v>93.986420950533471</v>
      </c>
      <c r="D21" s="229"/>
      <c r="E21" s="15"/>
    </row>
    <row r="22" spans="1:7">
      <c r="A22" s="171" t="s">
        <v>74</v>
      </c>
      <c r="B22" s="37">
        <f>aantalw2001_hout</f>
        <v>49</v>
      </c>
      <c r="C22" s="167">
        <f>IF(ISERROR(B22/SUM($B$20,$B$21,$B$22)*100),0,B22/SUM($B$20,$B$21,$B$22)*100)</f>
        <v>4.7526673132880699</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696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8142</v>
      </c>
      <c r="C28" s="36"/>
      <c r="D28" s="228"/>
    </row>
    <row r="29" spans="1:7" s="15" customFormat="1">
      <c r="A29" s="230" t="s">
        <v>819</v>
      </c>
      <c r="B29" s="37">
        <f>SUM(HH_hh_gas_aantal,HH_rest_gas_aantal)</f>
        <v>6774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6774</v>
      </c>
      <c r="C32" s="167">
        <f>IF(ISERROR(B32/SUM($B$32,$B$34,$B$35,$B$36,$B$38,$B$39)*100),0,B32/SUM($B$32,$B$34,$B$35,$B$36,$B$38,$B$39)*100)</f>
        <v>83.372307692307686</v>
      </c>
      <c r="D32" s="233"/>
      <c r="G32" s="15"/>
    </row>
    <row r="33" spans="1:7">
      <c r="A33" s="171" t="s">
        <v>71</v>
      </c>
      <c r="B33" s="34" t="s">
        <v>110</v>
      </c>
      <c r="C33" s="167"/>
      <c r="D33" s="233"/>
      <c r="G33" s="15"/>
    </row>
    <row r="34" spans="1:7">
      <c r="A34" s="171" t="s">
        <v>72</v>
      </c>
      <c r="B34" s="33">
        <f>IF((($B$28-$B$32-$B$39-$B$77-$B$38)*C20/100)&lt;0,0,($B$28-$B$32-$B$39-$B$77-$B$38)*C20/100)</f>
        <v>17.034917555771095</v>
      </c>
      <c r="C34" s="167">
        <f>IF(ISERROR(B34/SUM($B$32,$B$34,$B$35,$B$36,$B$38,$B$39)*100),0,B34/SUM($B$32,$B$34,$B$35,$B$36,$B$38,$B$39)*100)</f>
        <v>0.20966052376333652</v>
      </c>
      <c r="D34" s="233"/>
      <c r="G34" s="15"/>
    </row>
    <row r="35" spans="1:7">
      <c r="A35" s="171" t="s">
        <v>73</v>
      </c>
      <c r="B35" s="33">
        <f>IF((($B$28-$B$32-$B$39-$B$77-$B$38)*C21/100)&lt;0,0,($B$28-$B$32-$B$39-$B$77-$B$38)*C21/100)</f>
        <v>1269.7565470417073</v>
      </c>
      <c r="C35" s="167">
        <f>IF(ISERROR(B35/SUM($B$32,$B$34,$B$35,$B$36,$B$38,$B$39)*100),0,B35/SUM($B$32,$B$34,$B$35,$B$36,$B$38,$B$39)*100)</f>
        <v>15.627772886667165</v>
      </c>
      <c r="D35" s="233"/>
      <c r="G35" s="15"/>
    </row>
    <row r="36" spans="1:7">
      <c r="A36" s="171" t="s">
        <v>74</v>
      </c>
      <c r="B36" s="33">
        <f>IF((($B$28-$B$32-$B$39-$B$77-$B$38)*C22/100)&lt;0,0,($B$28-$B$32-$B$39-$B$77-$B$38)*C22/100)</f>
        <v>64.208535402521818</v>
      </c>
      <c r="C36" s="167">
        <f>IF(ISERROR(B36/SUM($B$32,$B$34,$B$35,$B$36,$B$38,$B$39)*100),0,B36/SUM($B$32,$B$34,$B$35,$B$36,$B$38,$B$39)*100)</f>
        <v>0.79025889726180698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6774</v>
      </c>
      <c r="C44" s="34" t="s">
        <v>110</v>
      </c>
      <c r="D44" s="174"/>
    </row>
    <row r="45" spans="1:7">
      <c r="A45" s="171" t="s">
        <v>71</v>
      </c>
      <c r="B45" s="33" t="str">
        <f t="shared" si="0"/>
        <v>-</v>
      </c>
      <c r="C45" s="34" t="s">
        <v>110</v>
      </c>
      <c r="D45" s="174"/>
    </row>
    <row r="46" spans="1:7">
      <c r="A46" s="171" t="s">
        <v>72</v>
      </c>
      <c r="B46" s="33">
        <f t="shared" si="0"/>
        <v>17.034917555771095</v>
      </c>
      <c r="C46" s="34" t="s">
        <v>110</v>
      </c>
      <c r="D46" s="174"/>
    </row>
    <row r="47" spans="1:7">
      <c r="A47" s="171" t="s">
        <v>73</v>
      </c>
      <c r="B47" s="33">
        <f t="shared" si="0"/>
        <v>1269.7565470417073</v>
      </c>
      <c r="C47" s="34" t="s">
        <v>110</v>
      </c>
      <c r="D47" s="174"/>
    </row>
    <row r="48" spans="1:7">
      <c r="A48" s="171" t="s">
        <v>74</v>
      </c>
      <c r="B48" s="33">
        <f t="shared" si="0"/>
        <v>64.208535402521818</v>
      </c>
      <c r="C48" s="33">
        <f>B48*10</f>
        <v>642.08535402521818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25304.653835000001</v>
      </c>
      <c r="C5" s="17">
        <f>IF(ISERROR('Eigen informatie GS &amp; warmtenet'!B60),0,'Eigen informatie GS &amp; warmtenet'!B60)</f>
        <v>0</v>
      </c>
      <c r="D5" s="30">
        <f>SUM(D6:D12)</f>
        <v>72247.152990781993</v>
      </c>
      <c r="E5" s="17">
        <f>SUM(E6:E12)</f>
        <v>357.83715231722289</v>
      </c>
      <c r="F5" s="17">
        <f>SUM(F6:F12)</f>
        <v>2879.0083438016627</v>
      </c>
      <c r="G5" s="18"/>
      <c r="H5" s="17"/>
      <c r="I5" s="17"/>
      <c r="J5" s="17">
        <f>SUM(J6:J12)</f>
        <v>6.8589885624924629E-2</v>
      </c>
      <c r="K5" s="17"/>
      <c r="L5" s="17"/>
      <c r="M5" s="17"/>
      <c r="N5" s="17">
        <f>SUM(N6:N12)</f>
        <v>2698.3893632891009</v>
      </c>
      <c r="O5" s="17">
        <f>B38*B39*B40</f>
        <v>4.8972607658411542</v>
      </c>
      <c r="P5" s="17">
        <f>B46*B47*B48/1000-B46*B47*B48/1000/B49</f>
        <v>105.07827661299004</v>
      </c>
      <c r="R5" s="32"/>
    </row>
    <row r="6" spans="1:18">
      <c r="A6" s="32" t="s">
        <v>53</v>
      </c>
      <c r="B6" s="37">
        <f>B26</f>
        <v>4361.1963349999996</v>
      </c>
      <c r="C6" s="33"/>
      <c r="D6" s="37">
        <f>IF(ISERROR(TER_kantoor_gas_kWh/1000),0,TER_kantoor_gas_kWh/1000)*0.902</f>
        <v>10657.81408582</v>
      </c>
      <c r="E6" s="33">
        <f>$C$26*'E Balans VL '!I12/100/3.6*1000000</f>
        <v>35.093148598037807</v>
      </c>
      <c r="F6" s="33">
        <f>$C$26*('E Balans VL '!L12+'E Balans VL '!N12)/100/3.6*1000000</f>
        <v>533.20213027036982</v>
      </c>
      <c r="G6" s="34"/>
      <c r="H6" s="33"/>
      <c r="I6" s="33"/>
      <c r="J6" s="33">
        <f>$C$26*('E Balans VL '!D12+'E Balans VL '!E12)/100/3.6*1000000</f>
        <v>0</v>
      </c>
      <c r="K6" s="33"/>
      <c r="L6" s="33"/>
      <c r="M6" s="33"/>
      <c r="N6" s="33">
        <f>$C$26*'E Balans VL '!Y12/100/3.6*1000000</f>
        <v>2.3439282643880559</v>
      </c>
      <c r="O6" s="33"/>
      <c r="P6" s="33"/>
      <c r="R6" s="32"/>
    </row>
    <row r="7" spans="1:18">
      <c r="A7" s="32" t="s">
        <v>52</v>
      </c>
      <c r="B7" s="37">
        <f t="shared" ref="B7:B12" si="0">B27</f>
        <v>1329.698564</v>
      </c>
      <c r="C7" s="33"/>
      <c r="D7" s="37">
        <f>IF(ISERROR(TER_horeca_gas_kWh/1000),0,TER_horeca_gas_kWh/1000)*0.902</f>
        <v>1669.5875914520002</v>
      </c>
      <c r="E7" s="33">
        <f>$C$27*'E Balans VL '!I9/100/3.6*1000000</f>
        <v>14.277697408530628</v>
      </c>
      <c r="F7" s="33">
        <f>$C$27*('E Balans VL '!L9+'E Balans VL '!N9)/100/3.6*1000000</f>
        <v>159.93049379733071</v>
      </c>
      <c r="G7" s="34"/>
      <c r="H7" s="33"/>
      <c r="I7" s="33"/>
      <c r="J7" s="33">
        <f>$C$27*('E Balans VL '!D9+'E Balans VL '!E9)/100/3.6*1000000</f>
        <v>0</v>
      </c>
      <c r="K7" s="33"/>
      <c r="L7" s="33"/>
      <c r="M7" s="33"/>
      <c r="N7" s="33">
        <f>$C$27*'E Balans VL '!Y9/100/3.6*1000000</f>
        <v>0.19934876460465295</v>
      </c>
      <c r="O7" s="33"/>
      <c r="P7" s="33"/>
      <c r="R7" s="32"/>
    </row>
    <row r="8" spans="1:18">
      <c r="A8" s="6" t="s">
        <v>51</v>
      </c>
      <c r="B8" s="37">
        <f t="shared" si="0"/>
        <v>7667.2869630000005</v>
      </c>
      <c r="C8" s="33"/>
      <c r="D8" s="37">
        <f>IF(ISERROR(TER_handel_gas_kWh/1000),0,TER_handel_gas_kWh/1000)*0.902</f>
        <v>5243.9988712539998</v>
      </c>
      <c r="E8" s="33">
        <f>$C$28*'E Balans VL '!I13/100/3.6*1000000</f>
        <v>205.76650891559117</v>
      </c>
      <c r="F8" s="33">
        <f>$C$28*('E Balans VL '!L13+'E Balans VL '!N13)/100/3.6*1000000</f>
        <v>731.69548814764323</v>
      </c>
      <c r="G8" s="34"/>
      <c r="H8" s="33"/>
      <c r="I8" s="33"/>
      <c r="J8" s="33">
        <f>$C$28*('E Balans VL '!D13+'E Balans VL '!E13)/100/3.6*1000000</f>
        <v>0</v>
      </c>
      <c r="K8" s="33"/>
      <c r="L8" s="33"/>
      <c r="M8" s="33"/>
      <c r="N8" s="33">
        <f>$C$28*'E Balans VL '!Y13/100/3.6*1000000</f>
        <v>3.0393997321415607</v>
      </c>
      <c r="O8" s="33"/>
      <c r="P8" s="33"/>
      <c r="R8" s="32"/>
    </row>
    <row r="9" spans="1:18">
      <c r="A9" s="32" t="s">
        <v>50</v>
      </c>
      <c r="B9" s="37">
        <f t="shared" si="0"/>
        <v>1568.061367</v>
      </c>
      <c r="C9" s="33"/>
      <c r="D9" s="37">
        <f>IF(ISERROR(TER_gezond_gas_kWh/1000),0,TER_gezond_gas_kWh/1000)*0.902</f>
        <v>3116.9453613539999</v>
      </c>
      <c r="E9" s="33">
        <f>$C$29*'E Balans VL '!I10/100/3.6*1000000</f>
        <v>2.9390575847105453</v>
      </c>
      <c r="F9" s="33">
        <f>$C$29*('E Balans VL '!L10+'E Balans VL '!N10)/100/3.6*1000000</f>
        <v>128.90895182493682</v>
      </c>
      <c r="G9" s="34"/>
      <c r="H9" s="33"/>
      <c r="I9" s="33"/>
      <c r="J9" s="33">
        <f>$C$29*('E Balans VL '!D10+'E Balans VL '!E10)/100/3.6*1000000</f>
        <v>0</v>
      </c>
      <c r="K9" s="33"/>
      <c r="L9" s="33"/>
      <c r="M9" s="33"/>
      <c r="N9" s="33">
        <f>$C$29*'E Balans VL '!Y10/100/3.6*1000000</f>
        <v>12.200687377145169</v>
      </c>
      <c r="O9" s="33"/>
      <c r="P9" s="33"/>
      <c r="R9" s="32"/>
    </row>
    <row r="10" spans="1:18">
      <c r="A10" s="32" t="s">
        <v>49</v>
      </c>
      <c r="B10" s="37">
        <f t="shared" si="0"/>
        <v>3262.9371719999999</v>
      </c>
      <c r="C10" s="33"/>
      <c r="D10" s="37">
        <f>IF(ISERROR(TER_ander_gas_kWh/1000),0,TER_ander_gas_kWh/1000)*0.902</f>
        <v>3197.8028602740001</v>
      </c>
      <c r="E10" s="33">
        <f>$C$30*'E Balans VL '!I14/100/3.6*1000000</f>
        <v>5.0298507134695001</v>
      </c>
      <c r="F10" s="33">
        <f>$C$30*('E Balans VL '!L14+'E Balans VL '!N14)/100/3.6*1000000</f>
        <v>506.5718967363303</v>
      </c>
      <c r="G10" s="34"/>
      <c r="H10" s="33"/>
      <c r="I10" s="33"/>
      <c r="J10" s="33">
        <f>$C$30*('E Balans VL '!D14+'E Balans VL '!E14)/100/3.6*1000000</f>
        <v>5.5391799669161884E-2</v>
      </c>
      <c r="K10" s="33"/>
      <c r="L10" s="33"/>
      <c r="M10" s="33"/>
      <c r="N10" s="33">
        <f>$C$30*'E Balans VL '!Y14/100/3.6*1000000</f>
        <v>2158.6546566438265</v>
      </c>
      <c r="O10" s="33"/>
      <c r="P10" s="33"/>
      <c r="R10" s="32"/>
    </row>
    <row r="11" spans="1:18">
      <c r="A11" s="32" t="s">
        <v>54</v>
      </c>
      <c r="B11" s="37">
        <f t="shared" si="0"/>
        <v>228.72659200000001</v>
      </c>
      <c r="C11" s="33"/>
      <c r="D11" s="37">
        <f>IF(ISERROR(TER_onderwijs_gas_kWh/1000),0,TER_onderwijs_gas_kWh/1000)*0.902</f>
        <v>591.71326640799998</v>
      </c>
      <c r="E11" s="33">
        <f>$C$31*'E Balans VL '!I11/100/3.6*1000000</f>
        <v>5.8340903115311677</v>
      </c>
      <c r="F11" s="33">
        <f>$C$31*('E Balans VL '!L11+'E Balans VL '!N11)/100/3.6*1000000</f>
        <v>27.506525544667554</v>
      </c>
      <c r="G11" s="34"/>
      <c r="H11" s="33"/>
      <c r="I11" s="33"/>
      <c r="J11" s="33">
        <f>$C$31*('E Balans VL '!D11+'E Balans VL '!E11)/100/3.6*1000000</f>
        <v>0</v>
      </c>
      <c r="K11" s="33"/>
      <c r="L11" s="33"/>
      <c r="M11" s="33"/>
      <c r="N11" s="33">
        <f>$C$31*'E Balans VL '!Y11/100/3.6*1000000</f>
        <v>0.50868235963106567</v>
      </c>
      <c r="O11" s="33"/>
      <c r="P11" s="33"/>
      <c r="R11" s="32"/>
    </row>
    <row r="12" spans="1:18">
      <c r="A12" s="32" t="s">
        <v>259</v>
      </c>
      <c r="B12" s="37">
        <f t="shared" si="0"/>
        <v>6886.7468420000005</v>
      </c>
      <c r="C12" s="33"/>
      <c r="D12" s="37">
        <f>IF(ISERROR(TER_rest_gas_kWh/1000),0,TER_rest_gas_kWh/1000)*0.902</f>
        <v>47769.29095422</v>
      </c>
      <c r="E12" s="33">
        <f>$C$32*'E Balans VL '!I8/100/3.6*1000000</f>
        <v>88.89679878535209</v>
      </c>
      <c r="F12" s="33">
        <f>$C$32*('E Balans VL '!L8+'E Balans VL '!N8)/100/3.6*1000000</f>
        <v>791.19285748038396</v>
      </c>
      <c r="G12" s="34"/>
      <c r="H12" s="33"/>
      <c r="I12" s="33"/>
      <c r="J12" s="33">
        <f>$C$32*('E Balans VL '!D8+'E Balans VL '!E8)/100/3.6*1000000</f>
        <v>1.3198085955762747E-2</v>
      </c>
      <c r="K12" s="33"/>
      <c r="L12" s="33"/>
      <c r="M12" s="33"/>
      <c r="N12" s="33">
        <f>$C$32*'E Balans VL '!Y8/100/3.6*1000000</f>
        <v>521.44266014736388</v>
      </c>
      <c r="O12" s="33"/>
      <c r="P12" s="33"/>
      <c r="R12" s="32"/>
    </row>
    <row r="13" spans="1:18">
      <c r="A13" s="16" t="s">
        <v>478</v>
      </c>
      <c r="B13" s="247">
        <f ca="1">'lokale energieproductie'!N41+'lokale energieproductie'!N34</f>
        <v>22.5</v>
      </c>
      <c r="C13" s="247">
        <f ca="1">'lokale energieproductie'!O41+'lokale energieproductie'!O34</f>
        <v>32.142857142857146</v>
      </c>
      <c r="D13" s="308">
        <f ca="1">('lokale energieproductie'!P34+'lokale energieproductie'!P41)*(-1)</f>
        <v>-64.285714285714292</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25327.153835000001</v>
      </c>
      <c r="C16" s="21">
        <f t="shared" ca="1" si="1"/>
        <v>32.142857142857146</v>
      </c>
      <c r="D16" s="21">
        <f t="shared" ca="1" si="1"/>
        <v>72182.867276496283</v>
      </c>
      <c r="E16" s="21">
        <f t="shared" si="1"/>
        <v>357.83715231722289</v>
      </c>
      <c r="F16" s="21">
        <f t="shared" ca="1" si="1"/>
        <v>2879.0083438016627</v>
      </c>
      <c r="G16" s="21">
        <f t="shared" si="1"/>
        <v>0</v>
      </c>
      <c r="H16" s="21">
        <f t="shared" si="1"/>
        <v>0</v>
      </c>
      <c r="I16" s="21">
        <f t="shared" si="1"/>
        <v>0</v>
      </c>
      <c r="J16" s="21">
        <f t="shared" si="1"/>
        <v>6.8589885624924629E-2</v>
      </c>
      <c r="K16" s="21">
        <f t="shared" si="1"/>
        <v>0</v>
      </c>
      <c r="L16" s="21">
        <f t="shared" ca="1" si="1"/>
        <v>0</v>
      </c>
      <c r="M16" s="21">
        <f t="shared" si="1"/>
        <v>0</v>
      </c>
      <c r="N16" s="21">
        <f t="shared" ca="1" si="1"/>
        <v>2698.3893632891009</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0.21480497224763553</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5440.3985766387714</v>
      </c>
      <c r="C20" s="23">
        <f t="shared" ref="C20:P20" ca="1" si="2">C16*C18</f>
        <v>7.6386554621848735</v>
      </c>
      <c r="D20" s="23">
        <f t="shared" ca="1" si="2"/>
        <v>14580.93918985225</v>
      </c>
      <c r="E20" s="23">
        <f t="shared" si="2"/>
        <v>81.229033576009599</v>
      </c>
      <c r="F20" s="23">
        <f t="shared" ca="1" si="2"/>
        <v>768.69522779504393</v>
      </c>
      <c r="G20" s="23">
        <f t="shared" si="2"/>
        <v>0</v>
      </c>
      <c r="H20" s="23">
        <f t="shared" si="2"/>
        <v>0</v>
      </c>
      <c r="I20" s="23">
        <f t="shared" si="2"/>
        <v>0</v>
      </c>
      <c r="J20" s="23">
        <f t="shared" si="2"/>
        <v>2.4280819511223316E-2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4361.1963349999996</v>
      </c>
      <c r="C26" s="39">
        <f>IF(ISERROR(B26*3.6/1000000/'E Balans VL '!Z12*100),0,B26*3.6/1000000/'E Balans VL '!Z12*100)</f>
        <v>9.2518790210568996E-2</v>
      </c>
      <c r="D26" s="237" t="s">
        <v>708</v>
      </c>
      <c r="F26" s="6"/>
    </row>
    <row r="27" spans="1:18">
      <c r="A27" s="231" t="s">
        <v>52</v>
      </c>
      <c r="B27" s="33">
        <f>IF(ISERROR(TER_horeca_ele_kWh/1000),0,TER_horeca_ele_kWh/1000)</f>
        <v>1329.698564</v>
      </c>
      <c r="C27" s="39">
        <f>IF(ISERROR(B27*3.6/1000000/'E Balans VL '!Z9*100),0,B27*3.6/1000000/'E Balans VL '!Z9*100)</f>
        <v>0.10013808101264882</v>
      </c>
      <c r="D27" s="237" t="s">
        <v>708</v>
      </c>
      <c r="F27" s="6"/>
    </row>
    <row r="28" spans="1:18">
      <c r="A28" s="171" t="s">
        <v>51</v>
      </c>
      <c r="B28" s="33">
        <f>IF(ISERROR(TER_handel_ele_kWh/1000),0,TER_handel_ele_kWh/1000)</f>
        <v>7667.2869630000005</v>
      </c>
      <c r="C28" s="39">
        <f>IF(ISERROR(B28*3.6/1000000/'E Balans VL '!Z13*100),0,B28*3.6/1000000/'E Balans VL '!Z13*100)</f>
        <v>0.22255417321853702</v>
      </c>
      <c r="D28" s="237" t="s">
        <v>708</v>
      </c>
      <c r="F28" s="6"/>
    </row>
    <row r="29" spans="1:18">
      <c r="A29" s="231" t="s">
        <v>50</v>
      </c>
      <c r="B29" s="33">
        <f>IF(ISERROR(TER_gezond_ele_kWh/1000),0,TER_gezond_ele_kWh/1000)</f>
        <v>1568.061367</v>
      </c>
      <c r="C29" s="39">
        <f>IF(ISERROR(B29*3.6/1000000/'E Balans VL '!Z10*100),0,B29*3.6/1000000/'E Balans VL '!Z10*100)</f>
        <v>0.15814085885129314</v>
      </c>
      <c r="D29" s="237" t="s">
        <v>708</v>
      </c>
      <c r="F29" s="6"/>
    </row>
    <row r="30" spans="1:18">
      <c r="A30" s="231" t="s">
        <v>49</v>
      </c>
      <c r="B30" s="33">
        <f>IF(ISERROR(TER_ander_ele_kWh/1000),0,TER_ander_ele_kWh/1000)</f>
        <v>3262.9371719999999</v>
      </c>
      <c r="C30" s="39">
        <f>IF(ISERROR(B30*3.6/1000000/'E Balans VL '!Z14*100),0,B30*3.6/1000000/'E Balans VL '!Z14*100)</f>
        <v>0.2367706064536089</v>
      </c>
      <c r="D30" s="237" t="s">
        <v>708</v>
      </c>
      <c r="F30" s="6"/>
    </row>
    <row r="31" spans="1:18">
      <c r="A31" s="231" t="s">
        <v>54</v>
      </c>
      <c r="B31" s="33">
        <f>IF(ISERROR(TER_onderwijs_ele_kWh/1000),0,TER_onderwijs_ele_kWh/1000)</f>
        <v>228.72659200000001</v>
      </c>
      <c r="C31" s="39">
        <f>IF(ISERROR(B31*3.6/1000000/'E Balans VL '!Z11*100),0,B31*3.6/1000000/'E Balans VL '!Z11*100)</f>
        <v>6.5196392900528255E-2</v>
      </c>
      <c r="D31" s="237" t="s">
        <v>708</v>
      </c>
    </row>
    <row r="32" spans="1:18">
      <c r="A32" s="231" t="s">
        <v>259</v>
      </c>
      <c r="B32" s="33">
        <f>IF(ISERROR(TER_rest_ele_kWh/1000),0,TER_rest_ele_kWh/1000)</f>
        <v>6886.7468420000005</v>
      </c>
      <c r="C32" s="39">
        <f>IF(ISERROR(B32*3.6/1000000/'E Balans VL '!Z8*100),0,B32*3.6/1000000/'E Balans VL '!Z8*100)</f>
        <v>5.641482736500672E-2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40197.332533000001</v>
      </c>
      <c r="C5" s="17">
        <f>IF(ISERROR('Eigen informatie GS &amp; warmtenet'!B61),0,'Eigen informatie GS &amp; warmtenet'!B61)</f>
        <v>0</v>
      </c>
      <c r="D5" s="30">
        <f>SUM(D6:D15)</f>
        <v>11296.187370247999</v>
      </c>
      <c r="E5" s="17">
        <f>SUM(E6:E15)</f>
        <v>2236.5753749543301</v>
      </c>
      <c r="F5" s="17">
        <f>SUM(F6:F15)</f>
        <v>8160.8547510401022</v>
      </c>
      <c r="G5" s="18"/>
      <c r="H5" s="17"/>
      <c r="I5" s="17"/>
      <c r="J5" s="17">
        <f>SUM(J6:J15)</f>
        <v>300.30516588417834</v>
      </c>
      <c r="K5" s="17"/>
      <c r="L5" s="17"/>
      <c r="M5" s="17"/>
      <c r="N5" s="17">
        <f>SUM(N6:N15)</f>
        <v>1602.1903925911315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1841.912959</v>
      </c>
      <c r="C8" s="33"/>
      <c r="D8" s="37">
        <f>IF( ISERROR(IND_metaal_Gas_kWH/1000),0,IND_metaal_Gas_kWH/1000)*0.902</f>
        <v>0</v>
      </c>
      <c r="E8" s="33">
        <f>C30*'E Balans VL '!I18/100/3.6*1000000</f>
        <v>13.288109223848155</v>
      </c>
      <c r="F8" s="33">
        <f>C30*'E Balans VL '!L18/100/3.6*1000000+C30*'E Balans VL '!N18/100/3.6*1000000</f>
        <v>174.21100342551608</v>
      </c>
      <c r="G8" s="34"/>
      <c r="H8" s="33"/>
      <c r="I8" s="33"/>
      <c r="J8" s="40">
        <f>C30*'E Balans VL '!D18/100/3.6*1000000+C30*'E Balans VL '!E18/100/3.6*1000000</f>
        <v>1.8526067578833187</v>
      </c>
      <c r="K8" s="33"/>
      <c r="L8" s="33"/>
      <c r="M8" s="33"/>
      <c r="N8" s="33">
        <f>C30*'E Balans VL '!Y18/100/3.6*1000000</f>
        <v>23.286653022333738</v>
      </c>
      <c r="O8" s="33"/>
      <c r="P8" s="33"/>
      <c r="R8" s="32"/>
    </row>
    <row r="9" spans="1:18">
      <c r="A9" s="6" t="s">
        <v>32</v>
      </c>
      <c r="B9" s="37">
        <f t="shared" si="0"/>
        <v>1856.43733</v>
      </c>
      <c r="C9" s="33"/>
      <c r="D9" s="37">
        <f>IF( ISERROR(IND_andere_gas_kWh/1000),0,IND_andere_gas_kWh/1000)*0.902</f>
        <v>2512.0200156700002</v>
      </c>
      <c r="E9" s="33">
        <f>C31*'E Balans VL '!I19/100/3.6*1000000</f>
        <v>514.44360782006777</v>
      </c>
      <c r="F9" s="33">
        <f>C31*'E Balans VL '!L19/100/3.6*1000000+C31*'E Balans VL '!N19/100/3.6*1000000</f>
        <v>1538.6192708959888</v>
      </c>
      <c r="G9" s="34"/>
      <c r="H9" s="33"/>
      <c r="I9" s="33"/>
      <c r="J9" s="40">
        <f>C31*'E Balans VL '!D19/100/3.6*1000000+C31*'E Balans VL '!E19/100/3.6*1000000</f>
        <v>0</v>
      </c>
      <c r="K9" s="33"/>
      <c r="L9" s="33"/>
      <c r="M9" s="33"/>
      <c r="N9" s="33">
        <f>C31*'E Balans VL '!Y19/100/3.6*1000000</f>
        <v>134.75464347126763</v>
      </c>
      <c r="O9" s="33"/>
      <c r="P9" s="33"/>
      <c r="R9" s="32"/>
    </row>
    <row r="10" spans="1:18">
      <c r="A10" s="6" t="s">
        <v>40</v>
      </c>
      <c r="B10" s="37">
        <f t="shared" si="0"/>
        <v>312.52237700000001</v>
      </c>
      <c r="C10" s="33"/>
      <c r="D10" s="37">
        <f>IF( ISERROR(IND_voed_gas_kWh/1000),0,IND_voed_gas_kWh/1000)*0.902</f>
        <v>446.91895692399999</v>
      </c>
      <c r="E10" s="33">
        <f>C32*'E Balans VL '!I20/100/3.6*1000000</f>
        <v>0.55327046540595692</v>
      </c>
      <c r="F10" s="33">
        <f>C32*'E Balans VL '!L20/100/3.6*1000000+C32*'E Balans VL '!N20/100/3.6*1000000</f>
        <v>16.878978218981292</v>
      </c>
      <c r="G10" s="34"/>
      <c r="H10" s="33"/>
      <c r="I10" s="33"/>
      <c r="J10" s="40">
        <f>C32*'E Balans VL '!D20/100/3.6*1000000+C32*'E Balans VL '!E20/100/3.6*1000000</f>
        <v>0</v>
      </c>
      <c r="K10" s="33"/>
      <c r="L10" s="33"/>
      <c r="M10" s="33"/>
      <c r="N10" s="33">
        <f>C32*'E Balans VL '!Y20/100/3.6*1000000</f>
        <v>18.159936866834339</v>
      </c>
      <c r="O10" s="33"/>
      <c r="P10" s="33"/>
      <c r="R10" s="32"/>
    </row>
    <row r="11" spans="1:18">
      <c r="A11" s="6" t="s">
        <v>39</v>
      </c>
      <c r="B11" s="37">
        <f t="shared" si="0"/>
        <v>42.179642999999999</v>
      </c>
      <c r="C11" s="33"/>
      <c r="D11" s="37">
        <f>IF( ISERROR(IND_textiel_gas_kWh/1000),0,IND_textiel_gas_kWh/1000)*0.902</f>
        <v>65.314423438000006</v>
      </c>
      <c r="E11" s="33">
        <f>C33*'E Balans VL '!I21/100/3.6*1000000</f>
        <v>0.14868761960978388</v>
      </c>
      <c r="F11" s="33">
        <f>C33*'E Balans VL '!L21/100/3.6*1000000+C33*'E Balans VL '!N21/100/3.6*1000000</f>
        <v>1.2380355958575091</v>
      </c>
      <c r="G11" s="34"/>
      <c r="H11" s="33"/>
      <c r="I11" s="33"/>
      <c r="J11" s="40">
        <f>C33*'E Balans VL '!D21/100/3.6*1000000+C33*'E Balans VL '!E21/100/3.6*1000000</f>
        <v>0</v>
      </c>
      <c r="K11" s="33"/>
      <c r="L11" s="33"/>
      <c r="M11" s="33"/>
      <c r="N11" s="33">
        <f>C33*'E Balans VL '!Y21/100/3.6*1000000</f>
        <v>1.858429032721159</v>
      </c>
      <c r="O11" s="33"/>
      <c r="P11" s="33"/>
      <c r="R11" s="32"/>
    </row>
    <row r="12" spans="1:18">
      <c r="A12" s="6" t="s">
        <v>36</v>
      </c>
      <c r="B12" s="37">
        <f t="shared" si="0"/>
        <v>17.977423999999999</v>
      </c>
      <c r="C12" s="33"/>
      <c r="D12" s="37">
        <f>IF( ISERROR(IND_min_gas_kWh/1000),0,IND_min_gas_kWh/1000)*0.902</f>
        <v>0</v>
      </c>
      <c r="E12" s="33">
        <f>C34*'E Balans VL '!I22/100/3.6*1000000</f>
        <v>0.79166162687762143</v>
      </c>
      <c r="F12" s="33">
        <f>C34*'E Balans VL '!L22/100/3.6*1000000+C34*'E Balans VL '!N22/100/3.6*1000000</f>
        <v>7.0298988123280735</v>
      </c>
      <c r="G12" s="34"/>
      <c r="H12" s="33"/>
      <c r="I12" s="33"/>
      <c r="J12" s="40">
        <f>C34*'E Balans VL '!D22/100/3.6*1000000+C34*'E Balans VL '!E22/100/3.6*1000000</f>
        <v>5.458584771437831E-3</v>
      </c>
      <c r="K12" s="33"/>
      <c r="L12" s="33"/>
      <c r="M12" s="33"/>
      <c r="N12" s="33">
        <f>C34*'E Balans VL '!Y22/100/3.6*1000000</f>
        <v>4.4470698903276409</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36126.302799999998</v>
      </c>
      <c r="C15" s="33"/>
      <c r="D15" s="37">
        <f>IF( ISERROR(IND_rest_gas_kWh/1000),0,IND_rest_gas_kWh/1000)*0.902</f>
        <v>8271.9339742159991</v>
      </c>
      <c r="E15" s="33">
        <f>C37*'E Balans VL '!I15/100/3.6*1000000</f>
        <v>1707.3500381985207</v>
      </c>
      <c r="F15" s="33">
        <f>C37*'E Balans VL '!L15/100/3.6*1000000+C37*'E Balans VL '!N15/100/3.6*1000000</f>
        <v>6422.87756409143</v>
      </c>
      <c r="G15" s="34"/>
      <c r="H15" s="33"/>
      <c r="I15" s="33"/>
      <c r="J15" s="40">
        <f>C37*'E Balans VL '!D15/100/3.6*1000000+C37*'E Balans VL '!E15/100/3.6*1000000</f>
        <v>298.44710054152358</v>
      </c>
      <c r="K15" s="33"/>
      <c r="L15" s="33"/>
      <c r="M15" s="33"/>
      <c r="N15" s="33">
        <f>C37*'E Balans VL '!Y15/100/3.6*1000000</f>
        <v>1419.683660307647</v>
      </c>
      <c r="O15" s="33"/>
      <c r="P15" s="33"/>
      <c r="R15" s="32"/>
    </row>
    <row r="16" spans="1:18">
      <c r="A16" s="16" t="s">
        <v>478</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40197.332533000001</v>
      </c>
      <c r="C18" s="21">
        <f>C5+C16</f>
        <v>0</v>
      </c>
      <c r="D18" s="21">
        <f>MAX((D5+D16),0)</f>
        <v>11296.187370247999</v>
      </c>
      <c r="E18" s="21">
        <f>MAX((E5+E16),0)</f>
        <v>2236.5753749543301</v>
      </c>
      <c r="F18" s="21">
        <f>MAX((F5+F16),0)</f>
        <v>8160.8547510401022</v>
      </c>
      <c r="G18" s="21"/>
      <c r="H18" s="21"/>
      <c r="I18" s="21"/>
      <c r="J18" s="21">
        <f>MAX((J5+J16),0)</f>
        <v>300.30516588417834</v>
      </c>
      <c r="K18" s="21"/>
      <c r="L18" s="21">
        <f>MAX((L5+L16),0)</f>
        <v>0</v>
      </c>
      <c r="M18" s="21"/>
      <c r="N18" s="21">
        <f>MAX((N5+N16),0)</f>
        <v>1602.1903925911315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0.21480497224763553</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8634.5868991800417</v>
      </c>
      <c r="C22" s="23">
        <f ca="1">C18*C20</f>
        <v>0</v>
      </c>
      <c r="D22" s="23">
        <f>D18*D20</f>
        <v>2281.8298487900961</v>
      </c>
      <c r="E22" s="23">
        <f>E18*E20</f>
        <v>507.70261011463293</v>
      </c>
      <c r="F22" s="23">
        <f>F18*F20</f>
        <v>2178.9482185277075</v>
      </c>
      <c r="G22" s="23"/>
      <c r="H22" s="23"/>
      <c r="I22" s="23"/>
      <c r="J22" s="23">
        <f>J18*J20</f>
        <v>106.30802872299913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1841.912959</v>
      </c>
      <c r="C30" s="39">
        <f>IF(ISERROR(B30*3.6/1000000/'E Balans VL '!Z18*100),0,B30*3.6/1000000/'E Balans VL '!Z18*100)</f>
        <v>0.10633076109848012</v>
      </c>
      <c r="D30" s="237" t="s">
        <v>708</v>
      </c>
    </row>
    <row r="31" spans="1:18">
      <c r="A31" s="6" t="s">
        <v>32</v>
      </c>
      <c r="B31" s="37">
        <f>IF( ISERROR(IND_ander_ele_kWh/1000),0,IND_ander_ele_kWh/1000)</f>
        <v>1856.43733</v>
      </c>
      <c r="C31" s="39">
        <f>IF(ISERROR(B31*3.6/1000000/'E Balans VL '!Z19*100),0,B31*3.6/1000000/'E Balans VL '!Z19*100)</f>
        <v>9.3372780290394738E-2</v>
      </c>
      <c r="D31" s="237" t="s">
        <v>708</v>
      </c>
    </row>
    <row r="32" spans="1:18">
      <c r="A32" s="171" t="s">
        <v>40</v>
      </c>
      <c r="B32" s="37">
        <f>IF( ISERROR(IND_voed_ele_kWh/1000),0,IND_voed_ele_kWh/1000)</f>
        <v>312.52237700000001</v>
      </c>
      <c r="C32" s="39">
        <f>IF(ISERROR(B32*3.6/1000000/'E Balans VL '!Z20*100),0,B32*3.6/1000000/'E Balans VL '!Z20*100)</f>
        <v>1.0408850989506856E-2</v>
      </c>
      <c r="D32" s="237" t="s">
        <v>708</v>
      </c>
    </row>
    <row r="33" spans="1:5">
      <c r="A33" s="171" t="s">
        <v>39</v>
      </c>
      <c r="B33" s="37">
        <f>IF( ISERROR(IND_textiel_ele_kWh/1000),0,IND_textiel_ele_kWh/1000)</f>
        <v>42.179642999999999</v>
      </c>
      <c r="C33" s="39">
        <f>IF(ISERROR(B33*3.6/1000000/'E Balans VL '!Z21*100),0,B33*3.6/1000000/'E Balans VL '!Z21*100)</f>
        <v>6.5763431822180298E-3</v>
      </c>
      <c r="D33" s="237" t="s">
        <v>708</v>
      </c>
    </row>
    <row r="34" spans="1:5">
      <c r="A34" s="171" t="s">
        <v>36</v>
      </c>
      <c r="B34" s="37">
        <f>IF( ISERROR(IND_min_ele_kWh/1000),0,IND_min_ele_kWh/1000)</f>
        <v>17.977423999999999</v>
      </c>
      <c r="C34" s="39">
        <f>IF(ISERROR(B34*3.6/1000000/'E Balans VL '!Z22*100),0,B34*3.6/1000000/'E Balans VL '!Z22*100)</f>
        <v>3.353396787913849E-3</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36126.302799999998</v>
      </c>
      <c r="C37" s="39">
        <f>IF(ISERROR(B37*3.6/1000000/'E Balans VL '!Z15*100),0,B37*3.6/1000000/'E Balans VL '!Z15*100)</f>
        <v>0.28188395395452859</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1279.1660160000001</v>
      </c>
      <c r="C5" s="17">
        <f>'Eigen informatie GS &amp; warmtenet'!B62</f>
        <v>0</v>
      </c>
      <c r="D5" s="30">
        <f>IF(ISERROR(SUM(LB_lb_gas_kWh,LB_rest_gas_kWh)/1000),0,SUM(LB_lb_gas_kWh,LB_rest_gas_kWh)/1000)*0.902</f>
        <v>14023.313427046001</v>
      </c>
      <c r="E5" s="17">
        <f>B17*'E Balans VL '!I25/3.6*1000000/100</f>
        <v>39.92234954244659</v>
      </c>
      <c r="F5" s="17">
        <f>B17*('E Balans VL '!L25/3.6*1000000+'E Balans VL '!N25/3.6*1000000)/100</f>
        <v>4520.7144027326949</v>
      </c>
      <c r="G5" s="18"/>
      <c r="H5" s="17"/>
      <c r="I5" s="17"/>
      <c r="J5" s="17">
        <f>('E Balans VL '!D25+'E Balans VL '!E25)/3.6*1000000*landbouw!B17/100</f>
        <v>352.41910834657659</v>
      </c>
      <c r="K5" s="17"/>
      <c r="L5" s="17">
        <f>L6*(-1)</f>
        <v>0</v>
      </c>
      <c r="M5" s="17"/>
      <c r="N5" s="17">
        <f>N6*(-1)</f>
        <v>0</v>
      </c>
      <c r="O5" s="17"/>
      <c r="P5" s="17"/>
      <c r="R5" s="32"/>
    </row>
    <row r="6" spans="1:18">
      <c r="A6" s="16" t="s">
        <v>478</v>
      </c>
      <c r="B6" s="17" t="s">
        <v>210</v>
      </c>
      <c r="C6" s="17">
        <f>'lokale energieproductie'!O42+'lokale energieproductie'!O35</f>
        <v>45218.571428571428</v>
      </c>
      <c r="D6" s="308">
        <f>('lokale energieproductie'!P35+'lokale energieproductie'!P42)*(-1)</f>
        <v>-90437.142857142855</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1279.1660160000001</v>
      </c>
      <c r="C8" s="21">
        <f>C5+C6</f>
        <v>45218.571428571428</v>
      </c>
      <c r="D8" s="21">
        <f>MAX((D5+D6),0)</f>
        <v>0</v>
      </c>
      <c r="E8" s="21">
        <f>MAX((E5+E6),0)</f>
        <v>39.92234954244659</v>
      </c>
      <c r="F8" s="21">
        <f>MAX((F5+F6),0)</f>
        <v>4520.7144027326949</v>
      </c>
      <c r="G8" s="21"/>
      <c r="H8" s="21"/>
      <c r="I8" s="21"/>
      <c r="J8" s="21">
        <f>MAX((J5+J6),0)</f>
        <v>352.41910834657659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0.21480497224763553</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274.77122056699852</v>
      </c>
      <c r="C12" s="23">
        <f ca="1">C8*C10</f>
        <v>10746.06050420168</v>
      </c>
      <c r="D12" s="23">
        <f>D8*D10</f>
        <v>0</v>
      </c>
      <c r="E12" s="23">
        <f>E8*E10</f>
        <v>9.0623733461353755</v>
      </c>
      <c r="F12" s="23">
        <f>F8*F10</f>
        <v>1207.0307455296297</v>
      </c>
      <c r="G12" s="23"/>
      <c r="H12" s="23"/>
      <c r="I12" s="23"/>
      <c r="J12" s="23">
        <f>J8*J10</f>
        <v>124.7563643546881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0.19015719820899848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10.038635813576873</v>
      </c>
      <c r="C26" s="247">
        <f>B26*'GWP N2O_CH4'!B5</f>
        <v>210.81135208511432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3.1357340822034914</v>
      </c>
      <c r="C27" s="247">
        <f>B27*'GWP N2O_CH4'!B5</f>
        <v>65.850415726273326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0.11970030499937356</v>
      </c>
      <c r="C28" s="247">
        <f>B28*'GWP N2O_CH4'!B4</f>
        <v>37.107094549805808</v>
      </c>
      <c r="D28" s="50"/>
    </row>
    <row r="29" spans="1:4">
      <c r="A29" s="41" t="s">
        <v>276</v>
      </c>
      <c r="B29" s="247">
        <f>B34*'ha_N2O bodem landbouw'!B4</f>
        <v>2.4601747291130245</v>
      </c>
      <c r="C29" s="247">
        <f>B29*'GWP N2O_CH4'!B4</f>
        <v>762.65416602503763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5.3947202364444116E-4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3.3828173035935541E-4</v>
      </c>
      <c r="C5" s="437" t="s">
        <v>210</v>
      </c>
      <c r="D5" s="422">
        <f>SUM(D6:D11)</f>
        <v>1.1469135420828177E-3</v>
      </c>
      <c r="E5" s="422">
        <f>SUM(E6:E11)</f>
        <v>1.1384380637300406E-3</v>
      </c>
      <c r="F5" s="435" t="s">
        <v>210</v>
      </c>
      <c r="G5" s="422">
        <f>SUM(G6:G11)</f>
        <v>0.69355220152549146</v>
      </c>
      <c r="H5" s="422">
        <f>SUM(H6:H11)</f>
        <v>0.11039437470030548</v>
      </c>
      <c r="I5" s="437" t="s">
        <v>210</v>
      </c>
      <c r="J5" s="437" t="s">
        <v>210</v>
      </c>
      <c r="K5" s="437" t="s">
        <v>210</v>
      </c>
      <c r="L5" s="437" t="s">
        <v>210</v>
      </c>
      <c r="M5" s="422">
        <f>SUM(M6:M11)</f>
        <v>4.7286765867535066E-2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7.3072975273683909E-5</v>
      </c>
      <c r="C6" s="423"/>
      <c r="D6" s="890">
        <f>vkm_GW_PW*SUMIFS(TableVerdeelsleutelVkm[CNG],TableVerdeelsleutelVkm[Voertuigtype],"Lichte voertuigen")*SUMIFS(TableECFTransport[EnergieConsumptieFactor (PJ per km)],TableECFTransport[Index],CONCATENATE($A6,"_CNG_CNG"))</f>
        <v>2.3539745825252795E-4</v>
      </c>
      <c r="E6" s="890">
        <f>vkm_GW_PW*SUMIFS(TableVerdeelsleutelVkm[LPG],TableVerdeelsleutelVkm[Voertuigtype],"Lichte voertuigen")*SUMIFS(TableECFTransport[EnergieConsumptieFactor (PJ per km)],TableECFTransport[Index],CONCATENATE($A6,"_LPG_LPG"))</f>
        <v>2.013063997370234E-4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6.5031919571406666E-2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2.2051925085114707E-2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5.2086313042357963E-3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3.5976273730861097E-2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5.1442841172166872E-7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2.0737589880501926E-3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2.4743985990213199E-5</v>
      </c>
      <c r="C8" s="423"/>
      <c r="D8" s="425">
        <f>vkm_NGW_PW*SUMIFS(TableVerdeelsleutelVkm[CNG],TableVerdeelsleutelVkm[Voertuigtype],"Lichte voertuigen")*SUMIFS(TableECFTransport[EnergieConsumptieFactor (PJ per km)],TableECFTransport[Index],CONCATENATE($A8,"_CNG_CNG"))</f>
        <v>1.3505183062714805E-4</v>
      </c>
      <c r="E8" s="425">
        <f>vkm_NGW_PW*SUMIFS(TableVerdeelsleutelVkm[LPG],TableVerdeelsleutelVkm[Voertuigtype],"Lichte voertuigen")*SUMIFS(TableECFTransport[EnergieConsumptieFactor (PJ per km)],TableECFTransport[Index],CONCATENATE($A8,"_LPG_LPG"))</f>
        <v>1.0973756355282986E-4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3.3126490600493684E-2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1.2440143015403103E-2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2.7331429028126467E-3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2.4600511303074602E-2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4.4600375132605199E-7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1.4180389077564858E-3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2.4046476909545832E-4</v>
      </c>
      <c r="C10" s="423"/>
      <c r="D10" s="425">
        <f>vkm_SW_PW*SUMIFS(TableVerdeelsleutelVkm[CNG],TableVerdeelsleutelVkm[Voertuigtype],"Lichte voertuigen")*SUMIFS(TableECFTransport[EnergieConsumptieFactor (PJ per km)],TableECFTransport[Index],CONCATENATE($A10,"_CNG_CNG"))</f>
        <v>7.7646425320314176E-4</v>
      </c>
      <c r="E10" s="425">
        <f>vkm_SW_PW*SUMIFS(TableVerdeelsleutelVkm[LPG],TableVerdeelsleutelVkm[Voertuigtype],"Lichte voertuigen")*SUMIFS(TableECFTransport[EnergieConsumptieFactor (PJ per km)],TableECFTransport[Index],CONCATENATE($A10,"_LPG_LPG"))</f>
        <v>8.2739410044018738E-4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0.23815295105830661</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7.5896813549474904E-2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1.8752744512235523E-2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0.29666405526134876</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4.532618149709203E-6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1.710044925244442E-2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93.967147322043161</v>
      </c>
      <c r="C14" s="21"/>
      <c r="D14" s="21">
        <f t="shared" ref="D14:M14" si="0">((D5)*10^9/3600)+D12</f>
        <v>318.58709502300491</v>
      </c>
      <c r="E14" s="21">
        <f t="shared" si="0"/>
        <v>316.23279548056684</v>
      </c>
      <c r="F14" s="21"/>
      <c r="G14" s="21">
        <f t="shared" si="0"/>
        <v>192653.38931263651</v>
      </c>
      <c r="H14" s="21">
        <f t="shared" si="0"/>
        <v>30665.104083418188</v>
      </c>
      <c r="I14" s="21"/>
      <c r="J14" s="21"/>
      <c r="K14" s="21"/>
      <c r="L14" s="21"/>
      <c r="M14" s="21">
        <f t="shared" si="0"/>
        <v>13135.212740981964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0.21480497224763553</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20.18461047270096</v>
      </c>
      <c r="C18" s="23"/>
      <c r="D18" s="23">
        <f t="shared" ref="D18:M18" si="1">D14*D16</f>
        <v>64.354593194646995</v>
      </c>
      <c r="E18" s="23">
        <f t="shared" si="1"/>
        <v>71.78484457408868</v>
      </c>
      <c r="F18" s="23"/>
      <c r="G18" s="23">
        <f t="shared" si="1"/>
        <v>51438.454946473954</v>
      </c>
      <c r="H18" s="23">
        <f t="shared" si="1"/>
        <v>7635.6109167711284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4.3641925199999999E-3</v>
      </c>
      <c r="C50" s="319">
        <f t="shared" ref="C50:P50" si="2">SUM(C51:C52)</f>
        <v>0</v>
      </c>
      <c r="D50" s="319">
        <f t="shared" si="2"/>
        <v>0</v>
      </c>
      <c r="E50" s="319">
        <f t="shared" si="2"/>
        <v>0</v>
      </c>
      <c r="F50" s="319">
        <f t="shared" si="2"/>
        <v>0</v>
      </c>
      <c r="G50" s="319">
        <f t="shared" si="2"/>
        <v>3.6163772730076946E-3</v>
      </c>
      <c r="H50" s="319">
        <f t="shared" si="2"/>
        <v>0</v>
      </c>
      <c r="I50" s="319">
        <f t="shared" si="2"/>
        <v>0</v>
      </c>
      <c r="J50" s="319">
        <f t="shared" si="2"/>
        <v>0</v>
      </c>
      <c r="K50" s="319">
        <f t="shared" si="2"/>
        <v>0</v>
      </c>
      <c r="L50" s="319">
        <f t="shared" si="2"/>
        <v>0</v>
      </c>
      <c r="M50" s="319">
        <f t="shared" si="2"/>
        <v>2.0096702591966279E-4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3.6163772730076946E-3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2.0096702591966279E-4</v>
      </c>
      <c r="N51" s="321"/>
      <c r="O51" s="321"/>
      <c r="P51" s="324"/>
    </row>
    <row r="52" spans="1:18">
      <c r="A52" s="4" t="s">
        <v>329</v>
      </c>
      <c r="B52" s="891">
        <f>vkm_tram*SUMIFS(TableECFTransport[EnergieConsumptieFactor (PJ per km)],TableECFTransport[Index],"Tram_gemiddeld_Electric_Electric")</f>
        <v>4.3641925199999999E-3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1212.2756999999999</v>
      </c>
      <c r="C54" s="21">
        <f t="shared" ref="C54:P54" si="3">(C50)*10^9/3600</f>
        <v>0</v>
      </c>
      <c r="D54" s="21">
        <f t="shared" si="3"/>
        <v>0</v>
      </c>
      <c r="E54" s="21">
        <f t="shared" si="3"/>
        <v>0</v>
      </c>
      <c r="F54" s="21">
        <f t="shared" si="3"/>
        <v>0</v>
      </c>
      <c r="G54" s="21">
        <f t="shared" si="3"/>
        <v>1004.5492425021374</v>
      </c>
      <c r="H54" s="21">
        <f t="shared" si="3"/>
        <v>0</v>
      </c>
      <c r="I54" s="21">
        <f t="shared" si="3"/>
        <v>0</v>
      </c>
      <c r="J54" s="21">
        <f t="shared" si="3"/>
        <v>0</v>
      </c>
      <c r="K54" s="21">
        <f t="shared" si="3"/>
        <v>0</v>
      </c>
      <c r="L54" s="21">
        <f t="shared" si="3"/>
        <v>0</v>
      </c>
      <c r="M54" s="21">
        <f t="shared" si="3"/>
        <v>55.824173866572998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0.21480497224763553</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260.40284809498291</v>
      </c>
      <c r="C58" s="23">
        <f t="shared" ref="C58:P58" ca="1" si="4">C54*C56</f>
        <v>0</v>
      </c>
      <c r="D58" s="23">
        <f t="shared" si="4"/>
        <v>0</v>
      </c>
      <c r="E58" s="23">
        <f t="shared" si="4"/>
        <v>0</v>
      </c>
      <c r="F58" s="23">
        <f t="shared" si="4"/>
        <v>0</v>
      </c>
      <c r="G58" s="23">
        <f t="shared" si="4"/>
        <v>268.21464774807072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26597.673934000002</v>
      </c>
      <c r="D10" s="686">
        <f ca="1">tertiair!C16</f>
        <v>32.142857142857146</v>
      </c>
      <c r="E10" s="686">
        <f ca="1">tertiair!D16</f>
        <v>72182.867276496283</v>
      </c>
      <c r="F10" s="686">
        <f>tertiair!E16</f>
        <v>357.83715231722289</v>
      </c>
      <c r="G10" s="686">
        <f ca="1">tertiair!F16</f>
        <v>2879.0083438016627</v>
      </c>
      <c r="H10" s="686">
        <f>tertiair!G16</f>
        <v>0</v>
      </c>
      <c r="I10" s="686">
        <f>tertiair!H16</f>
        <v>0</v>
      </c>
      <c r="J10" s="686">
        <f>tertiair!I16</f>
        <v>0</v>
      </c>
      <c r="K10" s="686">
        <f>tertiair!J16</f>
        <v>6.8589885624924629E-2</v>
      </c>
      <c r="L10" s="686">
        <f>tertiair!K16</f>
        <v>0</v>
      </c>
      <c r="M10" s="686">
        <f ca="1">tertiair!L16</f>
        <v>0</v>
      </c>
      <c r="N10" s="686">
        <f>tertiair!M16</f>
        <v>0</v>
      </c>
      <c r="O10" s="686">
        <f ca="1">tertiair!N16</f>
        <v>2698.3893632891009</v>
      </c>
      <c r="P10" s="686">
        <f>tertiair!O16</f>
        <v>4.8972607658411542</v>
      </c>
      <c r="Q10" s="687">
        <f>tertiair!P16</f>
        <v>105.07827661299004</v>
      </c>
      <c r="R10" s="689">
        <f ca="1">SUM(C10:Q10)</f>
        <v>104857.96305431158</v>
      </c>
      <c r="S10" s="67"/>
    </row>
    <row r="11" spans="1:19" s="448" customFormat="1">
      <c r="A11" s="808" t="s">
        <v>224</v>
      </c>
      <c r="B11" s="813"/>
      <c r="C11" s="686">
        <f>huishoudens!B8</f>
        <v>31279.304061048148</v>
      </c>
      <c r="D11" s="686">
        <f>huishoudens!C8</f>
        <v>0</v>
      </c>
      <c r="E11" s="686">
        <f>huishoudens!D8</f>
        <v>86726.424906660002</v>
      </c>
      <c r="F11" s="686">
        <f>huishoudens!E8</f>
        <v>925.56765451679553</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4352.8488858273249</v>
      </c>
      <c r="P11" s="686">
        <f>huishoudens!O8</f>
        <v>190.45998906115506</v>
      </c>
      <c r="Q11" s="687">
        <f>huishoudens!P8</f>
        <v>179.07730823064537</v>
      </c>
      <c r="R11" s="689">
        <f>SUM(C11:Q11)</f>
        <v>123653.68280534407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40197.332533000001</v>
      </c>
      <c r="D13" s="686">
        <f>industrie!C18</f>
        <v>0</v>
      </c>
      <c r="E13" s="686">
        <f>industrie!D18</f>
        <v>11296.187370247999</v>
      </c>
      <c r="F13" s="686">
        <f>industrie!E18</f>
        <v>2236.5753749543301</v>
      </c>
      <c r="G13" s="686">
        <f>industrie!F18</f>
        <v>8160.8547510401022</v>
      </c>
      <c r="H13" s="686">
        <f>industrie!G18</f>
        <v>0</v>
      </c>
      <c r="I13" s="686">
        <f>industrie!H18</f>
        <v>0</v>
      </c>
      <c r="J13" s="686">
        <f>industrie!I18</f>
        <v>0</v>
      </c>
      <c r="K13" s="686">
        <f>industrie!J18</f>
        <v>300.30516588417834</v>
      </c>
      <c r="L13" s="686">
        <f>industrie!K18</f>
        <v>0</v>
      </c>
      <c r="M13" s="686">
        <f>industrie!L18</f>
        <v>0</v>
      </c>
      <c r="N13" s="686">
        <f>industrie!M18</f>
        <v>0</v>
      </c>
      <c r="O13" s="686">
        <f>industrie!N18</f>
        <v>1602.1903925911315</v>
      </c>
      <c r="P13" s="686">
        <f>industrie!O18</f>
        <v>0</v>
      </c>
      <c r="Q13" s="687">
        <f>industrie!P18</f>
        <v>0</v>
      </c>
      <c r="R13" s="689">
        <f>SUM(C13:Q13)</f>
        <v>63793.445587717746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98074.31052804814</v>
      </c>
      <c r="D16" s="722">
        <f t="shared" ref="D16:R16" ca="1" si="0">SUM(D9:D15)</f>
        <v>32.142857142857146</v>
      </c>
      <c r="E16" s="722">
        <f t="shared" ca="1" si="0"/>
        <v>170205.47955340429</v>
      </c>
      <c r="F16" s="722">
        <f t="shared" si="0"/>
        <v>3519.9801817883485</v>
      </c>
      <c r="G16" s="722">
        <f t="shared" ca="1" si="0"/>
        <v>11039.863094841765</v>
      </c>
      <c r="H16" s="722">
        <f t="shared" si="0"/>
        <v>0</v>
      </c>
      <c r="I16" s="722">
        <f t="shared" si="0"/>
        <v>0</v>
      </c>
      <c r="J16" s="722">
        <f t="shared" si="0"/>
        <v>0</v>
      </c>
      <c r="K16" s="722">
        <f t="shared" si="0"/>
        <v>300.37375576980327</v>
      </c>
      <c r="L16" s="722">
        <f t="shared" si="0"/>
        <v>0</v>
      </c>
      <c r="M16" s="722">
        <f t="shared" ca="1" si="0"/>
        <v>0</v>
      </c>
      <c r="N16" s="722">
        <f t="shared" si="0"/>
        <v>0</v>
      </c>
      <c r="O16" s="722">
        <f t="shared" ca="1" si="0"/>
        <v>8653.4286417075582</v>
      </c>
      <c r="P16" s="722">
        <f t="shared" si="0"/>
        <v>195.35724982699622</v>
      </c>
      <c r="Q16" s="722">
        <f t="shared" si="0"/>
        <v>284.15558484363544</v>
      </c>
      <c r="R16" s="722">
        <f t="shared" ca="1" si="0"/>
        <v>292305.09144737339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1212.2756999999999</v>
      </c>
      <c r="D19" s="686">
        <f>transport!C54</f>
        <v>0</v>
      </c>
      <c r="E19" s="686">
        <f>transport!D54</f>
        <v>0</v>
      </c>
      <c r="F19" s="686">
        <f>transport!E54</f>
        <v>0</v>
      </c>
      <c r="G19" s="686">
        <f>transport!F54</f>
        <v>0</v>
      </c>
      <c r="H19" s="686">
        <f>transport!G54</f>
        <v>1004.5492425021374</v>
      </c>
      <c r="I19" s="686">
        <f>transport!H54</f>
        <v>0</v>
      </c>
      <c r="J19" s="686">
        <f>transport!I54</f>
        <v>0</v>
      </c>
      <c r="K19" s="686">
        <f>transport!J54</f>
        <v>0</v>
      </c>
      <c r="L19" s="686">
        <f>transport!K54</f>
        <v>0</v>
      </c>
      <c r="M19" s="686">
        <f>transport!L54</f>
        <v>0</v>
      </c>
      <c r="N19" s="686">
        <f>transport!M54</f>
        <v>55.824173866572998</v>
      </c>
      <c r="O19" s="686">
        <f>transport!N54</f>
        <v>0</v>
      </c>
      <c r="P19" s="686">
        <f>transport!O54</f>
        <v>0</v>
      </c>
      <c r="Q19" s="687">
        <f>transport!P54</f>
        <v>0</v>
      </c>
      <c r="R19" s="689">
        <f>SUM(C19:Q19)</f>
        <v>2272.6491163687101</v>
      </c>
      <c r="S19" s="67"/>
    </row>
    <row r="20" spans="1:19" s="448" customFormat="1">
      <c r="A20" s="808" t="s">
        <v>306</v>
      </c>
      <c r="B20" s="813"/>
      <c r="C20" s="686">
        <f>transport!B14</f>
        <v>93.967147322043161</v>
      </c>
      <c r="D20" s="686">
        <f>transport!C14</f>
        <v>0</v>
      </c>
      <c r="E20" s="686">
        <f>transport!D14</f>
        <v>318.58709502300491</v>
      </c>
      <c r="F20" s="686">
        <f>transport!E14</f>
        <v>316.23279548056684</v>
      </c>
      <c r="G20" s="686">
        <f>transport!F14</f>
        <v>0</v>
      </c>
      <c r="H20" s="686">
        <f>transport!G14</f>
        <v>192653.38931263651</v>
      </c>
      <c r="I20" s="686">
        <f>transport!H14</f>
        <v>30665.104083418188</v>
      </c>
      <c r="J20" s="686">
        <f>transport!I14</f>
        <v>0</v>
      </c>
      <c r="K20" s="686">
        <f>transport!J14</f>
        <v>0</v>
      </c>
      <c r="L20" s="686">
        <f>transport!K14</f>
        <v>0</v>
      </c>
      <c r="M20" s="686">
        <f>transport!L14</f>
        <v>0</v>
      </c>
      <c r="N20" s="686">
        <f>transport!M14</f>
        <v>13135.212740981964</v>
      </c>
      <c r="O20" s="686">
        <f>transport!N14</f>
        <v>0</v>
      </c>
      <c r="P20" s="686">
        <f>transport!O14</f>
        <v>0</v>
      </c>
      <c r="Q20" s="687">
        <f>transport!P14</f>
        <v>0</v>
      </c>
      <c r="R20" s="689">
        <f>SUM(C20:Q20)</f>
        <v>237182.49317486226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1306.242847322043</v>
      </c>
      <c r="D22" s="811">
        <f t="shared" ref="D22:R22" si="1">SUM(D18:D21)</f>
        <v>0</v>
      </c>
      <c r="E22" s="811">
        <f t="shared" si="1"/>
        <v>318.58709502300491</v>
      </c>
      <c r="F22" s="811">
        <f t="shared" si="1"/>
        <v>316.23279548056684</v>
      </c>
      <c r="G22" s="811">
        <f t="shared" si="1"/>
        <v>0</v>
      </c>
      <c r="H22" s="811">
        <f t="shared" si="1"/>
        <v>193657.93855513865</v>
      </c>
      <c r="I22" s="811">
        <f t="shared" si="1"/>
        <v>30665.104083418188</v>
      </c>
      <c r="J22" s="811">
        <f t="shared" si="1"/>
        <v>0</v>
      </c>
      <c r="K22" s="811">
        <f t="shared" si="1"/>
        <v>0</v>
      </c>
      <c r="L22" s="811">
        <f t="shared" si="1"/>
        <v>0</v>
      </c>
      <c r="M22" s="811">
        <f t="shared" si="1"/>
        <v>0</v>
      </c>
      <c r="N22" s="811">
        <f t="shared" si="1"/>
        <v>13191.036914848537</v>
      </c>
      <c r="O22" s="811">
        <f t="shared" si="1"/>
        <v>0</v>
      </c>
      <c r="P22" s="811">
        <f t="shared" si="1"/>
        <v>0</v>
      </c>
      <c r="Q22" s="811">
        <f t="shared" si="1"/>
        <v>0</v>
      </c>
      <c r="R22" s="811">
        <f t="shared" si="1"/>
        <v>239455.14229123096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1279.1660160000001</v>
      </c>
      <c r="D24" s="686">
        <f>+landbouw!C8</f>
        <v>45218.571428571428</v>
      </c>
      <c r="E24" s="686">
        <f>+landbouw!D8</f>
        <v>0</v>
      </c>
      <c r="F24" s="686">
        <f>+landbouw!E8</f>
        <v>39.92234954244659</v>
      </c>
      <c r="G24" s="686">
        <f>+landbouw!F8</f>
        <v>4520.7144027326949</v>
      </c>
      <c r="H24" s="686">
        <f>+landbouw!G8</f>
        <v>0</v>
      </c>
      <c r="I24" s="686">
        <f>+landbouw!H8</f>
        <v>0</v>
      </c>
      <c r="J24" s="686">
        <f>+landbouw!I8</f>
        <v>0</v>
      </c>
      <c r="K24" s="686">
        <f>+landbouw!J8</f>
        <v>352.41910834657659</v>
      </c>
      <c r="L24" s="686">
        <f>+landbouw!K8</f>
        <v>0</v>
      </c>
      <c r="M24" s="686">
        <f>+landbouw!L8</f>
        <v>0</v>
      </c>
      <c r="N24" s="686">
        <f>+landbouw!M8</f>
        <v>0</v>
      </c>
      <c r="O24" s="686">
        <f>+landbouw!N8</f>
        <v>0</v>
      </c>
      <c r="P24" s="686">
        <f>+landbouw!O8</f>
        <v>0</v>
      </c>
      <c r="Q24" s="687">
        <f>+landbouw!P8</f>
        <v>0</v>
      </c>
      <c r="R24" s="689">
        <f>SUM(C24:Q24)</f>
        <v>51410.793305193147</v>
      </c>
      <c r="S24" s="67"/>
    </row>
    <row r="25" spans="1:19" s="448" customFormat="1" ht="15" thickBot="1">
      <c r="A25" s="830" t="s">
        <v>724</v>
      </c>
      <c r="B25" s="949"/>
      <c r="C25" s="950">
        <f>IF(Onbekend_ele_kWh="---",0,Onbekend_ele_kWh)/1000+IF(REST_rest_ele_kWh="---",0,REST_rest_ele_kWh)/1000</f>
        <v>785.72226999999998</v>
      </c>
      <c r="D25" s="950"/>
      <c r="E25" s="950">
        <f>IF(onbekend_gas_kWh="---",0,onbekend_gas_kWh)/1000+IF(REST_rest_gas_kWh="---",0,REST_rest_gas_kWh)/1000</f>
        <v>2076.0823789999999</v>
      </c>
      <c r="F25" s="950"/>
      <c r="G25" s="950"/>
      <c r="H25" s="950"/>
      <c r="I25" s="950"/>
      <c r="J25" s="950"/>
      <c r="K25" s="950"/>
      <c r="L25" s="950"/>
      <c r="M25" s="950"/>
      <c r="N25" s="950"/>
      <c r="O25" s="950"/>
      <c r="P25" s="950"/>
      <c r="Q25" s="951"/>
      <c r="R25" s="689">
        <f>SUM(C25:Q25)</f>
        <v>2861.8046489999997</v>
      </c>
      <c r="S25" s="67"/>
    </row>
    <row r="26" spans="1:19" s="448" customFormat="1" ht="15.75" thickBot="1">
      <c r="A26" s="694" t="s">
        <v>725</v>
      </c>
      <c r="B26" s="816"/>
      <c r="C26" s="811">
        <f>SUM(C24:C25)</f>
        <v>2064.8882860000003</v>
      </c>
      <c r="D26" s="811">
        <f t="shared" ref="D26:R26" si="2">SUM(D24:D25)</f>
        <v>45218.571428571428</v>
      </c>
      <c r="E26" s="811">
        <f t="shared" si="2"/>
        <v>2076.0823789999999</v>
      </c>
      <c r="F26" s="811">
        <f t="shared" si="2"/>
        <v>39.92234954244659</v>
      </c>
      <c r="G26" s="811">
        <f t="shared" si="2"/>
        <v>4520.7144027326949</v>
      </c>
      <c r="H26" s="811">
        <f t="shared" si="2"/>
        <v>0</v>
      </c>
      <c r="I26" s="811">
        <f t="shared" si="2"/>
        <v>0</v>
      </c>
      <c r="J26" s="811">
        <f t="shared" si="2"/>
        <v>0</v>
      </c>
      <c r="K26" s="811">
        <f t="shared" si="2"/>
        <v>352.41910834657659</v>
      </c>
      <c r="L26" s="811">
        <f t="shared" si="2"/>
        <v>0</v>
      </c>
      <c r="M26" s="811">
        <f t="shared" si="2"/>
        <v>0</v>
      </c>
      <c r="N26" s="811">
        <f t="shared" si="2"/>
        <v>0</v>
      </c>
      <c r="O26" s="811">
        <f t="shared" si="2"/>
        <v>0</v>
      </c>
      <c r="P26" s="811">
        <f t="shared" si="2"/>
        <v>0</v>
      </c>
      <c r="Q26" s="811">
        <f t="shared" si="2"/>
        <v>0</v>
      </c>
      <c r="R26" s="811">
        <f t="shared" si="2"/>
        <v>54272.597954193145</v>
      </c>
      <c r="S26" s="67"/>
    </row>
    <row r="27" spans="1:19" s="448" customFormat="1" ht="17.25" thickTop="1" thickBot="1">
      <c r="A27" s="695" t="s">
        <v>115</v>
      </c>
      <c r="B27" s="803"/>
      <c r="C27" s="696">
        <f ca="1">C22+C16+C26</f>
        <v>101445.44166137019</v>
      </c>
      <c r="D27" s="696">
        <f t="shared" ref="D27:R27" ca="1" si="3">D22+D16+D26</f>
        <v>45250.714285714283</v>
      </c>
      <c r="E27" s="696">
        <f t="shared" ca="1" si="3"/>
        <v>172600.14902742731</v>
      </c>
      <c r="F27" s="696">
        <f t="shared" si="3"/>
        <v>3876.1353268113621</v>
      </c>
      <c r="G27" s="696">
        <f t="shared" ca="1" si="3"/>
        <v>15560.577497574461</v>
      </c>
      <c r="H27" s="696">
        <f t="shared" si="3"/>
        <v>193657.93855513865</v>
      </c>
      <c r="I27" s="696">
        <f t="shared" si="3"/>
        <v>30665.104083418188</v>
      </c>
      <c r="J27" s="696">
        <f t="shared" si="3"/>
        <v>0</v>
      </c>
      <c r="K27" s="696">
        <f t="shared" si="3"/>
        <v>652.79286411637986</v>
      </c>
      <c r="L27" s="696">
        <f t="shared" si="3"/>
        <v>0</v>
      </c>
      <c r="M27" s="696">
        <f t="shared" ca="1" si="3"/>
        <v>0</v>
      </c>
      <c r="N27" s="696">
        <f t="shared" si="3"/>
        <v>13191.036914848537</v>
      </c>
      <c r="O27" s="696">
        <f t="shared" ca="1" si="3"/>
        <v>8653.4286417075582</v>
      </c>
      <c r="P27" s="696">
        <f t="shared" si="3"/>
        <v>195.35724982699622</v>
      </c>
      <c r="Q27" s="696">
        <f t="shared" si="3"/>
        <v>284.15558484363544</v>
      </c>
      <c r="R27" s="696">
        <f t="shared" ca="1" si="3"/>
        <v>586032.83169279748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5713.3126112445298</v>
      </c>
      <c r="D40" s="686">
        <f ca="1">tertiair!C20</f>
        <v>7.6386554621848735</v>
      </c>
      <c r="E40" s="686">
        <f ca="1">tertiair!D20</f>
        <v>14580.93918985225</v>
      </c>
      <c r="F40" s="686">
        <f>tertiair!E20</f>
        <v>81.229033576009599</v>
      </c>
      <c r="G40" s="686">
        <f ca="1">tertiair!F20</f>
        <v>768.69522779504393</v>
      </c>
      <c r="H40" s="686">
        <f>tertiair!G20</f>
        <v>0</v>
      </c>
      <c r="I40" s="686">
        <f>tertiair!H20</f>
        <v>0</v>
      </c>
      <c r="J40" s="686">
        <f>tertiair!I20</f>
        <v>0</v>
      </c>
      <c r="K40" s="686">
        <f>tertiair!J20</f>
        <v>2.4280819511223316E-2</v>
      </c>
      <c r="L40" s="686">
        <f>tertiair!K20</f>
        <v>0</v>
      </c>
      <c r="M40" s="686">
        <f ca="1">tertiair!L20</f>
        <v>0</v>
      </c>
      <c r="N40" s="686">
        <f>tertiair!M20</f>
        <v>0</v>
      </c>
      <c r="O40" s="686">
        <f ca="1">tertiair!N20</f>
        <v>0</v>
      </c>
      <c r="P40" s="686">
        <f>tertiair!O20</f>
        <v>0</v>
      </c>
      <c r="Q40" s="769">
        <f>tertiair!P20</f>
        <v>0</v>
      </c>
      <c r="R40" s="849">
        <f t="shared" ca="1" si="4"/>
        <v>21151.838998749528</v>
      </c>
    </row>
    <row r="41" spans="1:18">
      <c r="A41" s="821" t="s">
        <v>224</v>
      </c>
      <c r="B41" s="828"/>
      <c r="C41" s="686">
        <f ca="1">huishoudens!B12</f>
        <v>6718.9500407588012</v>
      </c>
      <c r="D41" s="686">
        <f ca="1">huishoudens!C12</f>
        <v>0</v>
      </c>
      <c r="E41" s="686">
        <f>huishoudens!D12</f>
        <v>17518.737831145321</v>
      </c>
      <c r="F41" s="686">
        <f>huishoudens!E12</f>
        <v>210.10385757531259</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24447.791729479435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8634.5868991800417</v>
      </c>
      <c r="D43" s="686">
        <f ca="1">industrie!C22</f>
        <v>0</v>
      </c>
      <c r="E43" s="686">
        <f>industrie!D22</f>
        <v>2281.8298487900961</v>
      </c>
      <c r="F43" s="686">
        <f>industrie!E22</f>
        <v>507.70261011463293</v>
      </c>
      <c r="G43" s="686">
        <f>industrie!F22</f>
        <v>2178.9482185277075</v>
      </c>
      <c r="H43" s="686">
        <f>industrie!G22</f>
        <v>0</v>
      </c>
      <c r="I43" s="686">
        <f>industrie!H22</f>
        <v>0</v>
      </c>
      <c r="J43" s="686">
        <f>industrie!I22</f>
        <v>0</v>
      </c>
      <c r="K43" s="686">
        <f>industrie!J22</f>
        <v>106.30802872299913</v>
      </c>
      <c r="L43" s="686">
        <f>industrie!K22</f>
        <v>0</v>
      </c>
      <c r="M43" s="686">
        <f>industrie!L22</f>
        <v>0</v>
      </c>
      <c r="N43" s="686">
        <f>industrie!M22</f>
        <v>0</v>
      </c>
      <c r="O43" s="686">
        <f>industrie!N22</f>
        <v>0</v>
      </c>
      <c r="P43" s="686">
        <f>industrie!O22</f>
        <v>0</v>
      </c>
      <c r="Q43" s="769">
        <f>industrie!P22</f>
        <v>0</v>
      </c>
      <c r="R43" s="848">
        <f t="shared" ca="1" si="4"/>
        <v>13709.375605335475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21066.849551183372</v>
      </c>
      <c r="D46" s="722">
        <f t="shared" ref="D46:Q46" ca="1" si="5">SUM(D39:D45)</f>
        <v>7.6386554621848735</v>
      </c>
      <c r="E46" s="722">
        <f t="shared" ca="1" si="5"/>
        <v>34381.50686978767</v>
      </c>
      <c r="F46" s="722">
        <f t="shared" si="5"/>
        <v>799.03550126595519</v>
      </c>
      <c r="G46" s="722">
        <f t="shared" ca="1" si="5"/>
        <v>2947.6434463227515</v>
      </c>
      <c r="H46" s="722">
        <f t="shared" si="5"/>
        <v>0</v>
      </c>
      <c r="I46" s="722">
        <f t="shared" si="5"/>
        <v>0</v>
      </c>
      <c r="J46" s="722">
        <f t="shared" si="5"/>
        <v>0</v>
      </c>
      <c r="K46" s="722">
        <f t="shared" si="5"/>
        <v>106.33230954251034</v>
      </c>
      <c r="L46" s="722">
        <f t="shared" si="5"/>
        <v>0</v>
      </c>
      <c r="M46" s="722">
        <f t="shared" ca="1" si="5"/>
        <v>0</v>
      </c>
      <c r="N46" s="722">
        <f t="shared" si="5"/>
        <v>0</v>
      </c>
      <c r="O46" s="722">
        <f t="shared" ca="1" si="5"/>
        <v>0</v>
      </c>
      <c r="P46" s="722">
        <f t="shared" si="5"/>
        <v>0</v>
      </c>
      <c r="Q46" s="722">
        <f t="shared" si="5"/>
        <v>0</v>
      </c>
      <c r="R46" s="722">
        <f ca="1">SUM(R39:R45)</f>
        <v>59309.006333564437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260.40284809498291</v>
      </c>
      <c r="D49" s="686">
        <f ca="1">transport!C58</f>
        <v>0</v>
      </c>
      <c r="E49" s="686">
        <f>transport!D58</f>
        <v>0</v>
      </c>
      <c r="F49" s="686">
        <f>transport!E58</f>
        <v>0</v>
      </c>
      <c r="G49" s="686">
        <f>transport!F58</f>
        <v>0</v>
      </c>
      <c r="H49" s="686">
        <f>transport!G58</f>
        <v>268.21464774807072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528.61749584305358</v>
      </c>
    </row>
    <row r="50" spans="1:18">
      <c r="A50" s="824" t="s">
        <v>306</v>
      </c>
      <c r="B50" s="834"/>
      <c r="C50" s="692">
        <f ca="1">transport!B18</f>
        <v>20.18461047270096</v>
      </c>
      <c r="D50" s="692">
        <f>transport!C18</f>
        <v>0</v>
      </c>
      <c r="E50" s="692">
        <f>transport!D18</f>
        <v>64.354593194646995</v>
      </c>
      <c r="F50" s="692">
        <f>transport!E18</f>
        <v>71.78484457408868</v>
      </c>
      <c r="G50" s="692">
        <f>transport!F18</f>
        <v>0</v>
      </c>
      <c r="H50" s="692">
        <f>transport!G18</f>
        <v>51438.454946473954</v>
      </c>
      <c r="I50" s="692">
        <f>transport!H18</f>
        <v>7635.6109167711284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59230.389911486513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280.58745856768388</v>
      </c>
      <c r="D52" s="722">
        <f t="shared" ref="D52:Q52" ca="1" si="6">SUM(D48:D51)</f>
        <v>0</v>
      </c>
      <c r="E52" s="722">
        <f t="shared" si="6"/>
        <v>64.354593194646995</v>
      </c>
      <c r="F52" s="722">
        <f t="shared" si="6"/>
        <v>71.78484457408868</v>
      </c>
      <c r="G52" s="722">
        <f t="shared" si="6"/>
        <v>0</v>
      </c>
      <c r="H52" s="722">
        <f t="shared" si="6"/>
        <v>51706.669594222025</v>
      </c>
      <c r="I52" s="722">
        <f t="shared" si="6"/>
        <v>7635.6109167711284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59759.007407329569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274.77122056699852</v>
      </c>
      <c r="D54" s="692">
        <f ca="1">+landbouw!C12</f>
        <v>10746.06050420168</v>
      </c>
      <c r="E54" s="692">
        <f>+landbouw!D12</f>
        <v>0</v>
      </c>
      <c r="F54" s="692">
        <f>+landbouw!E12</f>
        <v>9.0623733461353755</v>
      </c>
      <c r="G54" s="692">
        <f>+landbouw!F12</f>
        <v>1207.0307455296297</v>
      </c>
      <c r="H54" s="692">
        <f>+landbouw!G12</f>
        <v>0</v>
      </c>
      <c r="I54" s="692">
        <f>+landbouw!H12</f>
        <v>0</v>
      </c>
      <c r="J54" s="692">
        <f>+landbouw!I12</f>
        <v>0</v>
      </c>
      <c r="K54" s="692">
        <f>+landbouw!J12</f>
        <v>124.7563643546881</v>
      </c>
      <c r="L54" s="692">
        <f>+landbouw!K12</f>
        <v>0</v>
      </c>
      <c r="M54" s="692">
        <f>+landbouw!L12</f>
        <v>0</v>
      </c>
      <c r="N54" s="692">
        <f>+landbouw!M12</f>
        <v>0</v>
      </c>
      <c r="O54" s="692">
        <f>+landbouw!N12</f>
        <v>0</v>
      </c>
      <c r="P54" s="692">
        <f>+landbouw!O12</f>
        <v>0</v>
      </c>
      <c r="Q54" s="693">
        <f>+landbouw!P12</f>
        <v>0</v>
      </c>
      <c r="R54" s="721">
        <f ca="1">SUM(C54:Q54)</f>
        <v>12361.68120799913</v>
      </c>
    </row>
    <row r="55" spans="1:18" ht="15" thickBot="1">
      <c r="A55" s="824" t="s">
        <v>724</v>
      </c>
      <c r="B55" s="834"/>
      <c r="C55" s="692">
        <f ca="1">C25*'EF ele_warmte'!B12</f>
        <v>168.7770504016992</v>
      </c>
      <c r="D55" s="692"/>
      <c r="E55" s="692">
        <f>E25*EF_CO2_aardgas</f>
        <v>419.36864055800004</v>
      </c>
      <c r="F55" s="692"/>
      <c r="G55" s="692"/>
      <c r="H55" s="692"/>
      <c r="I55" s="692"/>
      <c r="J55" s="692"/>
      <c r="K55" s="692"/>
      <c r="L55" s="692"/>
      <c r="M55" s="692"/>
      <c r="N55" s="692"/>
      <c r="O55" s="692"/>
      <c r="P55" s="692"/>
      <c r="Q55" s="693"/>
      <c r="R55" s="721">
        <f ca="1">SUM(C55:Q55)</f>
        <v>588.14569095969921</v>
      </c>
    </row>
    <row r="56" spans="1:18" ht="15.75" thickBot="1">
      <c r="A56" s="822" t="s">
        <v>725</v>
      </c>
      <c r="B56" s="835"/>
      <c r="C56" s="722">
        <f ca="1">SUM(C54:C55)</f>
        <v>443.54827096869769</v>
      </c>
      <c r="D56" s="722">
        <f t="shared" ref="D56:Q56" ca="1" si="7">SUM(D54:D55)</f>
        <v>10746.06050420168</v>
      </c>
      <c r="E56" s="722">
        <f t="shared" si="7"/>
        <v>419.36864055800004</v>
      </c>
      <c r="F56" s="722">
        <f t="shared" si="7"/>
        <v>9.0623733461353755</v>
      </c>
      <c r="G56" s="722">
        <f t="shared" si="7"/>
        <v>1207.0307455296297</v>
      </c>
      <c r="H56" s="722">
        <f t="shared" si="7"/>
        <v>0</v>
      </c>
      <c r="I56" s="722">
        <f t="shared" si="7"/>
        <v>0</v>
      </c>
      <c r="J56" s="722">
        <f t="shared" si="7"/>
        <v>0</v>
      </c>
      <c r="K56" s="722">
        <f t="shared" si="7"/>
        <v>124.7563643546881</v>
      </c>
      <c r="L56" s="722">
        <f t="shared" si="7"/>
        <v>0</v>
      </c>
      <c r="M56" s="722">
        <f t="shared" si="7"/>
        <v>0</v>
      </c>
      <c r="N56" s="722">
        <f t="shared" si="7"/>
        <v>0</v>
      </c>
      <c r="O56" s="722">
        <f t="shared" si="7"/>
        <v>0</v>
      </c>
      <c r="P56" s="722">
        <f t="shared" si="7"/>
        <v>0</v>
      </c>
      <c r="Q56" s="723">
        <f t="shared" si="7"/>
        <v>0</v>
      </c>
      <c r="R56" s="724">
        <f ca="1">SUM(R54:R55)</f>
        <v>12949.82689895883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21790.985280719753</v>
      </c>
      <c r="D61" s="730">
        <f t="shared" ref="D61:Q61" ca="1" si="8">D46+D52+D56</f>
        <v>10753.699159663864</v>
      </c>
      <c r="E61" s="730">
        <f t="shared" ca="1" si="8"/>
        <v>34865.230103540322</v>
      </c>
      <c r="F61" s="730">
        <f t="shared" si="8"/>
        <v>879.8827191861792</v>
      </c>
      <c r="G61" s="730">
        <f t="shared" ca="1" si="8"/>
        <v>4154.6741918523812</v>
      </c>
      <c r="H61" s="730">
        <f t="shared" si="8"/>
        <v>51706.669594222025</v>
      </c>
      <c r="I61" s="730">
        <f t="shared" si="8"/>
        <v>7635.6109167711284</v>
      </c>
      <c r="J61" s="730">
        <f t="shared" si="8"/>
        <v>0</v>
      </c>
      <c r="K61" s="730">
        <f t="shared" si="8"/>
        <v>231.08867389719845</v>
      </c>
      <c r="L61" s="730">
        <f t="shared" si="8"/>
        <v>0</v>
      </c>
      <c r="M61" s="730">
        <f t="shared" ca="1" si="8"/>
        <v>0</v>
      </c>
      <c r="N61" s="730">
        <f t="shared" si="8"/>
        <v>0</v>
      </c>
      <c r="O61" s="730">
        <f t="shared" ca="1" si="8"/>
        <v>0</v>
      </c>
      <c r="P61" s="730">
        <f t="shared" si="8"/>
        <v>0</v>
      </c>
      <c r="Q61" s="730">
        <f t="shared" si="8"/>
        <v>0</v>
      </c>
      <c r="R61" s="730">
        <f ca="1">R46+R52+R56</f>
        <v>132017.84063985283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0.21480497224763553</v>
      </c>
      <c r="D63" s="776">
        <f t="shared" ca="1" si="9"/>
        <v>0.23764705882352938</v>
      </c>
      <c r="E63" s="975">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5229.6888606686134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31675.5</v>
      </c>
      <c r="D76" s="958">
        <f>'lokale energieproductie'!C8</f>
        <v>37265.294117647056</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7527.5894117647058</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5229.6888606686134</v>
      </c>
      <c r="C78" s="748">
        <f>SUM(C72:C77)</f>
        <v>31675.5</v>
      </c>
      <c r="D78" s="749">
        <f t="shared" ref="D78:H78" si="10">SUM(D76:D77)</f>
        <v>37265.294117647056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7527.5894117647058</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45250.714285714283</v>
      </c>
      <c r="D87" s="772">
        <f>'lokale energieproductie'!C17</f>
        <v>53236.134453781502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10753.699159663864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45250.714285714283</v>
      </c>
      <c r="D90" s="748">
        <f t="shared" ref="D90:H90" si="12">SUM(D87:D89)</f>
        <v>53236.134453781502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10753.699159663864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5229.6888606686134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31675.5</v>
      </c>
      <c r="C8" s="548">
        <f>B51</f>
        <v>37265.294117647056</v>
      </c>
      <c r="D8" s="549"/>
      <c r="E8" s="549">
        <f>E51</f>
        <v>0</v>
      </c>
      <c r="F8" s="550"/>
      <c r="G8" s="551"/>
      <c r="H8" s="549">
        <f>I51</f>
        <v>0</v>
      </c>
      <c r="I8" s="549">
        <f>G51+F51</f>
        <v>0</v>
      </c>
      <c r="J8" s="549">
        <f>H51+D51+C51</f>
        <v>0</v>
      </c>
      <c r="K8" s="549"/>
      <c r="L8" s="549"/>
      <c r="M8" s="549"/>
      <c r="N8" s="552"/>
      <c r="O8" s="553">
        <f>C8*$C$12+D8*$D$12+E8*$E$12+F8*$F$12+G8*$G$12+H8*$H$12+I8*$I$12+J8*$J$12</f>
        <v>7527.5894117647058</v>
      </c>
      <c r="P8" s="1244"/>
      <c r="Q8" s="1245"/>
      <c r="S8" s="543"/>
      <c r="T8" s="1232"/>
      <c r="U8" s="1232"/>
    </row>
    <row r="9" spans="1:21" s="534" customFormat="1" ht="17.45" customHeight="1" thickBot="1">
      <c r="A9" s="554" t="s">
        <v>247</v>
      </c>
      <c r="B9" s="555">
        <f>N39+'Eigen informatie GS &amp; warmtenet'!B12</f>
        <v>0</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36905.188860668612</v>
      </c>
      <c r="C10" s="563">
        <f t="shared" ref="C10:L10" si="0">SUM(C8:C9)</f>
        <v>37265.294117647056</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7527.5894117647058</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45250.714285714283</v>
      </c>
      <c r="C17" s="579">
        <f>B52</f>
        <v>53236.134453781502</v>
      </c>
      <c r="D17" s="580"/>
      <c r="E17" s="580">
        <f>E52</f>
        <v>0</v>
      </c>
      <c r="F17" s="581"/>
      <c r="G17" s="582"/>
      <c r="H17" s="579">
        <f>I52</f>
        <v>0</v>
      </c>
      <c r="I17" s="580">
        <f>G52+F52</f>
        <v>0</v>
      </c>
      <c r="J17" s="580">
        <f>H52+D52+C52</f>
        <v>0</v>
      </c>
      <c r="K17" s="580"/>
      <c r="L17" s="580"/>
      <c r="M17" s="580"/>
      <c r="N17" s="972"/>
      <c r="O17" s="583">
        <f>C17*$C$22+E17*$E$22+H17*$H$22+I17*$I$22+J17*$J$22+D17*$D$22+F17*$F$22+G17*$G$22+K17*$K$22+L17*$L$22</f>
        <v>10753.699159663864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45250.714285714283</v>
      </c>
      <c r="C20" s="562">
        <f>SUM(C17:C19)</f>
        <v>53236.134453781502</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10753.699159663864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11056</v>
      </c>
      <c r="C28" s="791">
        <v>2070</v>
      </c>
      <c r="D28" s="640" t="s">
        <v>888</v>
      </c>
      <c r="E28" s="639" t="s">
        <v>889</v>
      </c>
      <c r="F28" s="639" t="s">
        <v>890</v>
      </c>
      <c r="G28" s="639" t="s">
        <v>891</v>
      </c>
      <c r="H28" s="639" t="s">
        <v>892</v>
      </c>
      <c r="I28" s="639" t="s">
        <v>893</v>
      </c>
      <c r="J28" s="790">
        <v>40946</v>
      </c>
      <c r="K28" s="790">
        <v>39043</v>
      </c>
      <c r="L28" s="639" t="s">
        <v>894</v>
      </c>
      <c r="M28" s="639">
        <v>4800</v>
      </c>
      <c r="N28" s="639">
        <v>21600</v>
      </c>
      <c r="O28" s="639">
        <v>30857.142857142859</v>
      </c>
      <c r="P28" s="639">
        <v>61714.285714285717</v>
      </c>
      <c r="Q28" s="639">
        <v>0</v>
      </c>
      <c r="R28" s="639">
        <v>0</v>
      </c>
      <c r="S28" s="639">
        <v>0</v>
      </c>
      <c r="T28" s="639">
        <v>0</v>
      </c>
      <c r="U28" s="639">
        <v>0</v>
      </c>
      <c r="V28" s="639">
        <v>0</v>
      </c>
      <c r="W28" s="639">
        <v>0</v>
      </c>
      <c r="X28" s="639">
        <v>10</v>
      </c>
      <c r="Y28" s="639" t="s">
        <v>111</v>
      </c>
      <c r="Z28" s="641" t="s">
        <v>111</v>
      </c>
    </row>
    <row r="29" spans="1:26" s="593" customFormat="1" ht="25.5">
      <c r="A29" s="592"/>
      <c r="B29" s="791">
        <v>11056</v>
      </c>
      <c r="C29" s="791">
        <v>2070</v>
      </c>
      <c r="D29" s="640" t="s">
        <v>895</v>
      </c>
      <c r="E29" s="639" t="s">
        <v>896</v>
      </c>
      <c r="F29" s="639" t="s">
        <v>897</v>
      </c>
      <c r="G29" s="639" t="s">
        <v>891</v>
      </c>
      <c r="H29" s="639" t="s">
        <v>892</v>
      </c>
      <c r="I29" s="639" t="s">
        <v>896</v>
      </c>
      <c r="J29" s="790">
        <v>40267</v>
      </c>
      <c r="K29" s="790">
        <v>40269</v>
      </c>
      <c r="L29" s="639" t="s">
        <v>894</v>
      </c>
      <c r="M29" s="639">
        <v>2067</v>
      </c>
      <c r="N29" s="639">
        <v>9301.5</v>
      </c>
      <c r="O29" s="639">
        <v>13287.857142857143</v>
      </c>
      <c r="P29" s="639">
        <v>26575.714285714286</v>
      </c>
      <c r="Q29" s="639">
        <v>0</v>
      </c>
      <c r="R29" s="639">
        <v>0</v>
      </c>
      <c r="S29" s="639">
        <v>0</v>
      </c>
      <c r="T29" s="639">
        <v>0</v>
      </c>
      <c r="U29" s="639">
        <v>0</v>
      </c>
      <c r="V29" s="639">
        <v>0</v>
      </c>
      <c r="W29" s="639">
        <v>0</v>
      </c>
      <c r="X29" s="639">
        <v>10</v>
      </c>
      <c r="Y29" s="639" t="s">
        <v>111</v>
      </c>
      <c r="Z29" s="641" t="s">
        <v>111</v>
      </c>
    </row>
    <row r="30" spans="1:26" s="593" customFormat="1" ht="63.75">
      <c r="A30" s="592"/>
      <c r="B30" s="791">
        <v>11056</v>
      </c>
      <c r="C30" s="791">
        <v>2070</v>
      </c>
      <c r="D30" s="640" t="s">
        <v>898</v>
      </c>
      <c r="E30" s="639" t="s">
        <v>899</v>
      </c>
      <c r="F30" s="639" t="s">
        <v>900</v>
      </c>
      <c r="G30" s="639" t="s">
        <v>891</v>
      </c>
      <c r="H30" s="639" t="s">
        <v>892</v>
      </c>
      <c r="I30" s="639" t="s">
        <v>899</v>
      </c>
      <c r="J30" s="790">
        <v>40735</v>
      </c>
      <c r="K30" s="790">
        <v>40848</v>
      </c>
      <c r="L30" s="639" t="s">
        <v>894</v>
      </c>
      <c r="M30" s="639">
        <v>5</v>
      </c>
      <c r="N30" s="639">
        <v>22.5</v>
      </c>
      <c r="O30" s="639">
        <v>32.142857142857146</v>
      </c>
      <c r="P30" s="639">
        <v>64.285714285714292</v>
      </c>
      <c r="Q30" s="639">
        <v>0</v>
      </c>
      <c r="R30" s="639">
        <v>0</v>
      </c>
      <c r="S30" s="639">
        <v>0</v>
      </c>
      <c r="T30" s="639">
        <v>0</v>
      </c>
      <c r="U30" s="639">
        <v>0</v>
      </c>
      <c r="V30" s="639">
        <v>0</v>
      </c>
      <c r="W30" s="639">
        <v>0</v>
      </c>
      <c r="X30" s="639">
        <v>1600</v>
      </c>
      <c r="Y30" s="639" t="s">
        <v>49</v>
      </c>
      <c r="Z30" s="641" t="s">
        <v>155</v>
      </c>
    </row>
    <row r="31" spans="1:26" s="593" customFormat="1" ht="25.5">
      <c r="A31" s="592"/>
      <c r="B31" s="791">
        <v>11056</v>
      </c>
      <c r="C31" s="791">
        <v>2070</v>
      </c>
      <c r="D31" s="640" t="s">
        <v>901</v>
      </c>
      <c r="E31" s="639"/>
      <c r="F31" s="639" t="s">
        <v>902</v>
      </c>
      <c r="G31" s="639" t="s">
        <v>903</v>
      </c>
      <c r="H31" s="639" t="s">
        <v>892</v>
      </c>
      <c r="I31" s="639" t="s">
        <v>904</v>
      </c>
      <c r="J31" s="790">
        <v>43059</v>
      </c>
      <c r="K31" s="790">
        <v>43059</v>
      </c>
      <c r="L31" s="639" t="s">
        <v>905</v>
      </c>
      <c r="M31" s="639">
        <v>2004</v>
      </c>
      <c r="N31" s="639">
        <v>751.5</v>
      </c>
      <c r="O31" s="639">
        <v>1073.5714285714287</v>
      </c>
      <c r="P31" s="639">
        <v>2147.1428571428573</v>
      </c>
      <c r="Q31" s="639">
        <v>0</v>
      </c>
      <c r="R31" s="639">
        <v>0</v>
      </c>
      <c r="S31" s="639">
        <v>0</v>
      </c>
      <c r="T31" s="639">
        <v>0</v>
      </c>
      <c r="U31" s="639">
        <v>0</v>
      </c>
      <c r="V31" s="639">
        <v>0</v>
      </c>
      <c r="W31" s="639">
        <v>0</v>
      </c>
      <c r="X31" s="639">
        <v>10</v>
      </c>
      <c r="Y31" s="639" t="s">
        <v>111</v>
      </c>
      <c r="Z31" s="641" t="s">
        <v>111</v>
      </c>
    </row>
    <row r="32" spans="1:26" s="573" customFormat="1">
      <c r="A32" s="595" t="s">
        <v>279</v>
      </c>
      <c r="B32" s="596"/>
      <c r="C32" s="596"/>
      <c r="D32" s="596"/>
      <c r="E32" s="596"/>
      <c r="F32" s="596"/>
      <c r="G32" s="596"/>
      <c r="H32" s="596"/>
      <c r="I32" s="596"/>
      <c r="J32" s="596"/>
      <c r="K32" s="596"/>
      <c r="L32" s="597"/>
      <c r="M32" s="597">
        <f>SUM(M28:M31)</f>
        <v>8876</v>
      </c>
      <c r="N32" s="597">
        <f>SUM(N28:N31)</f>
        <v>31675.5</v>
      </c>
      <c r="O32" s="597">
        <f>SUM(O28:O31)</f>
        <v>45250.714285714283</v>
      </c>
      <c r="P32" s="597">
        <f>SUM(P28:P31)</f>
        <v>90501.428571428565</v>
      </c>
      <c r="Q32" s="597">
        <f>SUM(Q28:Q31)</f>
        <v>0</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5</v>
      </c>
      <c r="N34" s="597">
        <f ca="1">SUMIF($Z$28:AD31,"tertiair",N28:N31)</f>
        <v>22.5</v>
      </c>
      <c r="O34" s="597">
        <f ca="1">SUMIF($Z$28:AE31,"tertiair",O28:O31)</f>
        <v>32.142857142857146</v>
      </c>
      <c r="P34" s="597">
        <f ca="1">SUMIF($Z$28:AF31,"tertiair",P28:P31)</f>
        <v>64.285714285714292</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8871</v>
      </c>
      <c r="N35" s="602">
        <f>SUMIF($Z$28:$Z$31,"landbouw",N28:N31)</f>
        <v>31653</v>
      </c>
      <c r="O35" s="602">
        <f>SUMIF($Z$28:$Z$31,"landbouw",O28:O31)</f>
        <v>45218.571428571428</v>
      </c>
      <c r="P35" s="602">
        <f>SUMIF($Z$28:$Z$31,"landbouw",P28:P31)</f>
        <v>90437.142857142855</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91"/>
      <c r="C38" s="791"/>
      <c r="D38" s="642"/>
      <c r="E38" s="642"/>
      <c r="F38" s="642"/>
      <c r="G38" s="642"/>
      <c r="H38" s="642"/>
      <c r="I38" s="642"/>
      <c r="J38" s="790"/>
      <c r="K38" s="790"/>
      <c r="L38" s="642"/>
      <c r="M38" s="642"/>
      <c r="N38" s="642"/>
      <c r="O38" s="642"/>
      <c r="P38" s="642"/>
      <c r="Q38" s="642"/>
      <c r="R38" s="642"/>
      <c r="S38" s="642"/>
      <c r="T38" s="642"/>
      <c r="U38" s="642"/>
      <c r="V38" s="642"/>
      <c r="W38" s="642"/>
      <c r="X38" s="642"/>
      <c r="Y38" s="642"/>
      <c r="Z38" s="643"/>
    </row>
    <row r="39" spans="1:27" s="573"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0.58823529411764697</v>
      </c>
      <c r="C48" s="622">
        <f>IF(ISERROR(N32/(O32+N32)),0,N32/(N32+O32))</f>
        <v>0.41176470588235292</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37265.294117647056</v>
      </c>
      <c r="C51" s="631">
        <f t="shared" si="2"/>
        <v>0</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53236.134453781502</v>
      </c>
      <c r="C52" s="634">
        <f t="shared" si="3"/>
        <v>0</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31279.304061048148</v>
      </c>
      <c r="C4" s="452">
        <f>huishoudens!C8</f>
        <v>0</v>
      </c>
      <c r="D4" s="452">
        <f>huishoudens!D8</f>
        <v>86726.424906660002</v>
      </c>
      <c r="E4" s="452">
        <f>huishoudens!E8</f>
        <v>925.56765451679553</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4352.8488858273249</v>
      </c>
      <c r="O4" s="452">
        <f>huishoudens!O8</f>
        <v>190.45998906115506</v>
      </c>
      <c r="P4" s="453">
        <f>huishoudens!P8</f>
        <v>179.07730823064537</v>
      </c>
      <c r="Q4" s="454">
        <f>SUM(B4:P4)</f>
        <v>123653.68280534407</v>
      </c>
    </row>
    <row r="5" spans="1:17">
      <c r="A5" s="451" t="s">
        <v>155</v>
      </c>
      <c r="B5" s="452">
        <f ca="1">tertiair!B16</f>
        <v>25327.153835000001</v>
      </c>
      <c r="C5" s="452">
        <f ca="1">tertiair!C16</f>
        <v>32.142857142857146</v>
      </c>
      <c r="D5" s="452">
        <f ca="1">tertiair!D16</f>
        <v>72182.867276496283</v>
      </c>
      <c r="E5" s="452">
        <f>tertiair!E16</f>
        <v>357.83715231722289</v>
      </c>
      <c r="F5" s="452">
        <f ca="1">tertiair!F16</f>
        <v>2879.0083438016627</v>
      </c>
      <c r="G5" s="452">
        <f>tertiair!G16</f>
        <v>0</v>
      </c>
      <c r="H5" s="452">
        <f>tertiair!H16</f>
        <v>0</v>
      </c>
      <c r="I5" s="452">
        <f>tertiair!I16</f>
        <v>0</v>
      </c>
      <c r="J5" s="452">
        <f>tertiair!J16</f>
        <v>6.8589885624924629E-2</v>
      </c>
      <c r="K5" s="452">
        <f>tertiair!K16</f>
        <v>0</v>
      </c>
      <c r="L5" s="452">
        <f ca="1">tertiair!L16</f>
        <v>0</v>
      </c>
      <c r="M5" s="452">
        <f>tertiair!M16</f>
        <v>0</v>
      </c>
      <c r="N5" s="452">
        <f ca="1">tertiair!N16</f>
        <v>2698.3893632891009</v>
      </c>
      <c r="O5" s="452">
        <f>tertiair!O16</f>
        <v>4.8972607658411542</v>
      </c>
      <c r="P5" s="453">
        <f>tertiair!P16</f>
        <v>105.07827661299004</v>
      </c>
      <c r="Q5" s="451">
        <f t="shared" ref="Q5:Q14" ca="1" si="0">SUM(B5:P5)</f>
        <v>103587.44295531158</v>
      </c>
    </row>
    <row r="6" spans="1:17">
      <c r="A6" s="451" t="s">
        <v>193</v>
      </c>
      <c r="B6" s="452">
        <f>'openbare verlichting'!B8</f>
        <v>1270.5200989999998</v>
      </c>
      <c r="C6" s="452"/>
      <c r="D6" s="452"/>
      <c r="E6" s="452"/>
      <c r="F6" s="452"/>
      <c r="G6" s="452"/>
      <c r="H6" s="452"/>
      <c r="I6" s="452"/>
      <c r="J6" s="452"/>
      <c r="K6" s="452"/>
      <c r="L6" s="452"/>
      <c r="M6" s="452"/>
      <c r="N6" s="452"/>
      <c r="O6" s="452"/>
      <c r="P6" s="453"/>
      <c r="Q6" s="451">
        <f t="shared" si="0"/>
        <v>1270.5200989999998</v>
      </c>
    </row>
    <row r="7" spans="1:17">
      <c r="A7" s="451" t="s">
        <v>111</v>
      </c>
      <c r="B7" s="452">
        <f>landbouw!B8</f>
        <v>1279.1660160000001</v>
      </c>
      <c r="C7" s="452">
        <f>landbouw!C8</f>
        <v>45218.571428571428</v>
      </c>
      <c r="D7" s="452">
        <f>landbouw!D8</f>
        <v>0</v>
      </c>
      <c r="E7" s="452">
        <f>landbouw!E8</f>
        <v>39.92234954244659</v>
      </c>
      <c r="F7" s="452">
        <f>landbouw!F8</f>
        <v>4520.7144027326949</v>
      </c>
      <c r="G7" s="452">
        <f>landbouw!G8</f>
        <v>0</v>
      </c>
      <c r="H7" s="452">
        <f>landbouw!H8</f>
        <v>0</v>
      </c>
      <c r="I7" s="452">
        <f>landbouw!I8</f>
        <v>0</v>
      </c>
      <c r="J7" s="452">
        <f>landbouw!J8</f>
        <v>352.41910834657659</v>
      </c>
      <c r="K7" s="452">
        <f>landbouw!K8</f>
        <v>0</v>
      </c>
      <c r="L7" s="452">
        <f>landbouw!L8</f>
        <v>0</v>
      </c>
      <c r="M7" s="452">
        <f>landbouw!M8</f>
        <v>0</v>
      </c>
      <c r="N7" s="452">
        <f>landbouw!N8</f>
        <v>0</v>
      </c>
      <c r="O7" s="452">
        <f>landbouw!O8</f>
        <v>0</v>
      </c>
      <c r="P7" s="453">
        <f>landbouw!P8</f>
        <v>0</v>
      </c>
      <c r="Q7" s="451">
        <f t="shared" si="0"/>
        <v>51410.793305193147</v>
      </c>
    </row>
    <row r="8" spans="1:17">
      <c r="A8" s="451" t="s">
        <v>625</v>
      </c>
      <c r="B8" s="452">
        <f>industrie!B18</f>
        <v>40197.332533000001</v>
      </c>
      <c r="C8" s="452">
        <f>industrie!C18</f>
        <v>0</v>
      </c>
      <c r="D8" s="452">
        <f>industrie!D18</f>
        <v>11296.187370247999</v>
      </c>
      <c r="E8" s="452">
        <f>industrie!E18</f>
        <v>2236.5753749543301</v>
      </c>
      <c r="F8" s="452">
        <f>industrie!F18</f>
        <v>8160.8547510401022</v>
      </c>
      <c r="G8" s="452">
        <f>industrie!G18</f>
        <v>0</v>
      </c>
      <c r="H8" s="452">
        <f>industrie!H18</f>
        <v>0</v>
      </c>
      <c r="I8" s="452">
        <f>industrie!I18</f>
        <v>0</v>
      </c>
      <c r="J8" s="452">
        <f>industrie!J18</f>
        <v>300.30516588417834</v>
      </c>
      <c r="K8" s="452">
        <f>industrie!K18</f>
        <v>0</v>
      </c>
      <c r="L8" s="452">
        <f>industrie!L18</f>
        <v>0</v>
      </c>
      <c r="M8" s="452">
        <f>industrie!M18</f>
        <v>0</v>
      </c>
      <c r="N8" s="452">
        <f>industrie!N18</f>
        <v>1602.1903925911315</v>
      </c>
      <c r="O8" s="452">
        <f>industrie!O18</f>
        <v>0</v>
      </c>
      <c r="P8" s="453">
        <f>industrie!P18</f>
        <v>0</v>
      </c>
      <c r="Q8" s="451">
        <f t="shared" si="0"/>
        <v>63793.445587717746</v>
      </c>
    </row>
    <row r="9" spans="1:17" s="457" customFormat="1">
      <c r="A9" s="455" t="s">
        <v>551</v>
      </c>
      <c r="B9" s="456">
        <f>transport!B14</f>
        <v>93.967147322043161</v>
      </c>
      <c r="C9" s="456">
        <f>transport!C14</f>
        <v>0</v>
      </c>
      <c r="D9" s="456">
        <f>transport!D14</f>
        <v>318.58709502300491</v>
      </c>
      <c r="E9" s="456">
        <f>transport!E14</f>
        <v>316.23279548056684</v>
      </c>
      <c r="F9" s="456">
        <f>transport!F14</f>
        <v>0</v>
      </c>
      <c r="G9" s="456">
        <f>transport!G14</f>
        <v>192653.38931263651</v>
      </c>
      <c r="H9" s="456">
        <f>transport!H14</f>
        <v>30665.104083418188</v>
      </c>
      <c r="I9" s="456">
        <f>transport!I14</f>
        <v>0</v>
      </c>
      <c r="J9" s="456">
        <f>transport!J14</f>
        <v>0</v>
      </c>
      <c r="K9" s="456">
        <f>transport!K14</f>
        <v>0</v>
      </c>
      <c r="L9" s="456">
        <f>transport!L14</f>
        <v>0</v>
      </c>
      <c r="M9" s="456">
        <f>transport!M14</f>
        <v>13135.212740981964</v>
      </c>
      <c r="N9" s="456">
        <f>transport!N14</f>
        <v>0</v>
      </c>
      <c r="O9" s="456">
        <f>transport!O14</f>
        <v>0</v>
      </c>
      <c r="P9" s="456">
        <f>transport!P14</f>
        <v>0</v>
      </c>
      <c r="Q9" s="455">
        <f>SUM(B9:P9)</f>
        <v>237182.49317486226</v>
      </c>
    </row>
    <row r="10" spans="1:17">
      <c r="A10" s="451" t="s">
        <v>541</v>
      </c>
      <c r="B10" s="452">
        <f>transport!B54</f>
        <v>1212.2756999999999</v>
      </c>
      <c r="C10" s="452">
        <f>transport!C54</f>
        <v>0</v>
      </c>
      <c r="D10" s="452">
        <f>transport!D54</f>
        <v>0</v>
      </c>
      <c r="E10" s="452">
        <f>transport!E54</f>
        <v>0</v>
      </c>
      <c r="F10" s="452">
        <f>transport!F54</f>
        <v>0</v>
      </c>
      <c r="G10" s="452">
        <f>transport!G54</f>
        <v>1004.5492425021374</v>
      </c>
      <c r="H10" s="452">
        <f>transport!H54</f>
        <v>0</v>
      </c>
      <c r="I10" s="452">
        <f>transport!I54</f>
        <v>0</v>
      </c>
      <c r="J10" s="452">
        <f>transport!J54</f>
        <v>0</v>
      </c>
      <c r="K10" s="452">
        <f>transport!K54</f>
        <v>0</v>
      </c>
      <c r="L10" s="452">
        <f>transport!L54</f>
        <v>0</v>
      </c>
      <c r="M10" s="452">
        <f>transport!M54</f>
        <v>55.824173866572998</v>
      </c>
      <c r="N10" s="452">
        <f>transport!N54</f>
        <v>0</v>
      </c>
      <c r="O10" s="452">
        <f>transport!O54</f>
        <v>0</v>
      </c>
      <c r="P10" s="453">
        <f>transport!P54</f>
        <v>0</v>
      </c>
      <c r="Q10" s="451">
        <f t="shared" si="0"/>
        <v>2272.6491163687101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785.72226999999998</v>
      </c>
      <c r="C14" s="459"/>
      <c r="D14" s="459">
        <f>'SEAP template'!E25</f>
        <v>2076.0823789999999</v>
      </c>
      <c r="E14" s="459"/>
      <c r="F14" s="459"/>
      <c r="G14" s="459"/>
      <c r="H14" s="459"/>
      <c r="I14" s="459"/>
      <c r="J14" s="459"/>
      <c r="K14" s="459"/>
      <c r="L14" s="459"/>
      <c r="M14" s="459"/>
      <c r="N14" s="459"/>
      <c r="O14" s="459"/>
      <c r="P14" s="460"/>
      <c r="Q14" s="451">
        <f t="shared" si="0"/>
        <v>2861.8046489999997</v>
      </c>
    </row>
    <row r="15" spans="1:17" s="463" customFormat="1">
      <c r="A15" s="461" t="s">
        <v>545</v>
      </c>
      <c r="B15" s="462">
        <f ca="1">SUM(B4:B14)</f>
        <v>101445.44166137018</v>
      </c>
      <c r="C15" s="462">
        <f t="shared" ref="C15:Q15" ca="1" si="1">SUM(C4:C14)</f>
        <v>45250.714285714283</v>
      </c>
      <c r="D15" s="462">
        <f t="shared" ca="1" si="1"/>
        <v>172600.14902742731</v>
      </c>
      <c r="E15" s="462">
        <f t="shared" si="1"/>
        <v>3876.1353268113621</v>
      </c>
      <c r="F15" s="462">
        <f t="shared" ca="1" si="1"/>
        <v>15560.577497574461</v>
      </c>
      <c r="G15" s="462">
        <f t="shared" si="1"/>
        <v>193657.93855513865</v>
      </c>
      <c r="H15" s="462">
        <f t="shared" si="1"/>
        <v>30665.104083418188</v>
      </c>
      <c r="I15" s="462">
        <f t="shared" si="1"/>
        <v>0</v>
      </c>
      <c r="J15" s="462">
        <f t="shared" si="1"/>
        <v>652.79286411637986</v>
      </c>
      <c r="K15" s="462">
        <f t="shared" si="1"/>
        <v>0</v>
      </c>
      <c r="L15" s="462">
        <f t="shared" ca="1" si="1"/>
        <v>0</v>
      </c>
      <c r="M15" s="462">
        <f t="shared" si="1"/>
        <v>13191.036914848537</v>
      </c>
      <c r="N15" s="462">
        <f t="shared" ca="1" si="1"/>
        <v>8653.4286417075582</v>
      </c>
      <c r="O15" s="462">
        <f t="shared" si="1"/>
        <v>195.35724982699622</v>
      </c>
      <c r="P15" s="462">
        <f t="shared" si="1"/>
        <v>284.15558484363544</v>
      </c>
      <c r="Q15" s="462">
        <f t="shared" ca="1" si="1"/>
        <v>586032.8316927976</v>
      </c>
    </row>
    <row r="17" spans="1:17">
      <c r="A17" s="464" t="s">
        <v>546</v>
      </c>
      <c r="B17" s="781">
        <f ca="1">huishoudens!B10</f>
        <v>0.21480497224763553</v>
      </c>
      <c r="C17" s="781">
        <f ca="1">huishoudens!C10</f>
        <v>0.23764705882352938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6718.9500407588012</v>
      </c>
      <c r="C22" s="452">
        <f t="shared" ref="C22:C32" ca="1" si="3">C4*$C$17</f>
        <v>0</v>
      </c>
      <c r="D22" s="452">
        <f t="shared" ref="D22:D32" si="4">D4*$D$17</f>
        <v>17518.737831145321</v>
      </c>
      <c r="E22" s="452">
        <f t="shared" ref="E22:E32" si="5">E4*$E$17</f>
        <v>210.10385757531259</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24447.791729479435</v>
      </c>
    </row>
    <row r="23" spans="1:17">
      <c r="A23" s="451" t="s">
        <v>155</v>
      </c>
      <c r="B23" s="452">
        <f t="shared" ca="1" si="2"/>
        <v>5440.3985766387714</v>
      </c>
      <c r="C23" s="452">
        <f t="shared" ca="1" si="3"/>
        <v>7.6386554621848735</v>
      </c>
      <c r="D23" s="452">
        <f t="shared" ca="1" si="4"/>
        <v>14580.93918985225</v>
      </c>
      <c r="E23" s="452">
        <f t="shared" si="5"/>
        <v>81.229033576009599</v>
      </c>
      <c r="F23" s="452">
        <f t="shared" ca="1" si="6"/>
        <v>768.69522779504393</v>
      </c>
      <c r="G23" s="452">
        <f t="shared" si="7"/>
        <v>0</v>
      </c>
      <c r="H23" s="452">
        <f t="shared" si="8"/>
        <v>0</v>
      </c>
      <c r="I23" s="452">
        <f t="shared" si="9"/>
        <v>0</v>
      </c>
      <c r="J23" s="452">
        <f t="shared" si="10"/>
        <v>2.4280819511223316E-2</v>
      </c>
      <c r="K23" s="452">
        <f t="shared" si="11"/>
        <v>0</v>
      </c>
      <c r="L23" s="452">
        <f t="shared" ca="1" si="12"/>
        <v>0</v>
      </c>
      <c r="M23" s="452">
        <f t="shared" si="13"/>
        <v>0</v>
      </c>
      <c r="N23" s="452">
        <f t="shared" ca="1" si="14"/>
        <v>0</v>
      </c>
      <c r="O23" s="452">
        <f t="shared" si="15"/>
        <v>0</v>
      </c>
      <c r="P23" s="453">
        <f t="shared" si="16"/>
        <v>0</v>
      </c>
      <c r="Q23" s="451">
        <f t="shared" ref="Q23:Q31" ca="1" si="17">SUM(B23:P23)</f>
        <v>20878.924964143771</v>
      </c>
    </row>
    <row r="24" spans="1:17">
      <c r="A24" s="451" t="s">
        <v>193</v>
      </c>
      <c r="B24" s="452">
        <f t="shared" ca="1" si="2"/>
        <v>272.9140346057581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272.9140346057581</v>
      </c>
    </row>
    <row r="25" spans="1:17">
      <c r="A25" s="451" t="s">
        <v>111</v>
      </c>
      <c r="B25" s="452">
        <f t="shared" ca="1" si="2"/>
        <v>274.77122056699852</v>
      </c>
      <c r="C25" s="452">
        <f t="shared" ca="1" si="3"/>
        <v>10746.06050420168</v>
      </c>
      <c r="D25" s="452">
        <f t="shared" si="4"/>
        <v>0</v>
      </c>
      <c r="E25" s="452">
        <f t="shared" si="5"/>
        <v>9.0623733461353755</v>
      </c>
      <c r="F25" s="452">
        <f t="shared" si="6"/>
        <v>1207.0307455296297</v>
      </c>
      <c r="G25" s="452">
        <f t="shared" si="7"/>
        <v>0</v>
      </c>
      <c r="H25" s="452">
        <f t="shared" si="8"/>
        <v>0</v>
      </c>
      <c r="I25" s="452">
        <f t="shared" si="9"/>
        <v>0</v>
      </c>
      <c r="J25" s="452">
        <f t="shared" si="10"/>
        <v>124.7563643546881</v>
      </c>
      <c r="K25" s="452">
        <f t="shared" si="11"/>
        <v>0</v>
      </c>
      <c r="L25" s="452">
        <f t="shared" si="12"/>
        <v>0</v>
      </c>
      <c r="M25" s="452">
        <f t="shared" si="13"/>
        <v>0</v>
      </c>
      <c r="N25" s="452">
        <f t="shared" si="14"/>
        <v>0</v>
      </c>
      <c r="O25" s="452">
        <f t="shared" si="15"/>
        <v>0</v>
      </c>
      <c r="P25" s="453">
        <f t="shared" si="16"/>
        <v>0</v>
      </c>
      <c r="Q25" s="451">
        <f t="shared" ca="1" si="17"/>
        <v>12361.68120799913</v>
      </c>
    </row>
    <row r="26" spans="1:17">
      <c r="A26" s="451" t="s">
        <v>625</v>
      </c>
      <c r="B26" s="452">
        <f t="shared" ca="1" si="2"/>
        <v>8634.5868991800417</v>
      </c>
      <c r="C26" s="452">
        <f t="shared" ca="1" si="3"/>
        <v>0</v>
      </c>
      <c r="D26" s="452">
        <f t="shared" si="4"/>
        <v>2281.8298487900961</v>
      </c>
      <c r="E26" s="452">
        <f t="shared" si="5"/>
        <v>507.70261011463293</v>
      </c>
      <c r="F26" s="452">
        <f t="shared" si="6"/>
        <v>2178.9482185277075</v>
      </c>
      <c r="G26" s="452">
        <f t="shared" si="7"/>
        <v>0</v>
      </c>
      <c r="H26" s="452">
        <f t="shared" si="8"/>
        <v>0</v>
      </c>
      <c r="I26" s="452">
        <f t="shared" si="9"/>
        <v>0</v>
      </c>
      <c r="J26" s="452">
        <f t="shared" si="10"/>
        <v>106.30802872299913</v>
      </c>
      <c r="K26" s="452">
        <f t="shared" si="11"/>
        <v>0</v>
      </c>
      <c r="L26" s="452">
        <f t="shared" si="12"/>
        <v>0</v>
      </c>
      <c r="M26" s="452">
        <f t="shared" si="13"/>
        <v>0</v>
      </c>
      <c r="N26" s="452">
        <f t="shared" si="14"/>
        <v>0</v>
      </c>
      <c r="O26" s="452">
        <f t="shared" si="15"/>
        <v>0</v>
      </c>
      <c r="P26" s="453">
        <f t="shared" si="16"/>
        <v>0</v>
      </c>
      <c r="Q26" s="451">
        <f t="shared" ca="1" si="17"/>
        <v>13709.375605335475</v>
      </c>
    </row>
    <row r="27" spans="1:17" s="457" customFormat="1">
      <c r="A27" s="455" t="s">
        <v>551</v>
      </c>
      <c r="B27" s="775">
        <f t="shared" ca="1" si="2"/>
        <v>20.18461047270096</v>
      </c>
      <c r="C27" s="456">
        <f t="shared" ca="1" si="3"/>
        <v>0</v>
      </c>
      <c r="D27" s="456">
        <f t="shared" si="4"/>
        <v>64.354593194646995</v>
      </c>
      <c r="E27" s="456">
        <f t="shared" si="5"/>
        <v>71.78484457408868</v>
      </c>
      <c r="F27" s="456">
        <f t="shared" si="6"/>
        <v>0</v>
      </c>
      <c r="G27" s="456">
        <f t="shared" si="7"/>
        <v>51438.454946473954</v>
      </c>
      <c r="H27" s="456">
        <f t="shared" si="8"/>
        <v>7635.6109167711284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59230.389911486513</v>
      </c>
    </row>
    <row r="28" spans="1:17" ht="16.5" customHeight="1">
      <c r="A28" s="451" t="s">
        <v>541</v>
      </c>
      <c r="B28" s="452">
        <f t="shared" ca="1" si="2"/>
        <v>260.40284809498291</v>
      </c>
      <c r="C28" s="452">
        <f t="shared" ca="1" si="3"/>
        <v>0</v>
      </c>
      <c r="D28" s="452">
        <f t="shared" si="4"/>
        <v>0</v>
      </c>
      <c r="E28" s="452">
        <f t="shared" si="5"/>
        <v>0</v>
      </c>
      <c r="F28" s="452">
        <f t="shared" si="6"/>
        <v>0</v>
      </c>
      <c r="G28" s="452">
        <f t="shared" si="7"/>
        <v>268.21464774807072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528.61749584305358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168.7770504016992</v>
      </c>
      <c r="C32" s="452">
        <f t="shared" ca="1" si="3"/>
        <v>0</v>
      </c>
      <c r="D32" s="452">
        <f t="shared" si="4"/>
        <v>419.36864055800004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588.14569095969921</v>
      </c>
    </row>
    <row r="33" spans="1:17" s="463" customFormat="1">
      <c r="A33" s="461" t="s">
        <v>545</v>
      </c>
      <c r="B33" s="462">
        <f ca="1">SUM(B22:B32)</f>
        <v>21790.985280719753</v>
      </c>
      <c r="C33" s="462">
        <f t="shared" ref="C33:Q33" ca="1" si="19">SUM(C22:C32)</f>
        <v>10753.699159663864</v>
      </c>
      <c r="D33" s="462">
        <f t="shared" ca="1" si="19"/>
        <v>34865.230103540322</v>
      </c>
      <c r="E33" s="462">
        <f t="shared" si="19"/>
        <v>879.88271918617909</v>
      </c>
      <c r="F33" s="462">
        <f t="shared" ca="1" si="19"/>
        <v>4154.6741918523812</v>
      </c>
      <c r="G33" s="462">
        <f t="shared" si="19"/>
        <v>51706.669594222025</v>
      </c>
      <c r="H33" s="462">
        <f t="shared" si="19"/>
        <v>7635.6109167711284</v>
      </c>
      <c r="I33" s="462">
        <f t="shared" si="19"/>
        <v>0</v>
      </c>
      <c r="J33" s="462">
        <f t="shared" si="19"/>
        <v>231.08867389719845</v>
      </c>
      <c r="K33" s="462">
        <f t="shared" si="19"/>
        <v>0</v>
      </c>
      <c r="L33" s="462">
        <f t="shared" ca="1" si="19"/>
        <v>0</v>
      </c>
      <c r="M33" s="462">
        <f t="shared" si="19"/>
        <v>0</v>
      </c>
      <c r="N33" s="462">
        <f t="shared" ca="1" si="19"/>
        <v>0</v>
      </c>
      <c r="O33" s="462">
        <f t="shared" si="19"/>
        <v>0</v>
      </c>
      <c r="P33" s="462">
        <f t="shared" si="19"/>
        <v>0</v>
      </c>
      <c r="Q33" s="462">
        <f t="shared" ca="1" si="19"/>
        <v>132017.84063985286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5229.6888606686134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31675.5</v>
      </c>
      <c r="D8" s="1029">
        <f>'SEAP template'!D76</f>
        <v>37265.294117647056</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7527.5894117647058</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5229.6888606686134</v>
      </c>
      <c r="C10" s="1031">
        <f>SUM(C4:C9)</f>
        <v>31675.5</v>
      </c>
      <c r="D10" s="1031">
        <f t="shared" ref="D10:H10" si="0">SUM(D8:D9)</f>
        <v>37265.294117647056</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7527.5894117647058</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0.21480497224763553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45250.714285714283</v>
      </c>
      <c r="D17" s="1030">
        <f>'SEAP template'!D87</f>
        <v>53236.134453781502</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10753.699159663864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45250.714285714283</v>
      </c>
      <c r="D20" s="1031">
        <f t="shared" ref="D20:H20" si="2">SUM(D17:D19)</f>
        <v>53236.134453781502</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10753.699159663864</v>
      </c>
    </row>
    <row r="21" spans="1:16">
      <c r="B21" s="887"/>
    </row>
    <row r="22" spans="1:16">
      <c r="A22" s="464" t="s">
        <v>797</v>
      </c>
      <c r="B22" s="781" t="s">
        <v>795</v>
      </c>
      <c r="C22" s="781">
        <f ca="1">'EF ele_warmte'!B22</f>
        <v>0.23764705882352938</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0.21480497224763553</v>
      </c>
      <c r="C17" s="501">
        <f ca="1">'EF ele_warmte'!B22</f>
        <v>0.23764705882352938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2020-06-20T15:28:35Z</dcterms:modified>
</cp:coreProperties>
</file>