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C20" i="16"/>
  <c r="C22" i="16" s="1"/>
  <c r="D43" i="14" s="1"/>
  <c r="C17" i="49"/>
  <c r="C22" i="59"/>
  <c r="C29" i="20"/>
  <c r="C17" i="19"/>
  <c r="C19" i="19" s="1"/>
  <c r="D39" i="14" s="1"/>
  <c r="C18" i="15"/>
  <c r="C20" i="15" s="1"/>
  <c r="D40"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<sst xmlns="http://schemas.openxmlformats.org/spreadsheetml/2006/main" count="2429" uniqueCount="901">
  <si>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</si>
  <si>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</si>
  <si>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</si>
  <si>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</si>
  <si>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</si>
  <si>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</si>
  <si>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</si>
  <si>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</si>
  <si>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</si>
  <si>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</si>
  <si>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</si>
  <si>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</si>
  <si>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</si>
  <si>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</si>
  <si>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</si>
  <si>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</si>
  <si>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</si>
  <si>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</si>
  <si>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</si>
  <si>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</si>
  <si>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</si>
  <si>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</si>
  <si>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</si>
  <si>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</si>
  <si>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</si>
  <si>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</si>
  <si>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</si>
  <si>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</si>
  <si>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</si>
  <si>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</si>
  <si>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</si>
  <si>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</si>
  <si>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</si>
  <si>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</si>
  <si>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</si>
  <si>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</si>
  <si>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</si>
  <si>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</si>
  <si>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</si>
  <si>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</si>
  <si>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</si>
  <si>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</si>
  <si>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</si>
  <si>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</si>
  <si>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</si>
  <si>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</si>
  <si>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</si>
  <si>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</si>
  <si>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</si>
  <si>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</si>
  <si>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</si>
  <si>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</si>
  <si>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</si>
  <si>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</si>
  <si>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</si>
  <si>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</si>
  <si>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</si>
  <si>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</si>
  <si>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</si>
  <si>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</si>
  <si>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</si>
  <si>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</si>
  <si>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</si>
  <si>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</si>
  <si>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</si>
  <si>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</si>
  <si>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</si>
  <si>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</si>
  <si>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</si>
  <si>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</si>
  <si>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</si>
  <si>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</si>
  <si>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</si>
  <si>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</si>
  <si>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</si>
  <si>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</si>
  <si>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</si>
  <si>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</si>
  <si>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</si>
  <si>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</si>
  <si>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</si>
  <si>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</si>
  <si>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</si>
  <si>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</si>
  <si>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</si>
  <si>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</si>
  <si>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</si>
  <si>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</si>
  <si>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</si>
  <si>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</si>
  <si>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</si>
  <si>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</si>
  <si>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</si>
  <si>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</si>
  <si>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</si>
  <si>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</si>
  <si>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</si>
  <si>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</si>
  <si>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</si>
  <si>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</si>
  <si>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</si>
  <si>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</si>
  <si>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</si>
  <si>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</si>
  <si>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</si>
  <si>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</si>
  <si>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</si>
  <si>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</si>
  <si>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</si>
  <si>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</si>
  <si>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</si>
  <si>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</si>
  <si>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</si>
  <si>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</si>
  <si>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</si>
  <si>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</si>
  <si>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</si>
  <si>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</si>
  <si>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</si>
  <si>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</si>
  <si>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</si>
  <si>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</si>
  <si>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</si>
  <si>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</si>
  <si>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</si>
  <si>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</si>
  <si>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</si>
  <si>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</si>
  <si>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</si>
  <si>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</si>
  <si>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</si>
  <si>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</si>
  <si>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</si>
  <si>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</si>
  <si>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</si>
  <si>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</si>
  <si>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</si>
  <si>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</si>
  <si>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</si>
  <si>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</si>
  <si>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</si>
  <si>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</si>
  <si>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</si>
  <si>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</si>
  <si>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</si>
  <si>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</si>
  <si>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</si>
  <si>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</si>
  <si>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</si>
  <si>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</si>
  <si>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</si>
  <si>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</si>
  <si>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</si>
  <si>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</si>
  <si>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</si>
  <si>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</si>
  <si>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</si>
  <si>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</si>
  <si>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</si>
  <si>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</si>
  <si>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</si>
  <si>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</si>
  <si>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</si>
  <si>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</si>
  <si>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</si>
  <si>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</si>
  <si>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</si>
  <si>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</si>
  <si>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</si>
  <si>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</si>
  <si>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</si>
  <si>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</si>
  <si>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</si>
  <si>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</si>
  <si>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</si>
  <si>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</si>
  <si>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</si>
  <si>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</si>
  <si>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</si>
  <si>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</si>
  <si>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</si>
  <si>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</si>
  <si>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</si>
  <si>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</si>
  <si>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</si>
  <si>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</si>
  <si>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</si>
  <si>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</si>
  <si>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</si>
  <si>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</si>
  <si>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</si>
  <si>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</si>
  <si>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</si>
  <si>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</si>
  <si>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</si>
  <si>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</si>
  <si>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</si>
  <si>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</si>
  <si>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</si>
  <si>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</si>
  <si>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</si>
  <si>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</si>
  <si>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</si>
  <si>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</si>
  <si>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</si>
  <si>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</si>
  <si>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</si>
  <si>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</si>
  <si>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</si>
  <si>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</si>
  <si>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</si>
  <si>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</si>
  <si>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</si>
  <si>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</si>
  <si>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</si>
  <si>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</si>
  <si>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</si>
  <si>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</si>
  <si>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</si>
  <si>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</si>
  <si>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</si>
  <si>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</si>
  <si>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</si>
  <si>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</si>
  <si>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</si>
  <si>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</si>
  <si>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</si>
  <si>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</si>
  <si>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</si>
  <si>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</si>
  <si>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</si>
  <si>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</si>
  <si>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</si>
  <si>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</si>
  <si>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</si>
  <si>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</si>
  <si>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</si>
  <si>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</si>
  <si>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</si>
  <si>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</si>
  <si>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</si>
  <si>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</si>
  <si>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</si>
  <si>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</si>
  <si>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</si>
  <si>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</si>
  <si>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</si>
  <si>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</si>
  <si>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</si>
  <si>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</si>
  <si>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</si>
  <si>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</si>
  <si>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</si>
  <si>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</si>
  <si>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</si>
  <si>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</si>
  <si>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</si>
  <si>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</si>
  <si>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</si>
  <si>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</si>
  <si>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</si>
  <si>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</si>
  <si>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</si>
  <si>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</si>
  <si>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</si>
  <si>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</si>
  <si>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</si>
  <si>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</si>
  <si>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</si>
  <si>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</si>
  <si>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</si>
  <si>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</si>
  <si>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</si>
  <si>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</si>
  <si>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</si>
  <si>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</si>
  <si>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</si>
  <si>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</si>
  <si>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</si>
  <si>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</si>
  <si>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</si>
  <si>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</si>
  <si>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</si>
  <si>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</si>
  <si>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</si>
  <si>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</si>
  <si>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</si>
  <si>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</si>
  <si>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</si>
  <si>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</si>
  <si>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</si>
  <si>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</si>
  <si>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</si>
  <si>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</si>
  <si>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</si>
  <si>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</si>
  <si>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</si>
  <si>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</si>
  <si>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</si>
  <si>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</si>
  <si>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</si>
  <si>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</si>
  <si>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</si>
  <si>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</si>
  <si>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</si>
  <si>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</si>
  <si>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</si>
  <si>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</si>
  <si>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</si>
  <si>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</si>
  <si>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</si>
  <si>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</si>
  <si>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</si>
  <si>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</si>
  <si>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</si>
  <si>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</si>
  <si>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</si>
  <si>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</si>
  <si>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</si>
  <si>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</si>
  <si>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</si>
  <si>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</si>
  <si>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</si>
  <si>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</si>
  <si>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</si>
  <si>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</si>
  <si>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</si>
  <si>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</si>
  <si>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</si>
  <si>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</si>
  <si>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</si>
  <si>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</si>
  <si>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</si>
  <si>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</si>
  <si>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</si>
  <si>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</si>
  <si>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</si>
  <si>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</si>
  <si>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</si>
  <si>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</si>
  <si>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</si>
  <si>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</si>
  <si>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</si>
  <si>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</si>
  <si>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</si>
  <si>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</si>
  <si>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</si>
  <si>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</si>
  <si>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</si>
  <si>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</si>
  <si>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</si>
  <si>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</si>
  <si>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</si>
  <si>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</si>
  <si>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</si>
  <si>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</si>
  <si>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</si>
  <si>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</si>
  <si>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</si>
  <si>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</si>
  <si>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</si>
  <si>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</si>
  <si>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</si>
  <si>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</si>
  <si>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</si>
  <si>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</si>
  <si>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</si>
  <si>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</si>
  <si>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</si>
  <si>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</si>
  <si>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</si>
  <si>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</si>
  <si>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</si>
  <si>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</si>
  <si>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</si>
  <si>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</si>
  <si>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</si>
  <si>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</si>
  <si>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</si>
  <si>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</si>
  <si>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</si>
  <si>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</si>
  <si>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</si>
  <si>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</si>
  <si>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</si>
  <si>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</si>
  <si>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</si>
  <si>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</si>
  <si>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</si>
  <si>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</si>
  <si>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</si>
  <si>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</si>
  <si>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</si>
  <si>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</si>
  <si>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</si>
  <si>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</si>
  <si>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</si>
  <si>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</si>
  <si>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</si>
  <si>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</si>
  <si>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</si>
  <si>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</si>
  <si>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</si>
  <si>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</si>
  <si>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</si>
  <si>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</si>
  <si>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</si>
  <si>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</si>
  <si>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</si>
  <si>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</si>
  <si>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</si>
  <si>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</si>
  <si>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</si>
  <si>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</si>
  <si>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</si>
  <si>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</si>
  <si>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</si>
  <si>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</si>
  <si>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</si>
  <si>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</si>
  <si>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</si>
  <si>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</si>
  <si>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</si>
  <si>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</si>
  <si>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</si>
  <si>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</si>
  <si>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</si>
  <si>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</si>
  <si>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</si>
  <si>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</si>
  <si>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</si>
  <si>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</si>
  <si>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</si>
  <si>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</si>
  <si>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</si>
  <si>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</si>
  <si>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</si>
  <si>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</si>
  <si>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</si>
  <si>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</si>
  <si>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</si>
  <si>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</si>
  <si>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</si>
  <si>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</si>
  <si>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</si>
  <si>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</si>
  <si>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</si>
  <si>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</si>
  <si>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</si>
  <si>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</si>
  <si>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</si>
  <si>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</si>
  <si>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</si>
  <si>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</si>
  <si>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</si>
  <si>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</si>
  <si>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</si>
  <si>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</si>
  <si>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</si>
  <si>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</si>
  <si>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</si>
  <si>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</si>
  <si>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</si>
  <si>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</si>
  <si>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</si>
  <si>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</si>
  <si>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</si>
  <si>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</si>
  <si>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</si>
  <si>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</si>
  <si>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</si>
  <si>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</si>
  <si>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</si>
  <si>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</si>
  <si>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</si>
  <si>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</si>
  <si>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</si>
  <si>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</si>
  <si>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</si>
  <si>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</si>
  <si>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</si>
  <si>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</si>
  <si>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</si>
  <si>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</si>
  <si>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</si>
  <si>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</si>
  <si>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</si>
  <si>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</si>
  <si>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</si>
  <si>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</si>
  <si>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</si>
  <si>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</si>
  <si>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</si>
  <si>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</si>
  <si>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</si>
  <si>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</si>
  <si>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</si>
  <si>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</si>
  <si>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</si>
  <si>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</si>
  <si>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</si>
  <si>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</si>
  <si>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</si>
  <si>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</si>
  <si>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</si>
  <si>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</si>
  <si>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</si>
  <si>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</si>
  <si>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</si>
  <si>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</si>
  <si>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</si>
  <si>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</si>
  <si>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</si>
  <si>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</si>
  <si>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</si>
  <si>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</si>
  <si>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</si>
  <si>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</si>
  <si>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</si>
  <si>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</si>
  <si>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</si>
  <si>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</si>
  <si>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</si>
  <si>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</si>
  <si>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</si>
  <si>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</si>
  <si>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</si>
  <si>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</si>
  <si>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</si>
  <si>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</si>
  <si>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</si>
  <si>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</si>
  <si>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</si>
  <si>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</si>
  <si>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</si>
  <si>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</si>
  <si>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</si>
  <si>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</si>
  <si>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</si>
  <si>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</si>
  <si>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</si>
  <si>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</si>
  <si>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</si>
  <si>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</si>
  <si>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</si>
  <si>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</si>
  <si>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</si>
  <si>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</si>
  <si>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</si>
  <si>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</si>
  <si>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</si>
  <si>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</si>
  <si>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</si>
  <si>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</si>
  <si>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</si>
  <si>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</si>
  <si>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</si>
  <si>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</si>
  <si>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</si>
  <si>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</si>
  <si>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</si>
  <si>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</si>
  <si>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</si>
  <si>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</si>
  <si>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</si>
  <si>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</si>
  <si>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</si>
  <si>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</si>
  <si>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</si>
  <si>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</si>
  <si>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</si>
  <si>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</si>
  <si>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</si>
  <si>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</si>
  <si>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</si>
  <si>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</si>
  <si>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</si>
  <si>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</si>
  <si>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</si>
  <si>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</si>
  <si>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</si>
  <si>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</si>
  <si>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</si>
  <si>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</si>
  <si>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</si>
  <si>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</si>
  <si>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</si>
  <si>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</si>
  <si>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</si>
  <si>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</si>
  <si>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</si>
  <si>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</si>
  <si>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</si>
  <si>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</si>
  <si>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</si>
  <si>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</si>
  <si>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</si>
  <si>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</si>
  <si>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</si>
  <si>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</si>
  <si>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</si>
  <si>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</si>
  <si>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</si>
  <si>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</si>
  <si>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</si>
  <si>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</si>
  <si>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</si>
  <si>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</si>
  <si>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</si>
  <si>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</si>
  <si>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</si>
  <si>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</si>
  <si>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</si>
  <si>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</si>
  <si>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</si>
  <si>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</si>
  <si>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</si>
  <si>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</si>
  <si>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</si>
  <si>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</si>
  <si>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</si>
  <si>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</si>
  <si>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</si>
  <si>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</si>
  <si>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</si>
  <si>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</si>
  <si>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</si>
  <si>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</si>
  <si>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</si>
  <si>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</si>
  <si>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</si>
  <si>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</si>
  <si>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</si>
  <si>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</si>
  <si>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</si>
  <si>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</si>
  <si>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</si>
  <si>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</si>
  <si>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</si>
  <si>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</si>
  <si>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</si>
  <si>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</si>
  <si>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</si>
  <si>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</si>
  <si>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</si>
  <si>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</si>
  <si>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</si>
  <si>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</si>
  <si>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</si>
  <si>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</si>
  <si>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</si>
  <si>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</si>
  <si>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</si>
  <si>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</si>
  <si>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</si>
  <si>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</si>
  <si>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</si>
  <si>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</si>
  <si>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</si>
  <si>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</si>
  <si>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</si>
  <si>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</si>
  <si>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</si>
  <si>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</si>
  <si>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</si>
  <si>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</si>
  <si>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</si>
  <si>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</si>
  <si>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</si>
  <si>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</si>
  <si>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</si>
  <si>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</si>
  <si>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</si>
  <si>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</si>
  <si>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</si>
  <si>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</si>
  <si>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</si>
  <si>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</si>
  <si>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</si>
  <si>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</si>
  <si>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</si>
  <si>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</si>
  <si>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</si>
  <si>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</si>
  <si>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</si>
  <si>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</si>
  <si>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</si>
  <si>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</si>
  <si>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</si>
  <si>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</si>
  <si>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</si>
  <si>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</si>
  <si>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</si>
  <si>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</si>
  <si>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</si>
  <si>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</si>
  <si>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</si>
  <si>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</si>
  <si>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</si>
  <si>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</si>
  <si>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</si>
  <si>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</si>
  <si>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</si>
  <si>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</si>
  <si>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</si>
  <si>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</si>
  <si>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</si>
  <si>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</si>
  <si>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</si>
  <si>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</si>
  <si>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</si>
  <si>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</si>
  <si>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</si>
  <si>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</si>
  <si>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</si>
  <si>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</si>
  <si>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</si>
  <si>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</si>
  <si>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</si>
  <si>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</si>
  <si>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</si>
  <si>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</si>
  <si>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</si>
  <si>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</si>
  <si>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</si>
  <si>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</si>
  <si>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</si>
  <si>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</si>
  <si>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</si>
  <si>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</si>
  <si>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</si>
  <si>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</si>
  <si>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</si>
  <si>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</si>
  <si>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</si>
  <si>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</si>
  <si>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</si>
  <si>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</si>
  <si>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</si>
  <si>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</si>
  <si>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</si>
  <si>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</si>
  <si>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</si>
  <si>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</si>
  <si>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</si>
  <si>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</si>
  <si>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</si>
  <si>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</si>
  <si>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</si>
  <si>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</si>
  <si>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</si>
  <si>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</si>
  <si>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</si>
  <si>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</si>
  <si>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</si>
  <si>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</si>
  <si>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</si>
  <si>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</si>
  <si>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</si>
  <si>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</si>
  <si>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</si>
  <si>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</si>
  <si>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</si>
  <si>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</si>
  <si>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</si>
  <si>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</si>
  <si>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</si>
  <si>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</si>
  <si>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</si>
  <si>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</si>
  <si>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</si>
  <si>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</si>
  <si>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</si>
  <si>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</si>
  <si>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</si>
  <si>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</si>
  <si>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</si>
  <si>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</si>
  <si>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</si>
  <si>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</si>
  <si>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</si>
  <si>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</si>
  <si>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</si>
  <si>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</si>
  <si>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</si>
  <si>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</si>
  <si>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</si>
  <si>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</si>
  <si>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</si>
  <si>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</si>
  <si>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</si>
  <si>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</si>
  <si>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</si>
  <si>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</si>
  <si>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</si>
  <si>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</si>
  <si>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</si>
  <si>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</si>
  <si>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</si>
  <si>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</si>
  <si>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</si>
  <si>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</si>
  <si>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</si>
  <si>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</si>
  <si>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</si>
  <si>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</si>
  <si>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</si>
  <si>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</si>
  <si>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</si>
  <si>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</si>
  <si>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</si>
  <si>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</si>
  <si>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</si>
  <si>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</si>
  <si>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</si>
  <si>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</si>
  <si>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</si>
  <si>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</si>
  <si>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</si>
  <si>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</si>
  <si>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</si>
  <si>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</si>
  <si>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</si>
  <si>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</si>
  <si>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</si>
  <si>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</si>
  <si>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</si>
  <si>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</si>
  <si>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</si>
  <si>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</si>
  <si>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</si>
  <si>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</si>
  <si>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</si>
  <si>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</si>
  <si>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</si>
  <si>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</si>
  <si>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</si>
  <si>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</si>
  <si>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</si>
  <si>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</si>
  <si>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</si>
  <si>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</si>
  <si>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</si>
  <si>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</si>
  <si>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</si>
  <si>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</si>
  <si>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</si>
  <si>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</si>
  <si>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</si>
  <si>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</si>
  <si>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</si>
  <si>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</si>
  <si>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</si>
  <si>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</si>
  <si>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</si>
  <si>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</si>
  <si>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</si>
  <si>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</si>
  <si>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</si>
  <si>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</si>
  <si>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</si>
  <si>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</si>
  <si>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</si>
  <si>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</si>
  <si>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</si>
  <si>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</si>
  <si>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</si>
  <si>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</si>
  <si>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</si>
  <si>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</si>
  <si>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</si>
  <si>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</si>
  <si>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</si>
  <si>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</si>
  <si>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</si>
  <si>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</si>
  <si>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</si>
  <si>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</si>
  <si>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</si>
  <si>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</si>
  <si>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</si>
  <si>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</si>
  <si>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</si>
  <si>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</si>
  <si>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</si>
  <si>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11052</t>
  </si>
  <si>
    <t>WOMMELGEM</t>
  </si>
  <si>
    <t>referentietaak LNE (2017); Jaarverslag De Lijn</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</si>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</sst>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90480.681240841528</c:v>
                </c:pt>
                <c:pt idx="1">
                  <c:v>71804.742150284306</c:v>
                </c:pt>
                <c:pt idx="2">
                  <c:v>872.51599999999996</c:v>
                </c:pt>
                <c:pt idx="3">
                  <c:v>11754.546205262734</c:v>
                </c:pt>
                <c:pt idx="4">
                  <c:v>102167.95350175186</c:v>
                </c:pt>
                <c:pt idx="5">
                  <c:v>259584.04712109707</c:v>
                </c:pt>
                <c:pt idx="6">
                  <c:v>2277.0337092736786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90480.681240841528</c:v>
                </c:pt>
                <c:pt idx="1">
                  <c:v>71804.742150284306</c:v>
                </c:pt>
                <c:pt idx="2">
                  <c:v>872.51599999999996</c:v>
                </c:pt>
                <c:pt idx="3">
                  <c:v>11754.546205262734</c:v>
                </c:pt>
                <c:pt idx="4">
                  <c:v>102167.95350175186</c:v>
                </c:pt>
                <c:pt idx="5">
                  <c:v>259584.04712109707</c:v>
                </c:pt>
                <c:pt idx="6">
                  <c:v>2277.0337092736786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17243.855457326204</c:v>
                </c:pt>
                <c:pt idx="1">
                  <c:v>14680.986763987039</c:v>
                </c:pt>
                <c:pt idx="2">
                  <c:v>186.13154846165517</c:v>
                </c:pt>
                <c:pt idx="3">
                  <c:v>2830.6985105783665</c:v>
                </c:pt>
                <c:pt idx="4">
                  <c:v>22154.785438399078</c:v>
                </c:pt>
                <c:pt idx="5">
                  <c:v>64818.384136176857</c:v>
                </c:pt>
                <c:pt idx="6">
                  <c:v>575.96105750633012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17243.855457326204</c:v>
                </c:pt>
                <c:pt idx="1">
                  <c:v>14680.986763987039</c:v>
                </c:pt>
                <c:pt idx="2">
                  <c:v>186.13154846165517</c:v>
                </c:pt>
                <c:pt idx="3">
                  <c:v>2830.6985105783665</c:v>
                </c:pt>
                <c:pt idx="4">
                  <c:v>22154.785438399078</c:v>
                </c:pt>
                <c:pt idx="5">
                  <c:v>64818.384136176857</c:v>
                </c:pt>
                <c:pt idx="6">
                  <c:v>575.96105750633012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11052</v>
      </c>
      <c r="B6" s="390"/>
      <c r="C6" s="391"/>
    </row>
    <row r="7" spans="1:7" s="388" customFormat="1" ht="15.75" customHeight="1">
      <c r="A7" s="392" t="str">
        <f>txtMunicipality</f>
        <v>WOMMELGEM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0.21332737561449322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0.21332737561449322</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361.22</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v>
      </c>
      <c r="C17" s="330"/>
      <c r="D17" s="330"/>
      <c r="E17" s="330"/>
      <c r="F17" s="330"/>
    </row>
    <row r="18" spans="1:6">
      <c r="A18" s="1298" t="s">
        <v>8</v>
      </c>
      <c r="B18" s="1299">
        <v>4</v>
      </c>
      <c r="C18" s="330"/>
      <c r="D18" s="330"/>
      <c r="E18" s="330"/>
      <c r="F18" s="330"/>
    </row>
    <row r="19" spans="1:6">
      <c r="A19" s="1298" t="s">
        <v>9</v>
      </c>
      <c r="B19" s="1299">
        <v>3</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37</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49</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8427.3829999999998</v>
      </c>
      <c r="E38" s="1299">
        <v>3</v>
      </c>
      <c r="F38" s="1299">
        <v>15118.218000000001</v>
      </c>
    </row>
    <row r="39" spans="1:6">
      <c r="A39" s="1298" t="s">
        <v>29</v>
      </c>
      <c r="B39" s="1298" t="s">
        <v>30</v>
      </c>
      <c r="C39" s="1299">
        <v>4257</v>
      </c>
      <c r="D39" s="1299">
        <v>65833463.909999996</v>
      </c>
      <c r="E39" s="1299">
        <v>5176</v>
      </c>
      <c r="F39" s="1299">
        <v>18400107.010000002</v>
      </c>
    </row>
    <row r="40" spans="1:6">
      <c r="A40" s="1298" t="s">
        <v>29</v>
      </c>
      <c r="B40" s="1298" t="s">
        <v>28</v>
      </c>
      <c r="C40" s="1299">
        <v>0</v>
      </c>
      <c r="D40" s="1299">
        <v>0</v>
      </c>
      <c r="E40" s="1299">
        <v>0</v>
      </c>
      <c r="F40" s="1299">
        <v>0</v>
      </c>
    </row>
    <row r="41" spans="1:6">
      <c r="A41" s="1298" t="s">
        <v>31</v>
      </c>
      <c r="B41" s="1298" t="s">
        <v>32</v>
      </c>
      <c r="C41" s="1299">
        <v>70</v>
      </c>
      <c r="D41" s="1299">
        <v>2095600.6510000001</v>
      </c>
      <c r="E41" s="1299">
        <v>126</v>
      </c>
      <c r="F41" s="1299">
        <v>1382479.0649999999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15</v>
      </c>
      <c r="D44" s="1299">
        <v>702527.64</v>
      </c>
      <c r="E44" s="1299">
        <v>26</v>
      </c>
      <c r="F44" s="1299">
        <v>531868.12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3445454.9569999999</v>
      </c>
      <c r="E47" s="1299">
        <v>6</v>
      </c>
      <c r="F47" s="1299">
        <v>3272619.486</v>
      </c>
    </row>
    <row r="48" spans="1:6">
      <c r="A48" s="1298" t="s">
        <v>31</v>
      </c>
      <c r="B48" s="1298" t="s">
        <v>28</v>
      </c>
      <c r="C48" s="1299">
        <v>24</v>
      </c>
      <c r="D48" s="1299">
        <v>56020385.939999998</v>
      </c>
      <c r="E48" s="1299">
        <v>38</v>
      </c>
      <c r="F48" s="1299">
        <v>5870205.6169999996</v>
      </c>
    </row>
    <row r="49" spans="1:6">
      <c r="A49" s="1298" t="s">
        <v>31</v>
      </c>
      <c r="B49" s="1298" t="s">
        <v>39</v>
      </c>
      <c r="C49" s="1299">
        <v>0</v>
      </c>
      <c r="D49" s="1299">
        <v>0</v>
      </c>
      <c r="E49" s="1299">
        <v>0</v>
      </c>
      <c r="F49" s="1299">
        <v>0</v>
      </c>
    </row>
    <row r="50" spans="1:6">
      <c r="A50" s="1298" t="s">
        <v>31</v>
      </c>
      <c r="B50" s="1298" t="s">
        <v>40</v>
      </c>
      <c r="C50" s="1299">
        <v>10</v>
      </c>
      <c r="D50" s="1299">
        <v>21100208.140000001</v>
      </c>
      <c r="E50" s="1299">
        <v>12</v>
      </c>
      <c r="F50" s="1299">
        <v>18245667.09</v>
      </c>
    </row>
    <row r="51" spans="1:6">
      <c r="A51" s="1298" t="s">
        <v>41</v>
      </c>
      <c r="B51" s="1298" t="s">
        <v>42</v>
      </c>
      <c r="C51" s="1299">
        <v>0</v>
      </c>
      <c r="D51" s="1299">
        <v>0</v>
      </c>
      <c r="E51" s="1299">
        <v>10</v>
      </c>
      <c r="F51" s="1299">
        <v>300479.62699999998</v>
      </c>
    </row>
    <row r="52" spans="1:6">
      <c r="A52" s="1298" t="s">
        <v>41</v>
      </c>
      <c r="B52" s="1298" t="s">
        <v>28</v>
      </c>
      <c r="C52" s="1299">
        <v>4</v>
      </c>
      <c r="D52" s="1299">
        <v>13714263.42</v>
      </c>
      <c r="E52" s="1299">
        <v>5</v>
      </c>
      <c r="F52" s="1299">
        <v>34817.938000000002</v>
      </c>
    </row>
    <row r="53" spans="1:6">
      <c r="A53" s="1298" t="s">
        <v>43</v>
      </c>
      <c r="B53" s="1298" t="s">
        <v>44</v>
      </c>
      <c r="C53" s="1299">
        <v>125</v>
      </c>
      <c r="D53" s="1299">
        <v>2411356.7349999999</v>
      </c>
      <c r="E53" s="1299">
        <v>270</v>
      </c>
      <c r="F53" s="1299">
        <v>1413244.2320000001</v>
      </c>
    </row>
    <row r="54" spans="1:6">
      <c r="A54" s="1298" t="s">
        <v>45</v>
      </c>
      <c r="B54" s="1298" t="s">
        <v>46</v>
      </c>
      <c r="C54" s="1299">
        <v>0</v>
      </c>
      <c r="D54" s="1299">
        <v>0</v>
      </c>
      <c r="E54" s="1299">
        <v>1</v>
      </c>
      <c r="F54" s="1299">
        <v>872516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31</v>
      </c>
      <c r="D57" s="1299">
        <v>681926.24300000002</v>
      </c>
      <c r="E57" s="1299">
        <v>56</v>
      </c>
      <c r="F57" s="1299">
        <v>1851464.75</v>
      </c>
    </row>
    <row r="58" spans="1:6">
      <c r="A58" s="1298" t="s">
        <v>48</v>
      </c>
      <c r="B58" s="1298" t="s">
        <v>50</v>
      </c>
      <c r="C58" s="1299">
        <v>12</v>
      </c>
      <c r="D58" s="1299">
        <v>216872.948</v>
      </c>
      <c r="E58" s="1299">
        <v>18</v>
      </c>
      <c r="F58" s="1299">
        <v>147175.08199999999</v>
      </c>
    </row>
    <row r="59" spans="1:6">
      <c r="A59" s="1298" t="s">
        <v>48</v>
      </c>
      <c r="B59" s="1298" t="s">
        <v>51</v>
      </c>
      <c r="C59" s="1299">
        <v>148</v>
      </c>
      <c r="D59" s="1299">
        <v>9233101.2019999996</v>
      </c>
      <c r="E59" s="1299">
        <v>274</v>
      </c>
      <c r="F59" s="1299">
        <v>13289690.699999999</v>
      </c>
    </row>
    <row r="60" spans="1:6">
      <c r="A60" s="1298" t="s">
        <v>48</v>
      </c>
      <c r="B60" s="1298" t="s">
        <v>52</v>
      </c>
      <c r="C60" s="1299">
        <v>47</v>
      </c>
      <c r="D60" s="1299">
        <v>2262593.3139999998</v>
      </c>
      <c r="E60" s="1299">
        <v>56</v>
      </c>
      <c r="F60" s="1299">
        <v>1284522.308</v>
      </c>
    </row>
    <row r="61" spans="1:6">
      <c r="A61" s="1298" t="s">
        <v>48</v>
      </c>
      <c r="B61" s="1298" t="s">
        <v>53</v>
      </c>
      <c r="C61" s="1299">
        <v>135</v>
      </c>
      <c r="D61" s="1299">
        <v>8835849.3819999993</v>
      </c>
      <c r="E61" s="1299">
        <v>267</v>
      </c>
      <c r="F61" s="1299">
        <v>6154495.0350000001</v>
      </c>
    </row>
    <row r="62" spans="1:6">
      <c r="A62" s="1298" t="s">
        <v>48</v>
      </c>
      <c r="B62" s="1298" t="s">
        <v>54</v>
      </c>
      <c r="C62" s="1299">
        <v>4</v>
      </c>
      <c r="D62" s="1299">
        <v>904972.39099999995</v>
      </c>
      <c r="E62" s="1299">
        <v>4</v>
      </c>
      <c r="F62" s="1299">
        <v>123110.232</v>
      </c>
    </row>
    <row r="63" spans="1:6">
      <c r="A63" s="1298" t="s">
        <v>48</v>
      </c>
      <c r="B63" s="1298" t="s">
        <v>28</v>
      </c>
      <c r="C63" s="1299">
        <v>90</v>
      </c>
      <c r="D63" s="1299">
        <v>17434972.920000002</v>
      </c>
      <c r="E63" s="1299">
        <v>100</v>
      </c>
      <c r="F63" s="1299">
        <v>7431245.1540000001</v>
      </c>
    </row>
    <row r="64" spans="1:6">
      <c r="A64" s="1298" t="s">
        <v>55</v>
      </c>
      <c r="B64" s="1298" t="s">
        <v>56</v>
      </c>
      <c r="C64" s="1299">
        <v>0</v>
      </c>
      <c r="D64" s="1299">
        <v>0</v>
      </c>
      <c r="E64" s="1299">
        <v>0</v>
      </c>
      <c r="F64" s="1299">
        <v>0</v>
      </c>
    </row>
    <row r="65" spans="1:6">
      <c r="A65" s="1298" t="s">
        <v>55</v>
      </c>
      <c r="B65" s="1298" t="s">
        <v>28</v>
      </c>
      <c r="C65" s="1299">
        <v>1</v>
      </c>
      <c r="D65" s="1299">
        <v>43784.593000000001</v>
      </c>
      <c r="E65" s="1299">
        <v>2</v>
      </c>
      <c r="F65" s="1299">
        <v>1611</v>
      </c>
    </row>
    <row r="66" spans="1:6">
      <c r="A66" s="1298" t="s">
        <v>55</v>
      </c>
      <c r="B66" s="1298" t="s">
        <v>57</v>
      </c>
      <c r="C66" s="1299">
        <v>0</v>
      </c>
      <c r="D66" s="1299">
        <v>0</v>
      </c>
      <c r="E66" s="1299">
        <v>12</v>
      </c>
      <c r="F66" s="1299">
        <v>454764.19500000001</v>
      </c>
    </row>
    <row r="67" spans="1:6">
      <c r="A67" s="1300" t="s">
        <v>55</v>
      </c>
      <c r="B67" s="1300" t="s">
        <v>58</v>
      </c>
      <c r="C67" s="1299">
        <v>24</v>
      </c>
      <c r="D67" s="1299">
        <v>2578226.5430000001</v>
      </c>
      <c r="E67" s="1299">
        <v>50</v>
      </c>
      <c r="F67" s="1299">
        <v>846558.58700000006</v>
      </c>
    </row>
    <row r="68" spans="1:6">
      <c r="A68" s="1293" t="s">
        <v>55</v>
      </c>
      <c r="B68" s="1293" t="s">
        <v>59</v>
      </c>
      <c r="C68" s="1302">
        <v>6</v>
      </c>
      <c r="D68" s="1302">
        <v>598985.78799999994</v>
      </c>
      <c r="E68" s="1302">
        <v>19</v>
      </c>
      <c r="F68" s="1302">
        <v>317339.03499999997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34052602</v>
      </c>
      <c r="E73" s="450"/>
      <c r="F73" s="330"/>
    </row>
    <row r="74" spans="1:6">
      <c r="A74" s="1298" t="s">
        <v>63</v>
      </c>
      <c r="B74" s="1298" t="s">
        <v>647</v>
      </c>
      <c r="C74" s="1312" t="s">
        <v>649</v>
      </c>
      <c r="D74" s="1313">
        <v>3389733</v>
      </c>
      <c r="E74" s="450"/>
      <c r="F74" s="330"/>
    </row>
    <row r="75" spans="1:6">
      <c r="A75" s="1298" t="s">
        <v>64</v>
      </c>
      <c r="B75" s="1298" t="s">
        <v>646</v>
      </c>
      <c r="C75" s="1312" t="s">
        <v>650</v>
      </c>
      <c r="D75" s="1313">
        <v>11060121</v>
      </c>
      <c r="E75" s="450"/>
      <c r="F75" s="330"/>
    </row>
    <row r="76" spans="1:6">
      <c r="A76" s="1298" t="s">
        <v>64</v>
      </c>
      <c r="B76" s="1298" t="s">
        <v>647</v>
      </c>
      <c r="C76" s="1312" t="s">
        <v>651</v>
      </c>
      <c r="D76" s="1313">
        <v>1179371</v>
      </c>
      <c r="E76" s="450"/>
      <c r="F76" s="330"/>
    </row>
    <row r="77" spans="1:6">
      <c r="A77" s="1298" t="s">
        <v>65</v>
      </c>
      <c r="B77" s="1298" t="s">
        <v>646</v>
      </c>
      <c r="C77" s="1312" t="s">
        <v>652</v>
      </c>
      <c r="D77" s="1313">
        <v>174022821</v>
      </c>
      <c r="E77" s="450"/>
      <c r="F77" s="330"/>
    </row>
    <row r="78" spans="1:6">
      <c r="A78" s="1293" t="s">
        <v>65</v>
      </c>
      <c r="B78" s="1293" t="s">
        <v>647</v>
      </c>
      <c r="C78" s="1293" t="s">
        <v>653</v>
      </c>
      <c r="D78" s="1314">
        <v>37435933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625064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2540.4830587893734</v>
      </c>
      <c r="C91" s="330"/>
      <c r="D91" s="330"/>
      <c r="E91" s="330"/>
      <c r="F91" s="330"/>
    </row>
    <row r="92" spans="1:6">
      <c r="A92" s="1293" t="s">
        <v>68</v>
      </c>
      <c r="B92" s="1294">
        <v>2962.8548937485193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3049</v>
      </c>
      <c r="C97" s="330"/>
      <c r="D97" s="330"/>
      <c r="E97" s="330"/>
      <c r="F97" s="330"/>
    </row>
    <row r="98" spans="1:6">
      <c r="A98" s="1298" t="s">
        <v>71</v>
      </c>
      <c r="B98" s="1299">
        <v>2</v>
      </c>
      <c r="C98" s="330"/>
      <c r="D98" s="330"/>
      <c r="E98" s="330"/>
      <c r="F98" s="330"/>
    </row>
    <row r="99" spans="1:6">
      <c r="A99" s="1298" t="s">
        <v>72</v>
      </c>
      <c r="B99" s="1299">
        <v>32</v>
      </c>
      <c r="C99" s="330"/>
      <c r="D99" s="330"/>
      <c r="E99" s="330"/>
      <c r="F99" s="330"/>
    </row>
    <row r="100" spans="1:6">
      <c r="A100" s="1298" t="s">
        <v>73</v>
      </c>
      <c r="B100" s="1299">
        <v>376</v>
      </c>
      <c r="C100" s="330"/>
      <c r="D100" s="330"/>
      <c r="E100" s="330"/>
      <c r="F100" s="330"/>
    </row>
    <row r="101" spans="1:6">
      <c r="A101" s="1298" t="s">
        <v>74</v>
      </c>
      <c r="B101" s="1299">
        <v>46</v>
      </c>
      <c r="C101" s="330"/>
      <c r="D101" s="330"/>
      <c r="E101" s="330"/>
      <c r="F101" s="330"/>
    </row>
    <row r="102" spans="1:6">
      <c r="A102" s="1298" t="s">
        <v>75</v>
      </c>
      <c r="B102" s="1299">
        <v>41</v>
      </c>
      <c r="C102" s="330"/>
      <c r="D102" s="330"/>
      <c r="E102" s="330"/>
      <c r="F102" s="330"/>
    </row>
    <row r="103" spans="1:6">
      <c r="A103" s="1298" t="s">
        <v>76</v>
      </c>
      <c r="B103" s="1299">
        <v>57</v>
      </c>
      <c r="C103" s="330"/>
      <c r="D103" s="330"/>
      <c r="E103" s="330"/>
      <c r="F103" s="330"/>
    </row>
    <row r="104" spans="1:6">
      <c r="A104" s="1298" t="s">
        <v>77</v>
      </c>
      <c r="B104" s="1299">
        <v>856</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16</v>
      </c>
      <c r="C123" s="1299">
        <v>21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107</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102141.99454093869</v>
      </c>
      <c r="C3" s="43" t="s">
        <v>169</v>
      </c>
      <c r="D3" s="43"/>
      <c r="E3" s="154"/>
      <c r="F3" s="43"/>
      <c r="G3" s="43"/>
      <c r="H3" s="43"/>
      <c r="I3" s="43"/>
      <c r="J3" s="43"/>
      <c r="K3" s="96"/>
    </row>
    <row r="4" spans="1:11">
      <c r="A4" s="358" t="s">
        <v>170</v>
      </c>
      <c r="B4" s="49">
        <f>IF(ISERROR('SEAP template'!B78+'SEAP template'!C78),0,'SEAP template'!B78+'SEAP template'!C78)</f>
        <v>31486.337952537891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6174.783529411764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0.21332737561449322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8821.119327731094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37118.571428571428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872.51599999999996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872.51599999999996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0.21332737561449322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186.13154846165517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18400.107010000003</v>
      </c>
      <c r="C5" s="17">
        <f>IF(ISERROR('Eigen informatie GS &amp; warmtenet'!B59),0,'Eigen informatie GS &amp; warmtenet'!B59)</f>
        <v>0</v>
      </c>
      <c r="D5" s="30">
        <f>(SUM(HH_hh_gas_kWh,HH_rest_gas_kWh)/1000)*0.902</f>
        <v>59381.784446819991</v>
      </c>
      <c r="E5" s="17">
        <f>B46*B57</f>
        <v>3442.8805104617077</v>
      </c>
      <c r="F5" s="17">
        <f>B51*B62</f>
        <v>0</v>
      </c>
      <c r="G5" s="18"/>
      <c r="H5" s="17"/>
      <c r="I5" s="17"/>
      <c r="J5" s="17">
        <f>B50*B61+C50*C61</f>
        <v>0</v>
      </c>
      <c r="K5" s="17"/>
      <c r="L5" s="17"/>
      <c r="M5" s="17"/>
      <c r="N5" s="17">
        <f>B48*B59+C48*C59</f>
        <v>6175.0787031620257</v>
      </c>
      <c r="O5" s="17">
        <f>B69*B70*B71</f>
        <v>255.9306103009271</v>
      </c>
      <c r="P5" s="17">
        <f>B77*B78*B79/1000-B77*B78*B79/1000/B80</f>
        <v>284.41690130749561</v>
      </c>
    </row>
    <row r="6" spans="1:16">
      <c r="A6" s="16" t="s">
        <v>611</v>
      </c>
      <c r="B6" s="783">
        <f>kWh_PV_kleiner_dan_10kW</f>
        <v>2540.4830587893734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20940.590068789377</v>
      </c>
      <c r="C8" s="21">
        <f>C5</f>
        <v>0</v>
      </c>
      <c r="D8" s="21">
        <f>D5</f>
        <v>59381.784446819991</v>
      </c>
      <c r="E8" s="21">
        <f>E5</f>
        <v>3442.8805104617077</v>
      </c>
      <c r="F8" s="21">
        <f>F5</f>
        <v>0</v>
      </c>
      <c r="G8" s="21"/>
      <c r="H8" s="21"/>
      <c r="I8" s="21"/>
      <c r="J8" s="21">
        <f>J5</f>
        <v>0</v>
      </c>
      <c r="K8" s="21"/>
      <c r="L8" s="21">
        <f>L5</f>
        <v>0</v>
      </c>
      <c r="M8" s="21">
        <f>M5</f>
        <v>0</v>
      </c>
      <c r="N8" s="21">
        <f>N5</f>
        <v>6175.0787031620257</v>
      </c>
      <c r="O8" s="21">
        <f>O5</f>
        <v>255.9306103009271</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0.21332737561449322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4467.2011231937577</v>
      </c>
      <c r="C12" s="23">
        <f ca="1">C10*C8</f>
        <v>0</v>
      </c>
      <c r="D12" s="23">
        <f>D8*D10</f>
        <v>11995.120458257639</v>
      </c>
      <c r="E12" s="23">
        <f>E10*E8</f>
        <v>781.53387587480768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5183</v>
      </c>
      <c r="C28" s="36"/>
      <c r="D28" s="228"/>
    </row>
    <row r="29" spans="1:7" s="15" customFormat="1">
      <c r="A29" s="230" t="s">
        <v>819</v>
      </c>
      <c r="B29" s="37">
        <f>SUM(HH_hh_gas_aantal,HH_rest_gas_aantal)</f>
        <v>4257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4257</v>
      </c>
      <c r="C32" s="167">
        <f>IF(ISERROR(B32/SUM($B$32,$B$34,$B$35,$B$36,$B$38,$B$39)*100),0,B32/SUM($B$32,$B$34,$B$35,$B$36,$B$38,$B$39)*100)</f>
        <v>82.564003103180767</v>
      </c>
      <c r="D32" s="233"/>
      <c r="G32" s="15"/>
    </row>
    <row r="33" spans="1:7">
      <c r="A33" s="171" t="s">
        <v>71</v>
      </c>
      <c r="B33" s="34" t="s">
        <v>110</v>
      </c>
      <c r="C33" s="167"/>
      <c r="D33" s="233"/>
      <c r="G33" s="15"/>
    </row>
    <row r="34" spans="1:7">
      <c r="A34" s="171" t="s">
        <v>72</v>
      </c>
      <c r="B34" s="33">
        <f>IF((($B$28-$B$32-$B$39-$B$77-$B$38)*C20/100)&lt;0,0,($B$28-$B$32-$B$39-$B$77-$B$38)*C20/100)</f>
        <v>63.36563876651983</v>
      </c>
      <c r="C34" s="167">
        <f>IF(ISERROR(B34/SUM($B$32,$B$34,$B$35,$B$36,$B$38,$B$39)*100),0,B34/SUM($B$32,$B$34,$B$35,$B$36,$B$38,$B$39)*100)</f>
        <v>1.2289689442691976</v>
      </c>
      <c r="D34" s="233"/>
      <c r="G34" s="15"/>
    </row>
    <row r="35" spans="1:7">
      <c r="A35" s="171" t="s">
        <v>73</v>
      </c>
      <c r="B35" s="33">
        <f>IF((($B$28-$B$32-$B$39-$B$77-$B$38)*C21/100)&lt;0,0,($B$28-$B$32-$B$39-$B$77-$B$38)*C21/100)</f>
        <v>744.54625550660785</v>
      </c>
      <c r="C35" s="167">
        <f>IF(ISERROR(B35/SUM($B$32,$B$34,$B$35,$B$36,$B$38,$B$39)*100),0,B35/SUM($B$32,$B$34,$B$35,$B$36,$B$38,$B$39)*100)</f>
        <v>14.440385095163069</v>
      </c>
      <c r="D35" s="233"/>
      <c r="G35" s="15"/>
    </row>
    <row r="36" spans="1:7">
      <c r="A36" s="171" t="s">
        <v>74</v>
      </c>
      <c r="B36" s="33">
        <f>IF((($B$28-$B$32-$B$39-$B$77-$B$38)*C22/100)&lt;0,0,($B$28-$B$32-$B$39-$B$77-$B$38)*C22/100)</f>
        <v>91.088105726872243</v>
      </c>
      <c r="C36" s="167">
        <f>IF(ISERROR(B36/SUM($B$32,$B$34,$B$35,$B$36,$B$38,$B$39)*100),0,B36/SUM($B$32,$B$34,$B$35,$B$36,$B$38,$B$39)*100)</f>
        <v>1.7666428573869712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4257</v>
      </c>
      <c r="C44" s="34" t="s">
        <v>110</v>
      </c>
      <c r="D44" s="174"/>
    </row>
    <row r="45" spans="1:7">
      <c r="A45" s="171" t="s">
        <v>71</v>
      </c>
      <c r="B45" s="33" t="str">
        <f t="shared" si="0"/>
        <v>-</v>
      </c>
      <c r="C45" s="34" t="s">
        <v>110</v>
      </c>
      <c r="D45" s="174"/>
    </row>
    <row r="46" spans="1:7">
      <c r="A46" s="171" t="s">
        <v>72</v>
      </c>
      <c r="B46" s="33">
        <f t="shared" si="0"/>
        <v>63.36563876651983</v>
      </c>
      <c r="C46" s="34" t="s">
        <v>110</v>
      </c>
      <c r="D46" s="174"/>
    </row>
    <row r="47" spans="1:7">
      <c r="A47" s="171" t="s">
        <v>73</v>
      </c>
      <c r="B47" s="33">
        <f t="shared" si="0"/>
        <v>744.54625550660785</v>
      </c>
      <c r="C47" s="34" t="s">
        <v>110</v>
      </c>
      <c r="D47" s="174"/>
    </row>
    <row r="48" spans="1:7">
      <c r="A48" s="171" t="s">
        <v>74</v>
      </c>
      <c r="B48" s="33">
        <f t="shared" si="0"/>
        <v>91.088105726872243</v>
      </c>
      <c r="C48" s="33">
        <f>B48*10</f>
        <v>910.88105726872243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30281.703260999999</v>
      </c>
      <c r="C5" s="17">
        <f>IF(ISERROR('Eigen informatie GS &amp; warmtenet'!B60),0,'Eigen informatie GS &amp; warmtenet'!B60)</f>
        <v>0</v>
      </c>
      <c r="D5" s="30">
        <f>SUM(D6:D12)</f>
        <v>35692.400136800003</v>
      </c>
      <c r="E5" s="17">
        <f>SUM(E6:E12)</f>
        <v>522.16592761446907</v>
      </c>
      <c r="F5" s="17">
        <f>SUM(F6:F12)</f>
        <v>3343.2877042552527</v>
      </c>
      <c r="G5" s="18"/>
      <c r="H5" s="17"/>
      <c r="I5" s="17"/>
      <c r="J5" s="17">
        <f>SUM(J6:J12)</f>
        <v>4.56721548940539E-2</v>
      </c>
      <c r="K5" s="17"/>
      <c r="L5" s="17"/>
      <c r="M5" s="17"/>
      <c r="N5" s="17">
        <f>SUM(N6:N12)</f>
        <v>1797.7275120085151</v>
      </c>
      <c r="O5" s="17">
        <f>B38*B39*B40</f>
        <v>9.7945215316823084</v>
      </c>
      <c r="P5" s="17">
        <f>B46*B47*B48/1000-B46*B47*B48/1000/B49</f>
        <v>157.61741491948504</v>
      </c>
      <c r="R5" s="32"/>
    </row>
    <row r="6" spans="1:18">
      <c r="A6" s="32" t="s">
        <v>53</v>
      </c>
      <c r="B6" s="37">
        <f>B26</f>
        <v>6154.4950349999999</v>
      </c>
      <c r="C6" s="33"/>
      <c r="D6" s="37">
        <f>IF(ISERROR(TER_kantoor_gas_kWh/1000),0,TER_kantoor_gas_kWh/1000)*0.902</f>
        <v>7969.9361425639991</v>
      </c>
      <c r="E6" s="33">
        <f>$C$26*'E Balans VL '!I12/100/3.6*1000000</f>
        <v>49.523248260076535</v>
      </c>
      <c r="F6" s="33">
        <f>$C$26*('E Balans VL '!L12+'E Balans VL '!N12)/100/3.6*1000000</f>
        <v>752.45176124372165</v>
      </c>
      <c r="G6" s="34"/>
      <c r="H6" s="33"/>
      <c r="I6" s="33"/>
      <c r="J6" s="33">
        <f>$C$26*('E Balans VL '!D12+'E Balans VL '!E12)/100/3.6*1000000</f>
        <v>0</v>
      </c>
      <c r="K6" s="33"/>
      <c r="L6" s="33"/>
      <c r="M6" s="33"/>
      <c r="N6" s="33">
        <f>$C$26*'E Balans VL '!Y12/100/3.6*1000000</f>
        <v>3.3077380052353127</v>
      </c>
      <c r="O6" s="33"/>
      <c r="P6" s="33"/>
      <c r="R6" s="32"/>
    </row>
    <row r="7" spans="1:18">
      <c r="A7" s="32" t="s">
        <v>52</v>
      </c>
      <c r="B7" s="37">
        <f t="shared" ref="B7:B12" si="0">B27</f>
        <v>1284.5223080000001</v>
      </c>
      <c r="C7" s="33"/>
      <c r="D7" s="37">
        <f>IF(ISERROR(TER_horeca_gas_kWh/1000),0,TER_horeca_gas_kWh/1000)*0.902</f>
        <v>2040.8591692279999</v>
      </c>
      <c r="E7" s="33">
        <f>$C$27*'E Balans VL '!I9/100/3.6*1000000</f>
        <v>13.79261535258105</v>
      </c>
      <c r="F7" s="33">
        <f>$C$27*('E Balans VL '!L9+'E Balans VL '!N9)/100/3.6*1000000</f>
        <v>154.49688566568005</v>
      </c>
      <c r="G7" s="34"/>
      <c r="H7" s="33"/>
      <c r="I7" s="33"/>
      <c r="J7" s="33">
        <f>$C$27*('E Balans VL '!D9+'E Balans VL '!E9)/100/3.6*1000000</f>
        <v>0</v>
      </c>
      <c r="K7" s="33"/>
      <c r="L7" s="33"/>
      <c r="M7" s="33"/>
      <c r="N7" s="33">
        <f>$C$27*'E Balans VL '!Y9/100/3.6*1000000</f>
        <v>0.19257592821384553</v>
      </c>
      <c r="O7" s="33"/>
      <c r="P7" s="33"/>
      <c r="R7" s="32"/>
    </row>
    <row r="8" spans="1:18">
      <c r="A8" s="6" t="s">
        <v>51</v>
      </c>
      <c r="B8" s="37">
        <f t="shared" si="0"/>
        <v>13289.690699999999</v>
      </c>
      <c r="C8" s="33"/>
      <c r="D8" s="37">
        <f>IF(ISERROR(TER_handel_gas_kWh/1000),0,TER_handel_gas_kWh/1000)*0.902</f>
        <v>8328.2572842040008</v>
      </c>
      <c r="E8" s="33">
        <f>$C$28*'E Balans VL '!I13/100/3.6*1000000</f>
        <v>356.65461239460842</v>
      </c>
      <c r="F8" s="33">
        <f>$C$28*('E Balans VL '!L13+'E Balans VL '!N13)/100/3.6*1000000</f>
        <v>1268.2460916087787</v>
      </c>
      <c r="G8" s="34"/>
      <c r="H8" s="33"/>
      <c r="I8" s="33"/>
      <c r="J8" s="33">
        <f>$C$28*('E Balans VL '!D13+'E Balans VL '!E13)/100/3.6*1000000</f>
        <v>0</v>
      </c>
      <c r="K8" s="33"/>
      <c r="L8" s="33"/>
      <c r="M8" s="33"/>
      <c r="N8" s="33">
        <f>$C$28*'E Balans VL '!Y13/100/3.6*1000000</f>
        <v>5.2681845023861777</v>
      </c>
      <c r="O8" s="33"/>
      <c r="P8" s="33"/>
      <c r="R8" s="32"/>
    </row>
    <row r="9" spans="1:18">
      <c r="A9" s="32" t="s">
        <v>50</v>
      </c>
      <c r="B9" s="37">
        <f t="shared" si="0"/>
        <v>147.175082</v>
      </c>
      <c r="C9" s="33"/>
      <c r="D9" s="37">
        <f>IF(ISERROR(TER_gezond_gas_kWh/1000),0,TER_gezond_gas_kWh/1000)*0.902</f>
        <v>195.61939909600002</v>
      </c>
      <c r="E9" s="33">
        <f>$C$29*'E Balans VL '!I10/100/3.6*1000000</f>
        <v>0.27585402595566688</v>
      </c>
      <c r="F9" s="33">
        <f>$C$29*('E Balans VL '!L10+'E Balans VL '!N10)/100/3.6*1000000</f>
        <v>12.099134609550731</v>
      </c>
      <c r="G9" s="34"/>
      <c r="H9" s="33"/>
      <c r="I9" s="33"/>
      <c r="J9" s="33">
        <f>$C$29*('E Balans VL '!D10+'E Balans VL '!E10)/100/3.6*1000000</f>
        <v>0</v>
      </c>
      <c r="K9" s="33"/>
      <c r="L9" s="33"/>
      <c r="M9" s="33"/>
      <c r="N9" s="33">
        <f>$C$29*'E Balans VL '!Y10/100/3.6*1000000</f>
        <v>1.1451319463492051</v>
      </c>
      <c r="O9" s="33"/>
      <c r="P9" s="33"/>
      <c r="R9" s="32"/>
    </row>
    <row r="10" spans="1:18">
      <c r="A10" s="32" t="s">
        <v>49</v>
      </c>
      <c r="B10" s="37">
        <f t="shared" si="0"/>
        <v>1851.4647500000001</v>
      </c>
      <c r="C10" s="33"/>
      <c r="D10" s="37">
        <f>IF(ISERROR(TER_ander_gas_kWh/1000),0,TER_ander_gas_kWh/1000)*0.902</f>
        <v>615.09747118600001</v>
      </c>
      <c r="E10" s="33">
        <f>$C$30*'E Balans VL '!I14/100/3.6*1000000</f>
        <v>2.8540516727274361</v>
      </c>
      <c r="F10" s="33">
        <f>$C$30*('E Balans VL '!L14+'E Balans VL '!N14)/100/3.6*1000000</f>
        <v>287.44041356244526</v>
      </c>
      <c r="G10" s="34"/>
      <c r="H10" s="33"/>
      <c r="I10" s="33"/>
      <c r="J10" s="33">
        <f>$C$30*('E Balans VL '!D14+'E Balans VL '!E14)/100/3.6*1000000</f>
        <v>3.1430566731891367E-2</v>
      </c>
      <c r="K10" s="33"/>
      <c r="L10" s="33"/>
      <c r="M10" s="33"/>
      <c r="N10" s="33">
        <f>$C$30*'E Balans VL '!Y14/100/3.6*1000000</f>
        <v>1224.869739600183</v>
      </c>
      <c r="O10" s="33"/>
      <c r="P10" s="33"/>
      <c r="R10" s="32"/>
    </row>
    <row r="11" spans="1:18">
      <c r="A11" s="32" t="s">
        <v>54</v>
      </c>
      <c r="B11" s="37">
        <f t="shared" si="0"/>
        <v>123.11023200000001</v>
      </c>
      <c r="C11" s="33"/>
      <c r="D11" s="37">
        <f>IF(ISERROR(TER_onderwijs_gas_kWh/1000),0,TER_onderwijs_gas_kWh/1000)*0.902</f>
        <v>816.2850966819999</v>
      </c>
      <c r="E11" s="33">
        <f>$C$31*'E Balans VL '!I11/100/3.6*1000000</f>
        <v>3.140151765832083</v>
      </c>
      <c r="F11" s="33">
        <f>$C$31*('E Balans VL '!L11+'E Balans VL '!N11)/100/3.6*1000000</f>
        <v>14.805164155630623</v>
      </c>
      <c r="G11" s="34"/>
      <c r="H11" s="33"/>
      <c r="I11" s="33"/>
      <c r="J11" s="33">
        <f>$C$31*('E Balans VL '!D11+'E Balans VL '!E11)/100/3.6*1000000</f>
        <v>0</v>
      </c>
      <c r="K11" s="33"/>
      <c r="L11" s="33"/>
      <c r="M11" s="33"/>
      <c r="N11" s="33">
        <f>$C$31*'E Balans VL '!Y11/100/3.6*1000000</f>
        <v>0.27379415205245544</v>
      </c>
      <c r="O11" s="33"/>
      <c r="P11" s="33"/>
      <c r="R11" s="32"/>
    </row>
    <row r="12" spans="1:18">
      <c r="A12" s="32" t="s">
        <v>259</v>
      </c>
      <c r="B12" s="37">
        <f t="shared" si="0"/>
        <v>7431.2451540000002</v>
      </c>
      <c r="C12" s="33"/>
      <c r="D12" s="37">
        <f>IF(ISERROR(TER_rest_gas_kWh/1000),0,TER_rest_gas_kWh/1000)*0.902</f>
        <v>15726.345573840001</v>
      </c>
      <c r="E12" s="33">
        <f>$C$32*'E Balans VL '!I8/100/3.6*1000000</f>
        <v>95.925394142687864</v>
      </c>
      <c r="F12" s="33">
        <f>$C$32*('E Balans VL '!L8+'E Balans VL '!N8)/100/3.6*1000000</f>
        <v>853.74825340944551</v>
      </c>
      <c r="G12" s="34"/>
      <c r="H12" s="33"/>
      <c r="I12" s="33"/>
      <c r="J12" s="33">
        <f>$C$32*('E Balans VL '!D8+'E Balans VL '!E8)/100/3.6*1000000</f>
        <v>1.4241588162162531E-2</v>
      </c>
      <c r="K12" s="33"/>
      <c r="L12" s="33"/>
      <c r="M12" s="33"/>
      <c r="N12" s="33">
        <f>$C$32*'E Balans VL '!Y8/100/3.6*1000000</f>
        <v>562.67034787409523</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30281.703260999999</v>
      </c>
      <c r="C16" s="21">
        <f t="shared" ca="1" si="1"/>
        <v>0</v>
      </c>
      <c r="D16" s="21">
        <f t="shared" ca="1" si="1"/>
        <v>35692.400136800003</v>
      </c>
      <c r="E16" s="21">
        <f t="shared" si="1"/>
        <v>522.16592761446907</v>
      </c>
      <c r="F16" s="21">
        <f t="shared" ca="1" si="1"/>
        <v>3343.2877042552527</v>
      </c>
      <c r="G16" s="21">
        <f t="shared" si="1"/>
        <v>0</v>
      </c>
      <c r="H16" s="21">
        <f t="shared" si="1"/>
        <v>0</v>
      </c>
      <c r="I16" s="21">
        <f t="shared" si="1"/>
        <v>0</v>
      </c>
      <c r="J16" s="21">
        <f t="shared" si="1"/>
        <v>4.56721548940539E-2</v>
      </c>
      <c r="K16" s="21">
        <f t="shared" si="1"/>
        <v>0</v>
      </c>
      <c r="L16" s="21">
        <f t="shared" ca="1" si="1"/>
        <v>0</v>
      </c>
      <c r="M16" s="21">
        <f t="shared" si="1"/>
        <v>0</v>
      </c>
      <c r="N16" s="21">
        <f t="shared" ca="1" si="1"/>
        <v>1797.7275120085151</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0.21332737561449322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6459.9162858059708</v>
      </c>
      <c r="C20" s="23">
        <f t="shared" ref="C20:P20" ca="1" si="2">C16*C18</f>
        <v>0</v>
      </c>
      <c r="D20" s="23">
        <f t="shared" ca="1" si="2"/>
        <v>7209.8648276336007</v>
      </c>
      <c r="E20" s="23">
        <f t="shared" si="2"/>
        <v>118.53166556848448</v>
      </c>
      <c r="F20" s="23">
        <f t="shared" ca="1" si="2"/>
        <v>892.65781703615255</v>
      </c>
      <c r="G20" s="23">
        <f t="shared" si="2"/>
        <v>0</v>
      </c>
      <c r="H20" s="23">
        <f t="shared" si="2"/>
        <v>0</v>
      </c>
      <c r="I20" s="23">
        <f t="shared" si="2"/>
        <v>0</v>
      </c>
      <c r="J20" s="23">
        <f t="shared" si="2"/>
        <v>1.6167942832495081E-2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6154.4950349999999</v>
      </c>
      <c r="C26" s="39">
        <f>IF(ISERROR(B26*3.6/1000000/'E Balans VL '!Z12*100),0,B26*3.6/1000000/'E Balans VL '!Z12*100)</f>
        <v>0.13056198145116377</v>
      </c>
      <c r="D26" s="237" t="s">
        <v>708</v>
      </c>
      <c r="F26" s="6"/>
    </row>
    <row r="27" spans="1:18">
      <c r="A27" s="231" t="s">
        <v>52</v>
      </c>
      <c r="B27" s="33">
        <f>IF(ISERROR(TER_horeca_ele_kWh/1000),0,TER_horeca_ele_kWh/1000)</f>
        <v>1284.5223080000001</v>
      </c>
      <c r="C27" s="39">
        <f>IF(ISERROR(B27*3.6/1000000/'E Balans VL '!Z9*100),0,B27*3.6/1000000/'E Balans VL '!Z9*100)</f>
        <v>9.6735908741688789E-2</v>
      </c>
      <c r="D27" s="237" t="s">
        <v>708</v>
      </c>
      <c r="F27" s="6"/>
    </row>
    <row r="28" spans="1:18">
      <c r="A28" s="171" t="s">
        <v>51</v>
      </c>
      <c r="B28" s="33">
        <f>IF(ISERROR(TER_handel_ele_kWh/1000),0,TER_handel_ele_kWh/1000)</f>
        <v>13289.690699999999</v>
      </c>
      <c r="C28" s="39">
        <f>IF(ISERROR(B28*3.6/1000000/'E Balans VL '!Z13*100),0,B28*3.6/1000000/'E Balans VL '!Z13*100)</f>
        <v>0.38575263197287746</v>
      </c>
      <c r="D28" s="237" t="s">
        <v>708</v>
      </c>
      <c r="F28" s="6"/>
    </row>
    <row r="29" spans="1:18">
      <c r="A29" s="231" t="s">
        <v>50</v>
      </c>
      <c r="B29" s="33">
        <f>IF(ISERROR(TER_gezond_ele_kWh/1000),0,TER_gezond_ele_kWh/1000)</f>
        <v>147.175082</v>
      </c>
      <c r="C29" s="39">
        <f>IF(ISERROR(B29*3.6/1000000/'E Balans VL '!Z10*100),0,B29*3.6/1000000/'E Balans VL '!Z10*100)</f>
        <v>1.4842782533133791E-2</v>
      </c>
      <c r="D29" s="237" t="s">
        <v>708</v>
      </c>
      <c r="F29" s="6"/>
    </row>
    <row r="30" spans="1:18">
      <c r="A30" s="231" t="s">
        <v>49</v>
      </c>
      <c r="B30" s="33">
        <f>IF(ISERROR(TER_ander_ele_kWh/1000),0,TER_ander_ele_kWh/1000)</f>
        <v>1851.4647500000001</v>
      </c>
      <c r="C30" s="39">
        <f>IF(ISERROR(B30*3.6/1000000/'E Balans VL '!Z14*100),0,B30*3.6/1000000/'E Balans VL '!Z14*100)</f>
        <v>0.13434902622298464</v>
      </c>
      <c r="D30" s="237" t="s">
        <v>708</v>
      </c>
      <c r="F30" s="6"/>
    </row>
    <row r="31" spans="1:18">
      <c r="A31" s="231" t="s">
        <v>54</v>
      </c>
      <c r="B31" s="33">
        <f>IF(ISERROR(TER_onderwijs_ele_kWh/1000),0,TER_onderwijs_ele_kWh/1000)</f>
        <v>123.11023200000001</v>
      </c>
      <c r="C31" s="39">
        <f>IF(ISERROR(B31*3.6/1000000/'E Balans VL '!Z11*100),0,B31*3.6/1000000/'E Balans VL '!Z11*100)</f>
        <v>3.5091429402083638E-2</v>
      </c>
      <c r="D31" s="237" t="s">
        <v>708</v>
      </c>
    </row>
    <row r="32" spans="1:18">
      <c r="A32" s="231" t="s">
        <v>259</v>
      </c>
      <c r="B32" s="33">
        <f>IF(ISERROR(TER_rest_ele_kWh/1000),0,TER_rest_ele_kWh/1000)</f>
        <v>7431.2451540000002</v>
      </c>
      <c r="C32" s="39">
        <f>IF(ISERROR(B32*3.6/1000000/'E Balans VL '!Z8*100),0,B32*3.6/1000000/'E Balans VL '!Z8*100)</f>
        <v>6.0875246627797093E-2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29302.839377999997</v>
      </c>
      <c r="C5" s="17">
        <f>IF(ISERROR('Eigen informatie GS &amp; warmtenet'!B61),0,'Eigen informatie GS &amp; warmtenet'!B61)</f>
        <v>0</v>
      </c>
      <c r="D5" s="30">
        <f>SUM(D6:D15)</f>
        <v>75194.487949856004</v>
      </c>
      <c r="E5" s="17">
        <f>SUM(E6:E15)</f>
        <v>701.48597268144385</v>
      </c>
      <c r="F5" s="17">
        <f>SUM(F6:F15)</f>
        <v>3260.2361891260375</v>
      </c>
      <c r="G5" s="18"/>
      <c r="H5" s="17"/>
      <c r="I5" s="17"/>
      <c r="J5" s="17">
        <f>SUM(J6:J15)</f>
        <v>407.07290161853541</v>
      </c>
      <c r="K5" s="17"/>
      <c r="L5" s="17"/>
      <c r="M5" s="17"/>
      <c r="N5" s="17">
        <f>SUM(N6:N15)</f>
        <v>1397.9739676127124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531.86811999999998</v>
      </c>
      <c r="C8" s="33"/>
      <c r="D8" s="37">
        <f>IF( ISERROR(IND_metaal_Gas_kWH/1000),0,IND_metaal_Gas_kWH/1000)*0.902</f>
        <v>633.67993128000001</v>
      </c>
      <c r="E8" s="33">
        <f>C30*'E Balans VL '!I18/100/3.6*1000000</f>
        <v>3.8370551858649353</v>
      </c>
      <c r="F8" s="33">
        <f>C30*'E Balans VL '!L18/100/3.6*1000000+C30*'E Balans VL '!N18/100/3.6*1000000</f>
        <v>50.304917190846922</v>
      </c>
      <c r="G8" s="34"/>
      <c r="H8" s="33"/>
      <c r="I8" s="33"/>
      <c r="J8" s="40">
        <f>C30*'E Balans VL '!D18/100/3.6*1000000+C30*'E Balans VL '!E18/100/3.6*1000000</f>
        <v>0.5349560458870174</v>
      </c>
      <c r="K8" s="33"/>
      <c r="L8" s="33"/>
      <c r="M8" s="33"/>
      <c r="N8" s="33">
        <f>C30*'E Balans VL '!Y18/100/3.6*1000000</f>
        <v>6.7242202209192268</v>
      </c>
      <c r="O8" s="33"/>
      <c r="P8" s="33"/>
      <c r="R8" s="32"/>
    </row>
    <row r="9" spans="1:18">
      <c r="A9" s="6" t="s">
        <v>32</v>
      </c>
      <c r="B9" s="37">
        <f t="shared" si="0"/>
        <v>1382.479065</v>
      </c>
      <c r="C9" s="33"/>
      <c r="D9" s="37">
        <f>IF( ISERROR(IND_andere_gas_kWh/1000),0,IND_andere_gas_kWh/1000)*0.902</f>
        <v>1890.2317872020003</v>
      </c>
      <c r="E9" s="33">
        <f>C31*'E Balans VL '!I19/100/3.6*1000000</f>
        <v>383.10343497257401</v>
      </c>
      <c r="F9" s="33">
        <f>C31*'E Balans VL '!L19/100/3.6*1000000+C31*'E Balans VL '!N19/100/3.6*1000000</f>
        <v>1145.801636632284</v>
      </c>
      <c r="G9" s="34"/>
      <c r="H9" s="33"/>
      <c r="I9" s="33"/>
      <c r="J9" s="40">
        <f>C31*'E Balans VL '!D19/100/3.6*1000000+C31*'E Balans VL '!E19/100/3.6*1000000</f>
        <v>0</v>
      </c>
      <c r="K9" s="33"/>
      <c r="L9" s="33"/>
      <c r="M9" s="33"/>
      <c r="N9" s="33">
        <f>C31*'E Balans VL '!Y19/100/3.6*1000000</f>
        <v>100.35107056943657</v>
      </c>
      <c r="O9" s="33"/>
      <c r="P9" s="33"/>
      <c r="R9" s="32"/>
    </row>
    <row r="10" spans="1:18">
      <c r="A10" s="6" t="s">
        <v>40</v>
      </c>
      <c r="B10" s="37">
        <f t="shared" si="0"/>
        <v>18245.667089999999</v>
      </c>
      <c r="C10" s="33"/>
      <c r="D10" s="37">
        <f>IF( ISERROR(IND_voed_gas_kWh/1000),0,IND_voed_gas_kWh/1000)*0.902</f>
        <v>19032.38774228</v>
      </c>
      <c r="E10" s="33">
        <f>C32*'E Balans VL '!I20/100/3.6*1000000</f>
        <v>32.30101095297394</v>
      </c>
      <c r="F10" s="33">
        <f>C32*'E Balans VL '!L20/100/3.6*1000000+C32*'E Balans VL '!N20/100/3.6*1000000</f>
        <v>985.42773275685715</v>
      </c>
      <c r="G10" s="34"/>
      <c r="H10" s="33"/>
      <c r="I10" s="33"/>
      <c r="J10" s="40">
        <f>C32*'E Balans VL '!D20/100/3.6*1000000+C32*'E Balans VL '!E20/100/3.6*1000000</f>
        <v>0</v>
      </c>
      <c r="K10" s="33"/>
      <c r="L10" s="33"/>
      <c r="M10" s="33"/>
      <c r="N10" s="33">
        <f>C32*'E Balans VL '!Y20/100/3.6*1000000</f>
        <v>1060.2126018249153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3272.6194860000001</v>
      </c>
      <c r="C13" s="33"/>
      <c r="D13" s="37">
        <f>IF( ISERROR(IND_papier_gas_kWh/1000),0,IND_papier_gas_kWh/1000)*0.902</f>
        <v>3107.8003712139998</v>
      </c>
      <c r="E13" s="33">
        <f>C35*'E Balans VL '!I23/100/3.6*1000000</f>
        <v>4.8151470165613599</v>
      </c>
      <c r="F13" s="33">
        <f>C35*'E Balans VL '!L23/100/3.6*1000000+C35*'E Balans VL '!N23/100/3.6*1000000</f>
        <v>35.040939984644233</v>
      </c>
      <c r="G13" s="34"/>
      <c r="H13" s="33"/>
      <c r="I13" s="33"/>
      <c r="J13" s="40">
        <f>C35*'E Balans VL '!D23/100/3.6*1000000+C35*'E Balans VL '!E23/100/3.6*1000000</f>
        <v>358.04292365813859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5870.2056169999996</v>
      </c>
      <c r="C15" s="33"/>
      <c r="D15" s="37">
        <f>IF( ISERROR(IND_rest_gas_kWh/1000),0,IND_rest_gas_kWh/1000)*0.902</f>
        <v>50530.38811788</v>
      </c>
      <c r="E15" s="33">
        <f>C37*'E Balans VL '!I15/100/3.6*1000000</f>
        <v>277.42932455346971</v>
      </c>
      <c r="F15" s="33">
        <f>C37*'E Balans VL '!L15/100/3.6*1000000+C37*'E Balans VL '!N15/100/3.6*1000000</f>
        <v>1043.6609625614051</v>
      </c>
      <c r="G15" s="34"/>
      <c r="H15" s="33"/>
      <c r="I15" s="33"/>
      <c r="J15" s="40">
        <f>C37*'E Balans VL '!D15/100/3.6*1000000+C37*'E Balans VL '!E15/100/3.6*1000000</f>
        <v>48.495021914509749</v>
      </c>
      <c r="K15" s="33"/>
      <c r="L15" s="33"/>
      <c r="M15" s="33"/>
      <c r="N15" s="33">
        <f>C37*'E Balans VL '!Y15/100/3.6*1000000</f>
        <v>230.68607499744115</v>
      </c>
      <c r="O15" s="33"/>
      <c r="P15" s="33"/>
      <c r="R15" s="32"/>
    </row>
    <row r="16" spans="1:18">
      <c r="A16" s="16" t="s">
        <v>478</v>
      </c>
      <c r="B16" s="247">
        <f>'lokale energieproductie'!N39+'lokale energieproductie'!N32</f>
        <v>18891</v>
      </c>
      <c r="C16" s="247">
        <f>'lokale energieproductie'!O39+'lokale energieproductie'!O32</f>
        <v>26987.142857142859</v>
      </c>
      <c r="D16" s="308">
        <f>('lokale energieproductie'!P32+'lokale energieproductie'!P39)*(-1)</f>
        <v>-53974.285714285717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48193.839377999997</v>
      </c>
      <c r="C18" s="21">
        <f>C5+C16</f>
        <v>26987.142857142859</v>
      </c>
      <c r="D18" s="21">
        <f>MAX((D5+D16),0)</f>
        <v>21220.202235570287</v>
      </c>
      <c r="E18" s="21">
        <f>MAX((E5+E16),0)</f>
        <v>701.48597268144385</v>
      </c>
      <c r="F18" s="21">
        <f>MAX((F5+F16),0)</f>
        <v>3260.2361891260375</v>
      </c>
      <c r="G18" s="21"/>
      <c r="H18" s="21"/>
      <c r="I18" s="21"/>
      <c r="J18" s="21">
        <f>MAX((J5+J16),0)</f>
        <v>407.07290161853541</v>
      </c>
      <c r="K18" s="21"/>
      <c r="L18" s="21">
        <f>MAX((L5+L16),0)</f>
        <v>0</v>
      </c>
      <c r="M18" s="21"/>
      <c r="N18" s="21">
        <f>MAX((N5+N16),0)</f>
        <v>1397.9739676127124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0.21332737561449322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10281.065275295159</v>
      </c>
      <c r="C22" s="23">
        <f ca="1">C18*C20</f>
        <v>6413.4151260504223</v>
      </c>
      <c r="D22" s="23">
        <f>D18*D20</f>
        <v>4286.4808515851983</v>
      </c>
      <c r="E22" s="23">
        <f>E18*E20</f>
        <v>159.23731579868777</v>
      </c>
      <c r="F22" s="23">
        <f>F18*F20</f>
        <v>870.48306249665211</v>
      </c>
      <c r="G22" s="23"/>
      <c r="H22" s="23"/>
      <c r="I22" s="23"/>
      <c r="J22" s="23">
        <f>J18*J20</f>
        <v>144.10380717296152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531.86811999999998</v>
      </c>
      <c r="C30" s="39">
        <f>IF(ISERROR(B30*3.6/1000000/'E Balans VL '!Z18*100),0,B30*3.6/1000000/'E Balans VL '!Z18*100)</f>
        <v>3.0703916668419384E-2</v>
      </c>
      <c r="D30" s="237" t="s">
        <v>708</v>
      </c>
    </row>
    <row r="31" spans="1:18">
      <c r="A31" s="6" t="s">
        <v>32</v>
      </c>
      <c r="B31" s="37">
        <f>IF( ISERROR(IND_ander_ele_kWh/1000),0,IND_ander_ele_kWh/1000)</f>
        <v>1382.479065</v>
      </c>
      <c r="C31" s="39">
        <f>IF(ISERROR(B31*3.6/1000000/'E Balans VL '!Z19*100),0,B31*3.6/1000000/'E Balans VL '!Z19*100)</f>
        <v>6.9534215837124616E-2</v>
      </c>
      <c r="D31" s="237" t="s">
        <v>708</v>
      </c>
    </row>
    <row r="32" spans="1:18">
      <c r="A32" s="171" t="s">
        <v>40</v>
      </c>
      <c r="B32" s="37">
        <f>IF( ISERROR(IND_voed_ele_kWh/1000),0,IND_voed_ele_kWh/1000)</f>
        <v>18245.667089999999</v>
      </c>
      <c r="C32" s="39">
        <f>IF(ISERROR(B32*3.6/1000000/'E Balans VL '!Z20*100),0,B32*3.6/1000000/'E Balans VL '!Z20*100)</f>
        <v>0.6076890613946635</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3272.6194860000001</v>
      </c>
      <c r="C35" s="39">
        <f>IF(ISERROR(B35*3.6/1000000/'E Balans VL '!Z22*100),0,B35*3.6/1000000/'E Balans VL '!Z22*100)</f>
        <v>0.61045407130725038</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5870.2056169999996</v>
      </c>
      <c r="C37" s="39">
        <f>IF(ISERROR(B37*3.6/1000000/'E Balans VL '!Z15*100),0,B37*3.6/1000000/'E Balans VL '!Z15*100)</f>
        <v>4.5803656659990206E-2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335.29756500000002</v>
      </c>
      <c r="C5" s="17">
        <f>'Eigen informatie GS &amp; warmtenet'!B62</f>
        <v>0</v>
      </c>
      <c r="D5" s="30">
        <f>IF(ISERROR(SUM(LB_lb_gas_kWh,LB_rest_gas_kWh)/1000),0,SUM(LB_lb_gas_kWh,LB_rest_gas_kWh)/1000)*0.902</f>
        <v>12370.26560484</v>
      </c>
      <c r="E5" s="17">
        <f>B17*'E Balans VL '!I25/3.6*1000000/100</f>
        <v>10.464526436153541</v>
      </c>
      <c r="F5" s="17">
        <f>B17*('E Balans VL '!L25/3.6*1000000+'E Balans VL '!N25/3.6*1000000)/100</f>
        <v>1184.9787379722741</v>
      </c>
      <c r="G5" s="18"/>
      <c r="H5" s="17"/>
      <c r="I5" s="17"/>
      <c r="J5" s="17">
        <f>('E Balans VL '!D25+'E Balans VL '!E25)/3.6*1000000*landbouw!B17/100</f>
        <v>92.376804425734775</v>
      </c>
      <c r="K5" s="17"/>
      <c r="L5" s="17">
        <f>L6*(-1)</f>
        <v>0</v>
      </c>
      <c r="M5" s="17"/>
      <c r="N5" s="17">
        <f>N6*(-1)</f>
        <v>0</v>
      </c>
      <c r="O5" s="17"/>
      <c r="P5" s="17"/>
      <c r="R5" s="32"/>
    </row>
    <row r="6" spans="1:18">
      <c r="A6" s="16" t="s">
        <v>478</v>
      </c>
      <c r="B6" s="17" t="s">
        <v>210</v>
      </c>
      <c r="C6" s="17">
        <f>'lokale energieproductie'!O41+'lokale energieproductie'!O34</f>
        <v>10131.428571428571</v>
      </c>
      <c r="D6" s="308">
        <f>('lokale energieproductie'!P34+'lokale energieproductie'!P41)*(-1)</f>
        <v>-20262.857142857141</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335.29756500000002</v>
      </c>
      <c r="C8" s="21">
        <f>C5+C6</f>
        <v>10131.428571428571</v>
      </c>
      <c r="D8" s="21">
        <f>MAX((D5+D6),0)</f>
        <v>0</v>
      </c>
      <c r="E8" s="21">
        <f>MAX((E5+E6),0)</f>
        <v>10.464526436153541</v>
      </c>
      <c r="F8" s="21">
        <f>MAX((F5+F6),0)</f>
        <v>1184.9787379722741</v>
      </c>
      <c r="G8" s="21"/>
      <c r="H8" s="21"/>
      <c r="I8" s="21"/>
      <c r="J8" s="21">
        <f>MAX((J5+J6),0)</f>
        <v>92.376804425734775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0.21332737561449322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71.528149591379957</v>
      </c>
      <c r="C12" s="23">
        <f ca="1">C8*C10</f>
        <v>2407.7042016806727</v>
      </c>
      <c r="D12" s="23">
        <f>D8*D10</f>
        <v>0</v>
      </c>
      <c r="E12" s="23">
        <f>E8*E10</f>
        <v>2.3754475010068541</v>
      </c>
      <c r="F12" s="23">
        <f>F8*F10</f>
        <v>316.38932303859718</v>
      </c>
      <c r="G12" s="23"/>
      <c r="H12" s="23"/>
      <c r="I12" s="23"/>
      <c r="J12" s="23">
        <f>J8*J10</f>
        <v>32.70138876671011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4.9844386677873991E-2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2.0467473196725159</v>
      </c>
      <c r="C26" s="247">
        <f>B26*'GWP N2O_CH4'!B5</f>
        <v>42.981693713122837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0.13990149065563171</v>
      </c>
      <c r="C27" s="247">
        <f>B27*'GWP N2O_CH4'!B5</f>
        <v>2.9379313037682659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1.7051742517424341E-2</v>
      </c>
      <c r="C28" s="247">
        <f>B28*'GWP N2O_CH4'!B4</f>
        <v>5.286040180401546</v>
      </c>
      <c r="D28" s="50"/>
    </row>
    <row r="29" spans="1:4">
      <c r="A29" s="41" t="s">
        <v>276</v>
      </c>
      <c r="B29" s="247">
        <f>B34*'ha_N2O bodem landbouw'!B4</f>
        <v>2.4389063744276611</v>
      </c>
      <c r="C29" s="247">
        <f>B29*'GWP N2O_CH4'!B4</f>
        <v>756.06097607257493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5.3480825639005698E-4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3.7729453013755486E-4</v>
      </c>
      <c r="C5" s="437" t="s">
        <v>210</v>
      </c>
      <c r="D5" s="422">
        <f>SUM(D6:D11)</f>
        <v>1.2602884047811392E-3</v>
      </c>
      <c r="E5" s="422">
        <f>SUM(E6:E11)</f>
        <v>1.2769133038154109E-3</v>
      </c>
      <c r="F5" s="435" t="s">
        <v>210</v>
      </c>
      <c r="G5" s="422">
        <f>SUM(G6:G11)</f>
        <v>0.75798793267676201</v>
      </c>
      <c r="H5" s="422">
        <f>SUM(H6:H11)</f>
        <v>0.12184128528458389</v>
      </c>
      <c r="I5" s="437" t="s">
        <v>210</v>
      </c>
      <c r="J5" s="437" t="s">
        <v>210</v>
      </c>
      <c r="K5" s="437" t="s">
        <v>210</v>
      </c>
      <c r="L5" s="437" t="s">
        <v>210</v>
      </c>
      <c r="M5" s="422">
        <f>SUM(M6:M11)</f>
        <v>5.1758855435869347E-2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5.86297422911509E-5</v>
      </c>
      <c r="C6" s="423"/>
      <c r="D6" s="890">
        <f>vkm_GW_PW*SUMIFS(TableVerdeelsleutelVkm[CNG],TableVerdeelsleutelVkm[Voertuigtype],"Lichte voertuigen")*SUMIFS(TableECFTransport[EnergieConsumptieFactor (PJ per km)],TableECFTransport[Index],CONCATENATE($A6,"_CNG_CNG"))</f>
        <v>1.888699927934642E-4</v>
      </c>
      <c r="E6" s="890">
        <f>vkm_GW_PW*SUMIFS(TableVerdeelsleutelVkm[LPG],TableVerdeelsleutelVkm[Voertuigtype],"Lichte voertuigen")*SUMIFS(TableECFTransport[EnergieConsumptieFactor (PJ per km)],TableECFTransport[Index],CONCATENATE($A6,"_LPG_LPG"))</f>
        <v>1.615171996752073E-4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5.2178040799490316E-2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1.7693253626551844E-2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4.1791197075691545E-3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3.21799763122931E-2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4.6014476728236846E-7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1.8549312697611288E-3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1.904265770759445E-5</v>
      </c>
      <c r="C8" s="423"/>
      <c r="D8" s="425">
        <f>vkm_NGW_PW*SUMIFS(TableVerdeelsleutelVkm[CNG],TableVerdeelsleutelVkm[Voertuigtype],"Lichte voertuigen")*SUMIFS(TableECFTransport[EnergieConsumptieFactor (PJ per km)],TableECFTransport[Index],CONCATENATE($A8,"_CNG_CNG"))</f>
        <v>1.0393417553800686E-4</v>
      </c>
      <c r="E8" s="425">
        <f>vkm_NGW_PW*SUMIFS(TableVerdeelsleutelVkm[LPG],TableVerdeelsleutelVkm[Voertuigtype],"Lichte voertuigen")*SUMIFS(TableECFTransport[EnergieConsumptieFactor (PJ per km)],TableECFTransport[Index],CONCATENATE($A8,"_LPG_LPG"))</f>
        <v>8.4452636742861573E-5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2.5493726912412095E-2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9.5737762448434866E-3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2.1033921044405616E-3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1.4412956260337373E-2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2.6130483552207162E-7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8.3080113665753082E-4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2.9962213013880949E-4</v>
      </c>
      <c r="C10" s="423"/>
      <c r="D10" s="425">
        <f>vkm_SW_PW*SUMIFS(TableVerdeelsleutelVkm[CNG],TableVerdeelsleutelVkm[Voertuigtype],"Lichte voertuigen")*SUMIFS(TableECFTransport[EnergieConsumptieFactor (PJ per km)],TableECFTransport[Index],CONCATENATE($A10,"_CNG_CNG"))</f>
        <v>9.6748423644966801E-4</v>
      </c>
      <c r="E10" s="425">
        <f>vkm_SW_PW*SUMIFS(TableVerdeelsleutelVkm[LPG],TableVerdeelsleutelVkm[Voertuigtype],"Lichte voertuigen")*SUMIFS(TableECFTransport[EnergieConsumptieFactor (PJ per km)],TableECFTransport[Index],CONCATENATE($A10,"_LPG_LPG"))</f>
        <v>1.0309434673973421E-3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0.29674157575493737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9.4568385348019077E-2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2.3366155790058307E-2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0.33698165663729174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5.1486155666809011E-6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1.9424455427382668E-2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104.80403614932079</v>
      </c>
      <c r="C14" s="21"/>
      <c r="D14" s="21">
        <f t="shared" ref="D14:M14" si="0">((D5)*10^9/3600)+D12</f>
        <v>350.08011243920532</v>
      </c>
      <c r="E14" s="21">
        <f t="shared" si="0"/>
        <v>354.69813994872527</v>
      </c>
      <c r="F14" s="21"/>
      <c r="G14" s="21">
        <f t="shared" si="0"/>
        <v>210552.20352132278</v>
      </c>
      <c r="H14" s="21">
        <f t="shared" si="0"/>
        <v>33844.801467939971</v>
      </c>
      <c r="I14" s="21"/>
      <c r="J14" s="21"/>
      <c r="K14" s="21"/>
      <c r="L14" s="21"/>
      <c r="M14" s="21">
        <f t="shared" si="0"/>
        <v>14377.45984329704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0.21332737561449322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22.357569985541083</v>
      </c>
      <c r="C18" s="23"/>
      <c r="D18" s="23">
        <f t="shared" ref="D18:M18" si="1">D14*D16</f>
        <v>70.716182712719473</v>
      </c>
      <c r="E18" s="23">
        <f t="shared" si="1"/>
        <v>80.516477768360645</v>
      </c>
      <c r="F18" s="23"/>
      <c r="G18" s="23">
        <f t="shared" si="1"/>
        <v>56217.438340193185</v>
      </c>
      <c r="H18" s="23">
        <f t="shared" si="1"/>
        <v>8427.355565517053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7.7657670675010792E-3</v>
      </c>
      <c r="H50" s="319">
        <f t="shared" si="2"/>
        <v>0</v>
      </c>
      <c r="I50" s="319">
        <f t="shared" si="2"/>
        <v>0</v>
      </c>
      <c r="J50" s="319">
        <f t="shared" si="2"/>
        <v>0</v>
      </c>
      <c r="K50" s="319">
        <f t="shared" si="2"/>
        <v>0</v>
      </c>
      <c r="L50" s="319">
        <f t="shared" si="2"/>
        <v>0</v>
      </c>
      <c r="M50" s="319">
        <f t="shared" si="2"/>
        <v>4.3155428588416314E-4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7.7657670675010792E-3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4.3155428588416314E-4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2157.1575187502999</v>
      </c>
      <c r="H54" s="21">
        <f t="shared" si="3"/>
        <v>0</v>
      </c>
      <c r="I54" s="21">
        <f t="shared" si="3"/>
        <v>0</v>
      </c>
      <c r="J54" s="21">
        <f t="shared" si="3"/>
        <v>0</v>
      </c>
      <c r="K54" s="21">
        <f t="shared" si="3"/>
        <v>0</v>
      </c>
      <c r="L54" s="21">
        <f t="shared" si="3"/>
        <v>0</v>
      </c>
      <c r="M54" s="21">
        <f t="shared" si="3"/>
        <v>119.87619052337865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0.21332737561449322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575.96105750633012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31154.219260999998</v>
      </c>
      <c r="D10" s="686">
        <f ca="1">tertiair!C16</f>
        <v>0</v>
      </c>
      <c r="E10" s="686">
        <f ca="1">tertiair!D16</f>
        <v>35692.400136800003</v>
      </c>
      <c r="F10" s="686">
        <f>tertiair!E16</f>
        <v>522.16592761446907</v>
      </c>
      <c r="G10" s="686">
        <f ca="1">tertiair!F16</f>
        <v>3343.2877042552527</v>
      </c>
      <c r="H10" s="686">
        <f>tertiair!G16</f>
        <v>0</v>
      </c>
      <c r="I10" s="686">
        <f>tertiair!H16</f>
        <v>0</v>
      </c>
      <c r="J10" s="686">
        <f>tertiair!I16</f>
        <v>0</v>
      </c>
      <c r="K10" s="686">
        <f>tertiair!J16</f>
        <v>4.56721548940539E-2</v>
      </c>
      <c r="L10" s="686">
        <f>tertiair!K16</f>
        <v>0</v>
      </c>
      <c r="M10" s="686">
        <f ca="1">tertiair!L16</f>
        <v>0</v>
      </c>
      <c r="N10" s="686">
        <f>tertiair!M16</f>
        <v>0</v>
      </c>
      <c r="O10" s="686">
        <f ca="1">tertiair!N16</f>
        <v>1797.7275120085151</v>
      </c>
      <c r="P10" s="686">
        <f>tertiair!O16</f>
        <v>9.7945215316823084</v>
      </c>
      <c r="Q10" s="687">
        <f>tertiair!P16</f>
        <v>157.61741491948504</v>
      </c>
      <c r="R10" s="689">
        <f ca="1">SUM(C10:Q10)</f>
        <v>72677.25815028431</v>
      </c>
      <c r="S10" s="67"/>
    </row>
    <row r="11" spans="1:19" s="448" customFormat="1">
      <c r="A11" s="808" t="s">
        <v>224</v>
      </c>
      <c r="B11" s="813"/>
      <c r="C11" s="686">
        <f>huishoudens!B8</f>
        <v>20940.590068789377</v>
      </c>
      <c r="D11" s="686">
        <f>huishoudens!C8</f>
        <v>0</v>
      </c>
      <c r="E11" s="686">
        <f>huishoudens!D8</f>
        <v>59381.784446819991</v>
      </c>
      <c r="F11" s="686">
        <f>huishoudens!E8</f>
        <v>3442.8805104617077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6175.0787031620257</v>
      </c>
      <c r="P11" s="686">
        <f>huishoudens!O8</f>
        <v>255.9306103009271</v>
      </c>
      <c r="Q11" s="687">
        <f>huishoudens!P8</f>
        <v>284.41690130749561</v>
      </c>
      <c r="R11" s="689">
        <f>SUM(C11:Q11)</f>
        <v>90480.681240841528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48193.839377999997</v>
      </c>
      <c r="D13" s="686">
        <f>industrie!C18</f>
        <v>26987.142857142859</v>
      </c>
      <c r="E13" s="686">
        <f>industrie!D18</f>
        <v>21220.202235570287</v>
      </c>
      <c r="F13" s="686">
        <f>industrie!E18</f>
        <v>701.48597268144385</v>
      </c>
      <c r="G13" s="686">
        <f>industrie!F18</f>
        <v>3260.2361891260375</v>
      </c>
      <c r="H13" s="686">
        <f>industrie!G18</f>
        <v>0</v>
      </c>
      <c r="I13" s="686">
        <f>industrie!H18</f>
        <v>0</v>
      </c>
      <c r="J13" s="686">
        <f>industrie!I18</f>
        <v>0</v>
      </c>
      <c r="K13" s="686">
        <f>industrie!J18</f>
        <v>407.07290161853541</v>
      </c>
      <c r="L13" s="686">
        <f>industrie!K18</f>
        <v>0</v>
      </c>
      <c r="M13" s="686">
        <f>industrie!L18</f>
        <v>0</v>
      </c>
      <c r="N13" s="686">
        <f>industrie!M18</f>
        <v>0</v>
      </c>
      <c r="O13" s="686">
        <f>industrie!N18</f>
        <v>1397.9739676127124</v>
      </c>
      <c r="P13" s="686">
        <f>industrie!O18</f>
        <v>0</v>
      </c>
      <c r="Q13" s="687">
        <f>industrie!P18</f>
        <v>0</v>
      </c>
      <c r="R13" s="689">
        <f>SUM(C13:Q13)</f>
        <v>102167.95350175186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100288.64870778937</v>
      </c>
      <c r="D16" s="722">
        <f t="shared" ref="D16:R16" ca="1" si="0">SUM(D9:D15)</f>
        <v>26987.142857142859</v>
      </c>
      <c r="E16" s="722">
        <f t="shared" ca="1" si="0"/>
        <v>116294.38681919029</v>
      </c>
      <c r="F16" s="722">
        <f t="shared" si="0"/>
        <v>4666.5324107576207</v>
      </c>
      <c r="G16" s="722">
        <f t="shared" ca="1" si="0"/>
        <v>6603.5238933812907</v>
      </c>
      <c r="H16" s="722">
        <f t="shared" si="0"/>
        <v>0</v>
      </c>
      <c r="I16" s="722">
        <f t="shared" si="0"/>
        <v>0</v>
      </c>
      <c r="J16" s="722">
        <f t="shared" si="0"/>
        <v>0</v>
      </c>
      <c r="K16" s="722">
        <f t="shared" si="0"/>
        <v>407.11857377342949</v>
      </c>
      <c r="L16" s="722">
        <f t="shared" si="0"/>
        <v>0</v>
      </c>
      <c r="M16" s="722">
        <f t="shared" ca="1" si="0"/>
        <v>0</v>
      </c>
      <c r="N16" s="722">
        <f t="shared" si="0"/>
        <v>0</v>
      </c>
      <c r="O16" s="722">
        <f t="shared" ca="1" si="0"/>
        <v>9370.7801827832536</v>
      </c>
      <c r="P16" s="722">
        <f t="shared" si="0"/>
        <v>265.72513183260941</v>
      </c>
      <c r="Q16" s="722">
        <f t="shared" si="0"/>
        <v>442.03431622698065</v>
      </c>
      <c r="R16" s="722">
        <f t="shared" ca="1" si="0"/>
        <v>265325.89289287769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2157.1575187502999</v>
      </c>
      <c r="I19" s="686">
        <f>transport!H54</f>
        <v>0</v>
      </c>
      <c r="J19" s="686">
        <f>transport!I54</f>
        <v>0</v>
      </c>
      <c r="K19" s="686">
        <f>transport!J54</f>
        <v>0</v>
      </c>
      <c r="L19" s="686">
        <f>transport!K54</f>
        <v>0</v>
      </c>
      <c r="M19" s="686">
        <f>transport!L54</f>
        <v>0</v>
      </c>
      <c r="N19" s="686">
        <f>transport!M54</f>
        <v>119.87619052337865</v>
      </c>
      <c r="O19" s="686">
        <f>transport!N54</f>
        <v>0</v>
      </c>
      <c r="P19" s="686">
        <f>transport!O54</f>
        <v>0</v>
      </c>
      <c r="Q19" s="687">
        <f>transport!P54</f>
        <v>0</v>
      </c>
      <c r="R19" s="689">
        <f>SUM(C19:Q19)</f>
        <v>2277.0337092736786</v>
      </c>
      <c r="S19" s="67"/>
    </row>
    <row r="20" spans="1:19" s="448" customFormat="1">
      <c r="A20" s="808" t="s">
        <v>306</v>
      </c>
      <c r="B20" s="813"/>
      <c r="C20" s="686">
        <f>transport!B14</f>
        <v>104.80403614932079</v>
      </c>
      <c r="D20" s="686">
        <f>transport!C14</f>
        <v>0</v>
      </c>
      <c r="E20" s="686">
        <f>transport!D14</f>
        <v>350.08011243920532</v>
      </c>
      <c r="F20" s="686">
        <f>transport!E14</f>
        <v>354.69813994872527</v>
      </c>
      <c r="G20" s="686">
        <f>transport!F14</f>
        <v>0</v>
      </c>
      <c r="H20" s="686">
        <f>transport!G14</f>
        <v>210552.20352132278</v>
      </c>
      <c r="I20" s="686">
        <f>transport!H14</f>
        <v>33844.801467939971</v>
      </c>
      <c r="J20" s="686">
        <f>transport!I14</f>
        <v>0</v>
      </c>
      <c r="K20" s="686">
        <f>transport!J14</f>
        <v>0</v>
      </c>
      <c r="L20" s="686">
        <f>transport!K14</f>
        <v>0</v>
      </c>
      <c r="M20" s="686">
        <f>transport!L14</f>
        <v>0</v>
      </c>
      <c r="N20" s="686">
        <f>transport!M14</f>
        <v>14377.45984329704</v>
      </c>
      <c r="O20" s="686">
        <f>transport!N14</f>
        <v>0</v>
      </c>
      <c r="P20" s="686">
        <f>transport!O14</f>
        <v>0</v>
      </c>
      <c r="Q20" s="687">
        <f>transport!P14</f>
        <v>0</v>
      </c>
      <c r="R20" s="689">
        <f>SUM(C20:Q20)</f>
        <v>259584.04712109707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104.80403614932079</v>
      </c>
      <c r="D22" s="811">
        <f t="shared" ref="D22:R22" si="1">SUM(D18:D21)</f>
        <v>0</v>
      </c>
      <c r="E22" s="811">
        <f t="shared" si="1"/>
        <v>350.08011243920532</v>
      </c>
      <c r="F22" s="811">
        <f t="shared" si="1"/>
        <v>354.69813994872527</v>
      </c>
      <c r="G22" s="811">
        <f t="shared" si="1"/>
        <v>0</v>
      </c>
      <c r="H22" s="811">
        <f t="shared" si="1"/>
        <v>212709.36104007307</v>
      </c>
      <c r="I22" s="811">
        <f t="shared" si="1"/>
        <v>33844.801467939971</v>
      </c>
      <c r="J22" s="811">
        <f t="shared" si="1"/>
        <v>0</v>
      </c>
      <c r="K22" s="811">
        <f t="shared" si="1"/>
        <v>0</v>
      </c>
      <c r="L22" s="811">
        <f t="shared" si="1"/>
        <v>0</v>
      </c>
      <c r="M22" s="811">
        <f t="shared" si="1"/>
        <v>0</v>
      </c>
      <c r="N22" s="811">
        <f t="shared" si="1"/>
        <v>14497.336033820418</v>
      </c>
      <c r="O22" s="811">
        <f t="shared" si="1"/>
        <v>0</v>
      </c>
      <c r="P22" s="811">
        <f t="shared" si="1"/>
        <v>0</v>
      </c>
      <c r="Q22" s="811">
        <f t="shared" si="1"/>
        <v>0</v>
      </c>
      <c r="R22" s="811">
        <f t="shared" si="1"/>
        <v>261861.08083037075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335.29756500000002</v>
      </c>
      <c r="D24" s="686">
        <f>+landbouw!C8</f>
        <v>10131.428571428571</v>
      </c>
      <c r="E24" s="686">
        <f>+landbouw!D8</f>
        <v>0</v>
      </c>
      <c r="F24" s="686">
        <f>+landbouw!E8</f>
        <v>10.464526436153541</v>
      </c>
      <c r="G24" s="686">
        <f>+landbouw!F8</f>
        <v>1184.9787379722741</v>
      </c>
      <c r="H24" s="686">
        <f>+landbouw!G8</f>
        <v>0</v>
      </c>
      <c r="I24" s="686">
        <f>+landbouw!H8</f>
        <v>0</v>
      </c>
      <c r="J24" s="686">
        <f>+landbouw!I8</f>
        <v>0</v>
      </c>
      <c r="K24" s="686">
        <f>+landbouw!J8</f>
        <v>92.376804425734775</v>
      </c>
      <c r="L24" s="686">
        <f>+landbouw!K8</f>
        <v>0</v>
      </c>
      <c r="M24" s="686">
        <f>+landbouw!L8</f>
        <v>0</v>
      </c>
      <c r="N24" s="686">
        <f>+landbouw!M8</f>
        <v>0</v>
      </c>
      <c r="O24" s="686">
        <f>+landbouw!N8</f>
        <v>0</v>
      </c>
      <c r="P24" s="686">
        <f>+landbouw!O8</f>
        <v>0</v>
      </c>
      <c r="Q24" s="687">
        <f>+landbouw!P8</f>
        <v>0</v>
      </c>
      <c r="R24" s="689">
        <f>SUM(C24:Q24)</f>
        <v>11754.546205262734</v>
      </c>
      <c r="S24" s="67"/>
    </row>
    <row r="25" spans="1:19" s="448" customFormat="1" ht="15" thickBot="1">
      <c r="A25" s="830" t="s">
        <v>724</v>
      </c>
      <c r="B25" s="949"/>
      <c r="C25" s="950">
        <f>IF(Onbekend_ele_kWh="---",0,Onbekend_ele_kWh)/1000+IF(REST_rest_ele_kWh="---",0,REST_rest_ele_kWh)/1000</f>
        <v>1413.244232</v>
      </c>
      <c r="D25" s="950"/>
      <c r="E25" s="950">
        <f>IF(onbekend_gas_kWh="---",0,onbekend_gas_kWh)/1000+IF(REST_rest_gas_kWh="---",0,REST_rest_gas_kWh)/1000</f>
        <v>2411.3567349999998</v>
      </c>
      <c r="F25" s="950"/>
      <c r="G25" s="950"/>
      <c r="H25" s="950"/>
      <c r="I25" s="950"/>
      <c r="J25" s="950"/>
      <c r="K25" s="950"/>
      <c r="L25" s="950"/>
      <c r="M25" s="950"/>
      <c r="N25" s="950"/>
      <c r="O25" s="950"/>
      <c r="P25" s="950"/>
      <c r="Q25" s="951"/>
      <c r="R25" s="689">
        <f>SUM(C25:Q25)</f>
        <v>3824.6009669999999</v>
      </c>
      <c r="S25" s="67"/>
    </row>
    <row r="26" spans="1:19" s="448" customFormat="1" ht="15.75" thickBot="1">
      <c r="A26" s="694" t="s">
        <v>725</v>
      </c>
      <c r="B26" s="816"/>
      <c r="C26" s="811">
        <f>SUM(C24:C25)</f>
        <v>1748.5417970000001</v>
      </c>
      <c r="D26" s="811">
        <f t="shared" ref="D26:R26" si="2">SUM(D24:D25)</f>
        <v>10131.428571428571</v>
      </c>
      <c r="E26" s="811">
        <f t="shared" si="2"/>
        <v>2411.3567349999998</v>
      </c>
      <c r="F26" s="811">
        <f t="shared" si="2"/>
        <v>10.464526436153541</v>
      </c>
      <c r="G26" s="811">
        <f t="shared" si="2"/>
        <v>1184.9787379722741</v>
      </c>
      <c r="H26" s="811">
        <f t="shared" si="2"/>
        <v>0</v>
      </c>
      <c r="I26" s="811">
        <f t="shared" si="2"/>
        <v>0</v>
      </c>
      <c r="J26" s="811">
        <f t="shared" si="2"/>
        <v>0</v>
      </c>
      <c r="K26" s="811">
        <f t="shared" si="2"/>
        <v>92.376804425734775</v>
      </c>
      <c r="L26" s="811">
        <f t="shared" si="2"/>
        <v>0</v>
      </c>
      <c r="M26" s="811">
        <f t="shared" si="2"/>
        <v>0</v>
      </c>
      <c r="N26" s="811">
        <f t="shared" si="2"/>
        <v>0</v>
      </c>
      <c r="O26" s="811">
        <f t="shared" si="2"/>
        <v>0</v>
      </c>
      <c r="P26" s="811">
        <f t="shared" si="2"/>
        <v>0</v>
      </c>
      <c r="Q26" s="811">
        <f t="shared" si="2"/>
        <v>0</v>
      </c>
      <c r="R26" s="811">
        <f t="shared" si="2"/>
        <v>15579.147172262734</v>
      </c>
      <c r="S26" s="67"/>
    </row>
    <row r="27" spans="1:19" s="448" customFormat="1" ht="17.25" thickTop="1" thickBot="1">
      <c r="A27" s="695" t="s">
        <v>115</v>
      </c>
      <c r="B27" s="803"/>
      <c r="C27" s="696">
        <f ca="1">C22+C16+C26</f>
        <v>102141.99454093869</v>
      </c>
      <c r="D27" s="696">
        <f t="shared" ref="D27:R27" ca="1" si="3">D22+D16+D26</f>
        <v>37118.571428571428</v>
      </c>
      <c r="E27" s="696">
        <f t="shared" ca="1" si="3"/>
        <v>119055.82366662948</v>
      </c>
      <c r="F27" s="696">
        <f t="shared" si="3"/>
        <v>5031.695077142499</v>
      </c>
      <c r="G27" s="696">
        <f t="shared" ca="1" si="3"/>
        <v>7788.5026313535645</v>
      </c>
      <c r="H27" s="696">
        <f t="shared" si="3"/>
        <v>212709.36104007307</v>
      </c>
      <c r="I27" s="696">
        <f t="shared" si="3"/>
        <v>33844.801467939971</v>
      </c>
      <c r="J27" s="696">
        <f t="shared" si="3"/>
        <v>0</v>
      </c>
      <c r="K27" s="696">
        <f t="shared" si="3"/>
        <v>499.49537819916429</v>
      </c>
      <c r="L27" s="696">
        <f t="shared" si="3"/>
        <v>0</v>
      </c>
      <c r="M27" s="696">
        <f t="shared" ca="1" si="3"/>
        <v>0</v>
      </c>
      <c r="N27" s="696">
        <f t="shared" si="3"/>
        <v>14497.336033820418</v>
      </c>
      <c r="O27" s="696">
        <f t="shared" ca="1" si="3"/>
        <v>9370.7801827832536</v>
      </c>
      <c r="P27" s="696">
        <f t="shared" si="3"/>
        <v>265.72513183260941</v>
      </c>
      <c r="Q27" s="696">
        <f t="shared" si="3"/>
        <v>442.03431622698065</v>
      </c>
      <c r="R27" s="696">
        <f t="shared" ca="1" si="3"/>
        <v>542766.12089551124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6646.0478342676261</v>
      </c>
      <c r="D40" s="686">
        <f ca="1">tertiair!C20</f>
        <v>0</v>
      </c>
      <c r="E40" s="686">
        <f ca="1">tertiair!D20</f>
        <v>7209.8648276336007</v>
      </c>
      <c r="F40" s="686">
        <f>tertiair!E20</f>
        <v>118.53166556848448</v>
      </c>
      <c r="G40" s="686">
        <f ca="1">tertiair!F20</f>
        <v>892.65781703615255</v>
      </c>
      <c r="H40" s="686">
        <f>tertiair!G20</f>
        <v>0</v>
      </c>
      <c r="I40" s="686">
        <f>tertiair!H20</f>
        <v>0</v>
      </c>
      <c r="J40" s="686">
        <f>tertiair!I20</f>
        <v>0</v>
      </c>
      <c r="K40" s="686">
        <f>tertiair!J20</f>
        <v>1.6167942832495081E-2</v>
      </c>
      <c r="L40" s="686">
        <f>tertiair!K20</f>
        <v>0</v>
      </c>
      <c r="M40" s="686">
        <f ca="1">tertiair!L20</f>
        <v>0</v>
      </c>
      <c r="N40" s="686">
        <f>tertiair!M20</f>
        <v>0</v>
      </c>
      <c r="O40" s="686">
        <f ca="1">tertiair!N20</f>
        <v>0</v>
      </c>
      <c r="P40" s="686">
        <f>tertiair!O20</f>
        <v>0</v>
      </c>
      <c r="Q40" s="769">
        <f>tertiair!P20</f>
        <v>0</v>
      </c>
      <c r="R40" s="849">
        <f t="shared" ca="1" si="4"/>
        <v>14867.118312448696</v>
      </c>
    </row>
    <row r="41" spans="1:18">
      <c r="A41" s="821" t="s">
        <v>224</v>
      </c>
      <c r="B41" s="828"/>
      <c r="C41" s="686">
        <f ca="1">huishoudens!B12</f>
        <v>4467.2011231937577</v>
      </c>
      <c r="D41" s="686">
        <f ca="1">huishoudens!C12</f>
        <v>0</v>
      </c>
      <c r="E41" s="686">
        <f>huishoudens!D12</f>
        <v>11995.120458257639</v>
      </c>
      <c r="F41" s="686">
        <f>huishoudens!E12</f>
        <v>781.53387587480768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17243.855457326204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10281.065275295159</v>
      </c>
      <c r="D43" s="686">
        <f ca="1">industrie!C22</f>
        <v>6413.4151260504223</v>
      </c>
      <c r="E43" s="686">
        <f>industrie!D22</f>
        <v>4286.4808515851983</v>
      </c>
      <c r="F43" s="686">
        <f>industrie!E22</f>
        <v>159.23731579868777</v>
      </c>
      <c r="G43" s="686">
        <f>industrie!F22</f>
        <v>870.48306249665211</v>
      </c>
      <c r="H43" s="686">
        <f>industrie!G22</f>
        <v>0</v>
      </c>
      <c r="I43" s="686">
        <f>industrie!H22</f>
        <v>0</v>
      </c>
      <c r="J43" s="686">
        <f>industrie!I22</f>
        <v>0</v>
      </c>
      <c r="K43" s="686">
        <f>industrie!J22</f>
        <v>144.10380717296152</v>
      </c>
      <c r="L43" s="686">
        <f>industrie!K22</f>
        <v>0</v>
      </c>
      <c r="M43" s="686">
        <f>industrie!L22</f>
        <v>0</v>
      </c>
      <c r="N43" s="686">
        <f>industrie!M22</f>
        <v>0</v>
      </c>
      <c r="O43" s="686">
        <f>industrie!N22</f>
        <v>0</v>
      </c>
      <c r="P43" s="686">
        <f>industrie!O22</f>
        <v>0</v>
      </c>
      <c r="Q43" s="769">
        <f>industrie!P22</f>
        <v>0</v>
      </c>
      <c r="R43" s="848">
        <f t="shared" ca="1" si="4"/>
        <v>22154.785438399078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21394.314232756544</v>
      </c>
      <c r="D46" s="722">
        <f t="shared" ref="D46:Q46" ca="1" si="5">SUM(D39:D45)</f>
        <v>6413.4151260504223</v>
      </c>
      <c r="E46" s="722">
        <f t="shared" ca="1" si="5"/>
        <v>23491.46613747644</v>
      </c>
      <c r="F46" s="722">
        <f t="shared" si="5"/>
        <v>1059.3028572419801</v>
      </c>
      <c r="G46" s="722">
        <f t="shared" ca="1" si="5"/>
        <v>1763.1408795328048</v>
      </c>
      <c r="H46" s="722">
        <f t="shared" si="5"/>
        <v>0</v>
      </c>
      <c r="I46" s="722">
        <f t="shared" si="5"/>
        <v>0</v>
      </c>
      <c r="J46" s="722">
        <f t="shared" si="5"/>
        <v>0</v>
      </c>
      <c r="K46" s="722">
        <f t="shared" si="5"/>
        <v>144.11997511579401</v>
      </c>
      <c r="L46" s="722">
        <f t="shared" si="5"/>
        <v>0</v>
      </c>
      <c r="M46" s="722">
        <f t="shared" ca="1" si="5"/>
        <v>0</v>
      </c>
      <c r="N46" s="722">
        <f t="shared" si="5"/>
        <v>0</v>
      </c>
      <c r="O46" s="722">
        <f t="shared" ca="1" si="5"/>
        <v>0</v>
      </c>
      <c r="P46" s="722">
        <f t="shared" si="5"/>
        <v>0</v>
      </c>
      <c r="Q46" s="722">
        <f t="shared" si="5"/>
        <v>0</v>
      </c>
      <c r="R46" s="722">
        <f ca="1">SUM(R39:R45)</f>
        <v>54265.759208173979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575.96105750633012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575.96105750633012</v>
      </c>
    </row>
    <row r="50" spans="1:18">
      <c r="A50" s="824" t="s">
        <v>306</v>
      </c>
      <c r="B50" s="834"/>
      <c r="C50" s="692">
        <f ca="1">transport!B18</f>
        <v>22.357569985541083</v>
      </c>
      <c r="D50" s="692">
        <f>transport!C18</f>
        <v>0</v>
      </c>
      <c r="E50" s="692">
        <f>transport!D18</f>
        <v>70.716182712719473</v>
      </c>
      <c r="F50" s="692">
        <f>transport!E18</f>
        <v>80.516477768360645</v>
      </c>
      <c r="G50" s="692">
        <f>transport!F18</f>
        <v>0</v>
      </c>
      <c r="H50" s="692">
        <f>transport!G18</f>
        <v>56217.438340193185</v>
      </c>
      <c r="I50" s="692">
        <f>transport!H18</f>
        <v>8427.355565517053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64818.384136176857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22.357569985541083</v>
      </c>
      <c r="D52" s="722">
        <f t="shared" ref="D52:Q52" ca="1" si="6">SUM(D48:D51)</f>
        <v>0</v>
      </c>
      <c r="E52" s="722">
        <f t="shared" si="6"/>
        <v>70.716182712719473</v>
      </c>
      <c r="F52" s="722">
        <f t="shared" si="6"/>
        <v>80.516477768360645</v>
      </c>
      <c r="G52" s="722">
        <f t="shared" si="6"/>
        <v>0</v>
      </c>
      <c r="H52" s="722">
        <f t="shared" si="6"/>
        <v>56793.399397699512</v>
      </c>
      <c r="I52" s="722">
        <f t="shared" si="6"/>
        <v>8427.355565517053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65394.345193683184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71.528149591379957</v>
      </c>
      <c r="D54" s="692">
        <f ca="1">+landbouw!C12</f>
        <v>2407.7042016806727</v>
      </c>
      <c r="E54" s="692">
        <f>+landbouw!D12</f>
        <v>0</v>
      </c>
      <c r="F54" s="692">
        <f>+landbouw!E12</f>
        <v>2.3754475010068541</v>
      </c>
      <c r="G54" s="692">
        <f>+landbouw!F12</f>
        <v>316.38932303859718</v>
      </c>
      <c r="H54" s="692">
        <f>+landbouw!G12</f>
        <v>0</v>
      </c>
      <c r="I54" s="692">
        <f>+landbouw!H12</f>
        <v>0</v>
      </c>
      <c r="J54" s="692">
        <f>+landbouw!I12</f>
        <v>0</v>
      </c>
      <c r="K54" s="692">
        <f>+landbouw!J12</f>
        <v>32.70138876671011</v>
      </c>
      <c r="L54" s="692">
        <f>+landbouw!K12</f>
        <v>0</v>
      </c>
      <c r="M54" s="692">
        <f>+landbouw!L12</f>
        <v>0</v>
      </c>
      <c r="N54" s="692">
        <f>+landbouw!M12</f>
        <v>0</v>
      </c>
      <c r="O54" s="692">
        <f>+landbouw!N12</f>
        <v>0</v>
      </c>
      <c r="P54" s="692">
        <f>+landbouw!O12</f>
        <v>0</v>
      </c>
      <c r="Q54" s="693">
        <f>+landbouw!P12</f>
        <v>0</v>
      </c>
      <c r="R54" s="721">
        <f ca="1">SUM(C54:Q54)</f>
        <v>2830.6985105783665</v>
      </c>
    </row>
    <row r="55" spans="1:18" ht="15" thickBot="1">
      <c r="A55" s="824" t="s">
        <v>724</v>
      </c>
      <c r="B55" s="834"/>
      <c r="C55" s="692">
        <f ca="1">C25*'EF ele_warmte'!B12</f>
        <v>301.48368311488002</v>
      </c>
      <c r="D55" s="692"/>
      <c r="E55" s="692">
        <f>E25*EF_CO2_aardgas</f>
        <v>487.09406046999999</v>
      </c>
      <c r="F55" s="692"/>
      <c r="G55" s="692"/>
      <c r="H55" s="692"/>
      <c r="I55" s="692"/>
      <c r="J55" s="692"/>
      <c r="K55" s="692"/>
      <c r="L55" s="692"/>
      <c r="M55" s="692"/>
      <c r="N55" s="692"/>
      <c r="O55" s="692"/>
      <c r="P55" s="692"/>
      <c r="Q55" s="693"/>
      <c r="R55" s="721">
        <f ca="1">SUM(C55:Q55)</f>
        <v>788.57774358487995</v>
      </c>
    </row>
    <row r="56" spans="1:18" ht="15.75" thickBot="1">
      <c r="A56" s="822" t="s">
        <v>725</v>
      </c>
      <c r="B56" s="835"/>
      <c r="C56" s="722">
        <f ca="1">SUM(C54:C55)</f>
        <v>373.01183270625995</v>
      </c>
      <c r="D56" s="722">
        <f t="shared" ref="D56:Q56" ca="1" si="7">SUM(D54:D55)</f>
        <v>2407.7042016806727</v>
      </c>
      <c r="E56" s="722">
        <f t="shared" si="7"/>
        <v>487.09406046999999</v>
      </c>
      <c r="F56" s="722">
        <f t="shared" si="7"/>
        <v>2.3754475010068541</v>
      </c>
      <c r="G56" s="722">
        <f t="shared" si="7"/>
        <v>316.38932303859718</v>
      </c>
      <c r="H56" s="722">
        <f t="shared" si="7"/>
        <v>0</v>
      </c>
      <c r="I56" s="722">
        <f t="shared" si="7"/>
        <v>0</v>
      </c>
      <c r="J56" s="722">
        <f t="shared" si="7"/>
        <v>0</v>
      </c>
      <c r="K56" s="722">
        <f t="shared" si="7"/>
        <v>32.70138876671011</v>
      </c>
      <c r="L56" s="722">
        <f t="shared" si="7"/>
        <v>0</v>
      </c>
      <c r="M56" s="722">
        <f t="shared" si="7"/>
        <v>0</v>
      </c>
      <c r="N56" s="722">
        <f t="shared" si="7"/>
        <v>0</v>
      </c>
      <c r="O56" s="722">
        <f t="shared" si="7"/>
        <v>0</v>
      </c>
      <c r="P56" s="722">
        <f t="shared" si="7"/>
        <v>0</v>
      </c>
      <c r="Q56" s="723">
        <f t="shared" si="7"/>
        <v>0</v>
      </c>
      <c r="R56" s="724">
        <f ca="1">SUM(R54:R55)</f>
        <v>3619.2762541632464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21789.683635448346</v>
      </c>
      <c r="D61" s="730">
        <f t="shared" ref="D61:Q61" ca="1" si="8">D46+D52+D56</f>
        <v>8821.1193277310958</v>
      </c>
      <c r="E61" s="730">
        <f t="shared" ca="1" si="8"/>
        <v>24049.276380659161</v>
      </c>
      <c r="F61" s="730">
        <f t="shared" si="8"/>
        <v>1142.1947825113475</v>
      </c>
      <c r="G61" s="730">
        <f t="shared" ca="1" si="8"/>
        <v>2079.5302025714018</v>
      </c>
      <c r="H61" s="730">
        <f t="shared" si="8"/>
        <v>56793.399397699512</v>
      </c>
      <c r="I61" s="730">
        <f t="shared" si="8"/>
        <v>8427.355565517053</v>
      </c>
      <c r="J61" s="730">
        <f t="shared" si="8"/>
        <v>0</v>
      </c>
      <c r="K61" s="730">
        <f t="shared" si="8"/>
        <v>176.8213638825041</v>
      </c>
      <c r="L61" s="730">
        <f t="shared" si="8"/>
        <v>0</v>
      </c>
      <c r="M61" s="730">
        <f t="shared" ca="1" si="8"/>
        <v>0</v>
      </c>
      <c r="N61" s="730">
        <f t="shared" si="8"/>
        <v>0</v>
      </c>
      <c r="O61" s="730">
        <f t="shared" ca="1" si="8"/>
        <v>0</v>
      </c>
      <c r="P61" s="730">
        <f t="shared" si="8"/>
        <v>0</v>
      </c>
      <c r="Q61" s="730">
        <f t="shared" si="8"/>
        <v>0</v>
      </c>
      <c r="R61" s="730">
        <f ca="1">R46+R52+R56</f>
        <v>123279.3806560204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0.21332737561449325</v>
      </c>
      <c r="D63" s="776">
        <f t="shared" ca="1" si="9"/>
        <v>0.23764705882352952</v>
      </c>
      <c r="E63" s="975">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0.35399999999999987</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5503.3379525378932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25983</v>
      </c>
      <c r="D76" s="958">
        <f>'lokale energieproductie'!C8</f>
        <v>30568.235294117643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6174.783529411764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5503.3379525378932</v>
      </c>
      <c r="C78" s="748">
        <f>SUM(C72:C77)</f>
        <v>25983</v>
      </c>
      <c r="D78" s="749">
        <f t="shared" ref="D78:H78" si="10">SUM(D76:D77)</f>
        <v>30568.235294117643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6174.783529411764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37118.571428571428</v>
      </c>
      <c r="D87" s="772">
        <f>'lokale energieproductie'!C17</f>
        <v>43668.907563025212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8821.119327731094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37118.571428571428</v>
      </c>
      <c r="D90" s="748">
        <f t="shared" ref="D90:H90" si="12">SUM(D87:D89)</f>
        <v>43668.907563025212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8821.119327731094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5503.3379525378932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25983</v>
      </c>
      <c r="C8" s="548">
        <f>B50</f>
        <v>30568.235294117643</v>
      </c>
      <c r="D8" s="549"/>
      <c r="E8" s="549">
        <f>E50</f>
        <v>0</v>
      </c>
      <c r="F8" s="550"/>
      <c r="G8" s="551"/>
      <c r="H8" s="549">
        <f>I50</f>
        <v>0</v>
      </c>
      <c r="I8" s="549">
        <f>G50+F50</f>
        <v>0</v>
      </c>
      <c r="J8" s="549">
        <f>H50+D50+C50</f>
        <v>0</v>
      </c>
      <c r="K8" s="549"/>
      <c r="L8" s="549"/>
      <c r="M8" s="549"/>
      <c r="N8" s="552"/>
      <c r="O8" s="553">
        <f>C8*$C$12+D8*$D$12+E8*$E$12+F8*$F$12+G8*$G$12+H8*$H$12+I8*$I$12+J8*$J$12</f>
        <v>6174.783529411764</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31486.337952537891</v>
      </c>
      <c r="C10" s="563">
        <f t="shared" ref="C10:L10" si="0">SUM(C8:C9)</f>
        <v>30568.235294117643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6174.783529411764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37118.571428571428</v>
      </c>
      <c r="C17" s="579">
        <f>B51</f>
        <v>43668.907563025212</v>
      </c>
      <c r="D17" s="580"/>
      <c r="E17" s="580">
        <f>E51</f>
        <v>0</v>
      </c>
      <c r="F17" s="581"/>
      <c r="G17" s="582"/>
      <c r="H17" s="579">
        <f>I51</f>
        <v>0</v>
      </c>
      <c r="I17" s="580">
        <f>G51+F51</f>
        <v>0</v>
      </c>
      <c r="J17" s="580">
        <f>H51+D51+C51</f>
        <v>0</v>
      </c>
      <c r="K17" s="580"/>
      <c r="L17" s="580"/>
      <c r="M17" s="580"/>
      <c r="N17" s="972"/>
      <c r="O17" s="583">
        <f>C17*$C$22+E17*$E$22+H17*$H$22+I17*$I$22+J17*$J$22+D17*$D$22+F17*$F$22+G17*$G$22+K17*$K$22+L17*$L$22</f>
        <v>8821.119327731094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37118.571428571428</v>
      </c>
      <c r="C20" s="562">
        <f>SUM(C17:C19)</f>
        <v>43668.907563025212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8821.119327731094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11052</v>
      </c>
      <c r="C28" s="791">
        <v>2160</v>
      </c>
      <c r="D28" s="640" t="s">
        <v>888</v>
      </c>
      <c r="E28" s="639" t="s">
        <v>889</v>
      </c>
      <c r="F28" s="639" t="s">
        <v>890</v>
      </c>
      <c r="G28" s="639" t="s">
        <v>891</v>
      </c>
      <c r="H28" s="639" t="s">
        <v>892</v>
      </c>
      <c r="I28" s="639" t="s">
        <v>889</v>
      </c>
      <c r="J28" s="790">
        <v>40246</v>
      </c>
      <c r="K28" s="790">
        <v>39468</v>
      </c>
      <c r="L28" s="639" t="s">
        <v>893</v>
      </c>
      <c r="M28" s="639">
        <v>4198</v>
      </c>
      <c r="N28" s="639">
        <v>18891</v>
      </c>
      <c r="O28" s="639">
        <v>26987.142857142859</v>
      </c>
      <c r="P28" s="639">
        <v>53974.285714285717</v>
      </c>
      <c r="Q28" s="639">
        <v>0</v>
      </c>
      <c r="R28" s="639">
        <v>0</v>
      </c>
      <c r="S28" s="639">
        <v>0</v>
      </c>
      <c r="T28" s="639">
        <v>0</v>
      </c>
      <c r="U28" s="639">
        <v>0</v>
      </c>
      <c r="V28" s="639">
        <v>0</v>
      </c>
      <c r="W28" s="639">
        <v>0</v>
      </c>
      <c r="X28" s="639">
        <v>800</v>
      </c>
      <c r="Y28" s="639" t="s">
        <v>35</v>
      </c>
      <c r="Z28" s="641" t="s">
        <v>384</v>
      </c>
    </row>
    <row r="29" spans="1:26" s="593" customFormat="1" ht="25.5">
      <c r="A29" s="592"/>
      <c r="B29" s="791">
        <v>11052</v>
      </c>
      <c r="C29" s="791">
        <v>2160</v>
      </c>
      <c r="D29" s="640" t="s">
        <v>894</v>
      </c>
      <c r="E29" s="639" t="s">
        <v>895</v>
      </c>
      <c r="F29" s="639" t="s">
        <v>896</v>
      </c>
      <c r="G29" s="639" t="s">
        <v>891</v>
      </c>
      <c r="H29" s="639" t="s">
        <v>892</v>
      </c>
      <c r="I29" s="639" t="s">
        <v>895</v>
      </c>
      <c r="J29" s="790">
        <v>39750</v>
      </c>
      <c r="K29" s="790">
        <v>39750</v>
      </c>
      <c r="L29" s="639" t="s">
        <v>897</v>
      </c>
      <c r="M29" s="639">
        <v>290</v>
      </c>
      <c r="N29" s="639">
        <v>1305</v>
      </c>
      <c r="O29" s="639">
        <v>1864.2857142857142</v>
      </c>
      <c r="P29" s="639">
        <v>3728.5714285714289</v>
      </c>
      <c r="Q29" s="639">
        <v>0</v>
      </c>
      <c r="R29" s="639">
        <v>0</v>
      </c>
      <c r="S29" s="639">
        <v>0</v>
      </c>
      <c r="T29" s="639">
        <v>0</v>
      </c>
      <c r="U29" s="639">
        <v>0</v>
      </c>
      <c r="V29" s="639">
        <v>0</v>
      </c>
      <c r="W29" s="639">
        <v>0</v>
      </c>
      <c r="X29" s="639">
        <v>10</v>
      </c>
      <c r="Y29" s="639" t="s">
        <v>111</v>
      </c>
      <c r="Z29" s="641" t="s">
        <v>111</v>
      </c>
    </row>
    <row r="30" spans="1:26" s="593" customFormat="1" ht="25.5">
      <c r="A30" s="592"/>
      <c r="B30" s="791">
        <v>11052</v>
      </c>
      <c r="C30" s="791">
        <v>2160</v>
      </c>
      <c r="D30" s="640" t="s">
        <v>898</v>
      </c>
      <c r="E30" s="639" t="s">
        <v>899</v>
      </c>
      <c r="F30" s="639" t="s">
        <v>900</v>
      </c>
      <c r="G30" s="639" t="s">
        <v>891</v>
      </c>
      <c r="H30" s="639" t="s">
        <v>892</v>
      </c>
      <c r="I30" s="639" t="s">
        <v>899</v>
      </c>
      <c r="J30" s="790">
        <v>40590</v>
      </c>
      <c r="K30" s="790">
        <v>40655</v>
      </c>
      <c r="L30" s="639" t="s">
        <v>893</v>
      </c>
      <c r="M30" s="639">
        <v>1286</v>
      </c>
      <c r="N30" s="639">
        <v>5787</v>
      </c>
      <c r="O30" s="639">
        <v>8267.1428571428569</v>
      </c>
      <c r="P30" s="639">
        <v>16534.285714285714</v>
      </c>
      <c r="Q30" s="639">
        <v>0</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5774</v>
      </c>
      <c r="N31" s="597">
        <f>SUM(N28:N30)</f>
        <v>25983</v>
      </c>
      <c r="O31" s="597">
        <f>SUM(O28:O30)</f>
        <v>37118.571428571428</v>
      </c>
      <c r="P31" s="597">
        <f>SUM(P28:P30)</f>
        <v>74237.142857142855</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4198</v>
      </c>
      <c r="N32" s="597">
        <f>SUMIF($Z$28:$Z$30,"industrie",N28:N30)</f>
        <v>18891</v>
      </c>
      <c r="O32" s="597">
        <f>SUMIF($Z$28:$Z$30,"industrie",O28:O30)</f>
        <v>26987.142857142859</v>
      </c>
      <c r="P32" s="597">
        <f>SUMIF($Z$28:$Z$30,"industrie",P28:P30)</f>
        <v>53974.285714285717</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1576</v>
      </c>
      <c r="N34" s="602">
        <f>SUMIF($Z$28:$Z$30,"landbouw",N28:N30)</f>
        <v>7092</v>
      </c>
      <c r="O34" s="602">
        <f>SUMIF($Z$28:$Z$30,"landbouw",O28:O30)</f>
        <v>10131.428571428571</v>
      </c>
      <c r="P34" s="602">
        <f>SUMIF($Z$28:$Z$30,"landbouw",P28:P30)</f>
        <v>20262.857142857141</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30568.235294117643</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43668.907563025212</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20940.590068789377</v>
      </c>
      <c r="C4" s="452">
        <f>huishoudens!C8</f>
        <v>0</v>
      </c>
      <c r="D4" s="452">
        <f>huishoudens!D8</f>
        <v>59381.784446819991</v>
      </c>
      <c r="E4" s="452">
        <f>huishoudens!E8</f>
        <v>3442.8805104617077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6175.0787031620257</v>
      </c>
      <c r="O4" s="452">
        <f>huishoudens!O8</f>
        <v>255.9306103009271</v>
      </c>
      <c r="P4" s="453">
        <f>huishoudens!P8</f>
        <v>284.41690130749561</v>
      </c>
      <c r="Q4" s="454">
        <f>SUM(B4:P4)</f>
        <v>90480.681240841528</v>
      </c>
    </row>
    <row r="5" spans="1:17">
      <c r="A5" s="451" t="s">
        <v>155</v>
      </c>
      <c r="B5" s="452">
        <f ca="1">tertiair!B16</f>
        <v>30281.703260999999</v>
      </c>
      <c r="C5" s="452">
        <f ca="1">tertiair!C16</f>
        <v>0</v>
      </c>
      <c r="D5" s="452">
        <f ca="1">tertiair!D16</f>
        <v>35692.400136800003</v>
      </c>
      <c r="E5" s="452">
        <f>tertiair!E16</f>
        <v>522.16592761446907</v>
      </c>
      <c r="F5" s="452">
        <f ca="1">tertiair!F16</f>
        <v>3343.2877042552527</v>
      </c>
      <c r="G5" s="452">
        <f>tertiair!G16</f>
        <v>0</v>
      </c>
      <c r="H5" s="452">
        <f>tertiair!H16</f>
        <v>0</v>
      </c>
      <c r="I5" s="452">
        <f>tertiair!I16</f>
        <v>0</v>
      </c>
      <c r="J5" s="452">
        <f>tertiair!J16</f>
        <v>4.56721548940539E-2</v>
      </c>
      <c r="K5" s="452">
        <f>tertiair!K16</f>
        <v>0</v>
      </c>
      <c r="L5" s="452">
        <f ca="1">tertiair!L16</f>
        <v>0</v>
      </c>
      <c r="M5" s="452">
        <f>tertiair!M16</f>
        <v>0</v>
      </c>
      <c r="N5" s="452">
        <f ca="1">tertiair!N16</f>
        <v>1797.7275120085151</v>
      </c>
      <c r="O5" s="452">
        <f>tertiair!O16</f>
        <v>9.7945215316823084</v>
      </c>
      <c r="P5" s="453">
        <f>tertiair!P16</f>
        <v>157.61741491948504</v>
      </c>
      <c r="Q5" s="451">
        <f t="shared" ref="Q5:Q14" ca="1" si="0">SUM(B5:P5)</f>
        <v>71804.742150284306</v>
      </c>
    </row>
    <row r="6" spans="1:17">
      <c r="A6" s="451" t="s">
        <v>193</v>
      </c>
      <c r="B6" s="452">
        <f>'openbare verlichting'!B8</f>
        <v>872.51599999999996</v>
      </c>
      <c r="C6" s="452"/>
      <c r="D6" s="452"/>
      <c r="E6" s="452"/>
      <c r="F6" s="452"/>
      <c r="G6" s="452"/>
      <c r="H6" s="452"/>
      <c r="I6" s="452"/>
      <c r="J6" s="452"/>
      <c r="K6" s="452"/>
      <c r="L6" s="452"/>
      <c r="M6" s="452"/>
      <c r="N6" s="452"/>
      <c r="O6" s="452"/>
      <c r="P6" s="453"/>
      <c r="Q6" s="451">
        <f t="shared" si="0"/>
        <v>872.51599999999996</v>
      </c>
    </row>
    <row r="7" spans="1:17">
      <c r="A7" s="451" t="s">
        <v>111</v>
      </c>
      <c r="B7" s="452">
        <f>landbouw!B8</f>
        <v>335.29756500000002</v>
      </c>
      <c r="C7" s="452">
        <f>landbouw!C8</f>
        <v>10131.428571428571</v>
      </c>
      <c r="D7" s="452">
        <f>landbouw!D8</f>
        <v>0</v>
      </c>
      <c r="E7" s="452">
        <f>landbouw!E8</f>
        <v>10.464526436153541</v>
      </c>
      <c r="F7" s="452">
        <f>landbouw!F8</f>
        <v>1184.9787379722741</v>
      </c>
      <c r="G7" s="452">
        <f>landbouw!G8</f>
        <v>0</v>
      </c>
      <c r="H7" s="452">
        <f>landbouw!H8</f>
        <v>0</v>
      </c>
      <c r="I7" s="452">
        <f>landbouw!I8</f>
        <v>0</v>
      </c>
      <c r="J7" s="452">
        <f>landbouw!J8</f>
        <v>92.376804425734775</v>
      </c>
      <c r="K7" s="452">
        <f>landbouw!K8</f>
        <v>0</v>
      </c>
      <c r="L7" s="452">
        <f>landbouw!L8</f>
        <v>0</v>
      </c>
      <c r="M7" s="452">
        <f>landbouw!M8</f>
        <v>0</v>
      </c>
      <c r="N7" s="452">
        <f>landbouw!N8</f>
        <v>0</v>
      </c>
      <c r="O7" s="452">
        <f>landbouw!O8</f>
        <v>0</v>
      </c>
      <c r="P7" s="453">
        <f>landbouw!P8</f>
        <v>0</v>
      </c>
      <c r="Q7" s="451">
        <f t="shared" si="0"/>
        <v>11754.546205262734</v>
      </c>
    </row>
    <row r="8" spans="1:17">
      <c r="A8" s="451" t="s">
        <v>625</v>
      </c>
      <c r="B8" s="452">
        <f>industrie!B18</f>
        <v>48193.839377999997</v>
      </c>
      <c r="C8" s="452">
        <f>industrie!C18</f>
        <v>26987.142857142859</v>
      </c>
      <c r="D8" s="452">
        <f>industrie!D18</f>
        <v>21220.202235570287</v>
      </c>
      <c r="E8" s="452">
        <f>industrie!E18</f>
        <v>701.48597268144385</v>
      </c>
      <c r="F8" s="452">
        <f>industrie!F18</f>
        <v>3260.2361891260375</v>
      </c>
      <c r="G8" s="452">
        <f>industrie!G18</f>
        <v>0</v>
      </c>
      <c r="H8" s="452">
        <f>industrie!H18</f>
        <v>0</v>
      </c>
      <c r="I8" s="452">
        <f>industrie!I18</f>
        <v>0</v>
      </c>
      <c r="J8" s="452">
        <f>industrie!J18</f>
        <v>407.07290161853541</v>
      </c>
      <c r="K8" s="452">
        <f>industrie!K18</f>
        <v>0</v>
      </c>
      <c r="L8" s="452">
        <f>industrie!L18</f>
        <v>0</v>
      </c>
      <c r="M8" s="452">
        <f>industrie!M18</f>
        <v>0</v>
      </c>
      <c r="N8" s="452">
        <f>industrie!N18</f>
        <v>1397.9739676127124</v>
      </c>
      <c r="O8" s="452">
        <f>industrie!O18</f>
        <v>0</v>
      </c>
      <c r="P8" s="453">
        <f>industrie!P18</f>
        <v>0</v>
      </c>
      <c r="Q8" s="451">
        <f t="shared" si="0"/>
        <v>102167.95350175186</v>
      </c>
    </row>
    <row r="9" spans="1:17" s="457" customFormat="1">
      <c r="A9" s="455" t="s">
        <v>551</v>
      </c>
      <c r="B9" s="456">
        <f>transport!B14</f>
        <v>104.80403614932079</v>
      </c>
      <c r="C9" s="456">
        <f>transport!C14</f>
        <v>0</v>
      </c>
      <c r="D9" s="456">
        <f>transport!D14</f>
        <v>350.08011243920532</v>
      </c>
      <c r="E9" s="456">
        <f>transport!E14</f>
        <v>354.69813994872527</v>
      </c>
      <c r="F9" s="456">
        <f>transport!F14</f>
        <v>0</v>
      </c>
      <c r="G9" s="456">
        <f>transport!G14</f>
        <v>210552.20352132278</v>
      </c>
      <c r="H9" s="456">
        <f>transport!H14</f>
        <v>33844.801467939971</v>
      </c>
      <c r="I9" s="456">
        <f>transport!I14</f>
        <v>0</v>
      </c>
      <c r="J9" s="456">
        <f>transport!J14</f>
        <v>0</v>
      </c>
      <c r="K9" s="456">
        <f>transport!K14</f>
        <v>0</v>
      </c>
      <c r="L9" s="456">
        <f>transport!L14</f>
        <v>0</v>
      </c>
      <c r="M9" s="456">
        <f>transport!M14</f>
        <v>14377.45984329704</v>
      </c>
      <c r="N9" s="456">
        <f>transport!N14</f>
        <v>0</v>
      </c>
      <c r="O9" s="456">
        <f>transport!O14</f>
        <v>0</v>
      </c>
      <c r="P9" s="456">
        <f>transport!P14</f>
        <v>0</v>
      </c>
      <c r="Q9" s="455">
        <f>SUM(B9:P9)</f>
        <v>259584.04712109707</v>
      </c>
    </row>
    <row r="10" spans="1:17">
      <c r="A10" s="451" t="s">
        <v>541</v>
      </c>
      <c r="B10" s="452">
        <f>transport!B54</f>
        <v>0</v>
      </c>
      <c r="C10" s="452">
        <f>transport!C54</f>
        <v>0</v>
      </c>
      <c r="D10" s="452">
        <f>transport!D54</f>
        <v>0</v>
      </c>
      <c r="E10" s="452">
        <f>transport!E54</f>
        <v>0</v>
      </c>
      <c r="F10" s="452">
        <f>transport!F54</f>
        <v>0</v>
      </c>
      <c r="G10" s="452">
        <f>transport!G54</f>
        <v>2157.1575187502999</v>
      </c>
      <c r="H10" s="452">
        <f>transport!H54</f>
        <v>0</v>
      </c>
      <c r="I10" s="452">
        <f>transport!I54</f>
        <v>0</v>
      </c>
      <c r="J10" s="452">
        <f>transport!J54</f>
        <v>0</v>
      </c>
      <c r="K10" s="452">
        <f>transport!K54</f>
        <v>0</v>
      </c>
      <c r="L10" s="452">
        <f>transport!L54</f>
        <v>0</v>
      </c>
      <c r="M10" s="452">
        <f>transport!M54</f>
        <v>119.87619052337865</v>
      </c>
      <c r="N10" s="452">
        <f>transport!N54</f>
        <v>0</v>
      </c>
      <c r="O10" s="452">
        <f>transport!O54</f>
        <v>0</v>
      </c>
      <c r="P10" s="453">
        <f>transport!P54</f>
        <v>0</v>
      </c>
      <c r="Q10" s="451">
        <f t="shared" si="0"/>
        <v>2277.0337092736786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1413.244232</v>
      </c>
      <c r="C14" s="459"/>
      <c r="D14" s="459">
        <f>'SEAP template'!E25</f>
        <v>2411.3567349999998</v>
      </c>
      <c r="E14" s="459"/>
      <c r="F14" s="459"/>
      <c r="G14" s="459"/>
      <c r="H14" s="459"/>
      <c r="I14" s="459"/>
      <c r="J14" s="459"/>
      <c r="K14" s="459"/>
      <c r="L14" s="459"/>
      <c r="M14" s="459"/>
      <c r="N14" s="459"/>
      <c r="O14" s="459"/>
      <c r="P14" s="460"/>
      <c r="Q14" s="451">
        <f t="shared" si="0"/>
        <v>3824.6009669999999</v>
      </c>
    </row>
    <row r="15" spans="1:17" s="463" customFormat="1">
      <c r="A15" s="461" t="s">
        <v>545</v>
      </c>
      <c r="B15" s="462">
        <f ca="1">SUM(B4:B14)</f>
        <v>102141.9945409387</v>
      </c>
      <c r="C15" s="462">
        <f t="shared" ref="C15:Q15" ca="1" si="1">SUM(C4:C14)</f>
        <v>37118.571428571428</v>
      </c>
      <c r="D15" s="462">
        <f t="shared" ca="1" si="1"/>
        <v>119055.82366662948</v>
      </c>
      <c r="E15" s="462">
        <f t="shared" si="1"/>
        <v>5031.695077142499</v>
      </c>
      <c r="F15" s="462">
        <f t="shared" ca="1" si="1"/>
        <v>7788.5026313535636</v>
      </c>
      <c r="G15" s="462">
        <f t="shared" si="1"/>
        <v>212709.36104007307</v>
      </c>
      <c r="H15" s="462">
        <f t="shared" si="1"/>
        <v>33844.801467939971</v>
      </c>
      <c r="I15" s="462">
        <f t="shared" si="1"/>
        <v>0</v>
      </c>
      <c r="J15" s="462">
        <f t="shared" si="1"/>
        <v>499.49537819916424</v>
      </c>
      <c r="K15" s="462">
        <f t="shared" si="1"/>
        <v>0</v>
      </c>
      <c r="L15" s="462">
        <f t="shared" ca="1" si="1"/>
        <v>0</v>
      </c>
      <c r="M15" s="462">
        <f t="shared" si="1"/>
        <v>14497.336033820418</v>
      </c>
      <c r="N15" s="462">
        <f t="shared" ca="1" si="1"/>
        <v>9370.7801827832536</v>
      </c>
      <c r="O15" s="462">
        <f t="shared" si="1"/>
        <v>265.72513183260941</v>
      </c>
      <c r="P15" s="462">
        <f t="shared" si="1"/>
        <v>442.03431622698065</v>
      </c>
      <c r="Q15" s="462">
        <f t="shared" ca="1" si="1"/>
        <v>542766.12089551124</v>
      </c>
    </row>
    <row r="17" spans="1:17">
      <c r="A17" s="464" t="s">
        <v>546</v>
      </c>
      <c r="B17" s="781">
        <f ca="1">huishoudens!B10</f>
        <v>0.21332737561449322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4467.2011231937577</v>
      </c>
      <c r="C22" s="452">
        <f t="shared" ref="C22:C32" ca="1" si="3">C4*$C$17</f>
        <v>0</v>
      </c>
      <c r="D22" s="452">
        <f t="shared" ref="D22:D32" si="4">D4*$D$17</f>
        <v>11995.120458257639</v>
      </c>
      <c r="E22" s="452">
        <f t="shared" ref="E22:E32" si="5">E4*$E$17</f>
        <v>781.53387587480768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17243.855457326204</v>
      </c>
    </row>
    <row r="23" spans="1:17">
      <c r="A23" s="451" t="s">
        <v>155</v>
      </c>
      <c r="B23" s="452">
        <f t="shared" ca="1" si="2"/>
        <v>6459.9162858059708</v>
      </c>
      <c r="C23" s="452">
        <f t="shared" ca="1" si="3"/>
        <v>0</v>
      </c>
      <c r="D23" s="452">
        <f t="shared" ca="1" si="4"/>
        <v>7209.8648276336007</v>
      </c>
      <c r="E23" s="452">
        <f t="shared" si="5"/>
        <v>118.53166556848448</v>
      </c>
      <c r="F23" s="452">
        <f t="shared" ca="1" si="6"/>
        <v>892.65781703615255</v>
      </c>
      <c r="G23" s="452">
        <f t="shared" si="7"/>
        <v>0</v>
      </c>
      <c r="H23" s="452">
        <f t="shared" si="8"/>
        <v>0</v>
      </c>
      <c r="I23" s="452">
        <f t="shared" si="9"/>
        <v>0</v>
      </c>
      <c r="J23" s="452">
        <f t="shared" si="10"/>
        <v>1.6167942832495081E-2</v>
      </c>
      <c r="K23" s="452">
        <f t="shared" si="11"/>
        <v>0</v>
      </c>
      <c r="L23" s="452">
        <f t="shared" ca="1" si="12"/>
        <v>0</v>
      </c>
      <c r="M23" s="452">
        <f t="shared" si="13"/>
        <v>0</v>
      </c>
      <c r="N23" s="452">
        <f t="shared" ca="1" si="14"/>
        <v>0</v>
      </c>
      <c r="O23" s="452">
        <f t="shared" si="15"/>
        <v>0</v>
      </c>
      <c r="P23" s="453">
        <f t="shared" si="16"/>
        <v>0</v>
      </c>
      <c r="Q23" s="451">
        <f t="shared" ref="Q23:Q31" ca="1" si="17">SUM(B23:P23)</f>
        <v>14680.986763987039</v>
      </c>
    </row>
    <row r="24" spans="1:17">
      <c r="A24" s="451" t="s">
        <v>193</v>
      </c>
      <c r="B24" s="452">
        <f t="shared" ca="1" si="2"/>
        <v>186.13154846165517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186.13154846165517</v>
      </c>
    </row>
    <row r="25" spans="1:17">
      <c r="A25" s="451" t="s">
        <v>111</v>
      </c>
      <c r="B25" s="452">
        <f t="shared" ca="1" si="2"/>
        <v>71.528149591379957</v>
      </c>
      <c r="C25" s="452">
        <f t="shared" ca="1" si="3"/>
        <v>2407.7042016806727</v>
      </c>
      <c r="D25" s="452">
        <f t="shared" si="4"/>
        <v>0</v>
      </c>
      <c r="E25" s="452">
        <f t="shared" si="5"/>
        <v>2.3754475010068541</v>
      </c>
      <c r="F25" s="452">
        <f t="shared" si="6"/>
        <v>316.38932303859718</v>
      </c>
      <c r="G25" s="452">
        <f t="shared" si="7"/>
        <v>0</v>
      </c>
      <c r="H25" s="452">
        <f t="shared" si="8"/>
        <v>0</v>
      </c>
      <c r="I25" s="452">
        <f t="shared" si="9"/>
        <v>0</v>
      </c>
      <c r="J25" s="452">
        <f t="shared" si="10"/>
        <v>32.70138876671011</v>
      </c>
      <c r="K25" s="452">
        <f t="shared" si="11"/>
        <v>0</v>
      </c>
      <c r="L25" s="452">
        <f t="shared" si="12"/>
        <v>0</v>
      </c>
      <c r="M25" s="452">
        <f t="shared" si="13"/>
        <v>0</v>
      </c>
      <c r="N25" s="452">
        <f t="shared" si="14"/>
        <v>0</v>
      </c>
      <c r="O25" s="452">
        <f t="shared" si="15"/>
        <v>0</v>
      </c>
      <c r="P25" s="453">
        <f t="shared" si="16"/>
        <v>0</v>
      </c>
      <c r="Q25" s="451">
        <f t="shared" ca="1" si="17"/>
        <v>2830.6985105783665</v>
      </c>
    </row>
    <row r="26" spans="1:17">
      <c r="A26" s="451" t="s">
        <v>625</v>
      </c>
      <c r="B26" s="452">
        <f t="shared" ca="1" si="2"/>
        <v>10281.065275295159</v>
      </c>
      <c r="C26" s="452">
        <f t="shared" ca="1" si="3"/>
        <v>6413.4151260504223</v>
      </c>
      <c r="D26" s="452">
        <f t="shared" si="4"/>
        <v>4286.4808515851983</v>
      </c>
      <c r="E26" s="452">
        <f t="shared" si="5"/>
        <v>159.23731579868777</v>
      </c>
      <c r="F26" s="452">
        <f t="shared" si="6"/>
        <v>870.48306249665211</v>
      </c>
      <c r="G26" s="452">
        <f t="shared" si="7"/>
        <v>0</v>
      </c>
      <c r="H26" s="452">
        <f t="shared" si="8"/>
        <v>0</v>
      </c>
      <c r="I26" s="452">
        <f t="shared" si="9"/>
        <v>0</v>
      </c>
      <c r="J26" s="452">
        <f t="shared" si="10"/>
        <v>144.10380717296152</v>
      </c>
      <c r="K26" s="452">
        <f t="shared" si="11"/>
        <v>0</v>
      </c>
      <c r="L26" s="452">
        <f t="shared" si="12"/>
        <v>0</v>
      </c>
      <c r="M26" s="452">
        <f t="shared" si="13"/>
        <v>0</v>
      </c>
      <c r="N26" s="452">
        <f t="shared" si="14"/>
        <v>0</v>
      </c>
      <c r="O26" s="452">
        <f t="shared" si="15"/>
        <v>0</v>
      </c>
      <c r="P26" s="453">
        <f t="shared" si="16"/>
        <v>0</v>
      </c>
      <c r="Q26" s="451">
        <f t="shared" ca="1" si="17"/>
        <v>22154.785438399078</v>
      </c>
    </row>
    <row r="27" spans="1:17" s="457" customFormat="1">
      <c r="A27" s="455" t="s">
        <v>551</v>
      </c>
      <c r="B27" s="775">
        <f t="shared" ca="1" si="2"/>
        <v>22.357569985541083</v>
      </c>
      <c r="C27" s="456">
        <f t="shared" ca="1" si="3"/>
        <v>0</v>
      </c>
      <c r="D27" s="456">
        <f t="shared" si="4"/>
        <v>70.716182712719473</v>
      </c>
      <c r="E27" s="456">
        <f t="shared" si="5"/>
        <v>80.516477768360645</v>
      </c>
      <c r="F27" s="456">
        <f t="shared" si="6"/>
        <v>0</v>
      </c>
      <c r="G27" s="456">
        <f t="shared" si="7"/>
        <v>56217.438340193185</v>
      </c>
      <c r="H27" s="456">
        <f t="shared" si="8"/>
        <v>8427.355565517053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64818.384136176857</v>
      </c>
    </row>
    <row r="28" spans="1:17" ht="16.5" customHeight="1">
      <c r="A28" s="451" t="s">
        <v>541</v>
      </c>
      <c r="B28" s="452">
        <f t="shared" ca="1" si="2"/>
        <v>0</v>
      </c>
      <c r="C28" s="452">
        <f t="shared" ca="1" si="3"/>
        <v>0</v>
      </c>
      <c r="D28" s="452">
        <f t="shared" si="4"/>
        <v>0</v>
      </c>
      <c r="E28" s="452">
        <f t="shared" si="5"/>
        <v>0</v>
      </c>
      <c r="F28" s="452">
        <f t="shared" si="6"/>
        <v>0</v>
      </c>
      <c r="G28" s="452">
        <f t="shared" si="7"/>
        <v>575.96105750633012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575.96105750633012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301.48368311488002</v>
      </c>
      <c r="C32" s="452">
        <f t="shared" ca="1" si="3"/>
        <v>0</v>
      </c>
      <c r="D32" s="452">
        <f t="shared" si="4"/>
        <v>487.09406046999999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788.57774358487995</v>
      </c>
    </row>
    <row r="33" spans="1:17" s="463" customFormat="1">
      <c r="A33" s="461" t="s">
        <v>545</v>
      </c>
      <c r="B33" s="462">
        <f ca="1">SUM(B22:B32)</f>
        <v>21789.683635448346</v>
      </c>
      <c r="C33" s="462">
        <f t="shared" ref="C33:Q33" ca="1" si="19">SUM(C22:C32)</f>
        <v>8821.1193277310958</v>
      </c>
      <c r="D33" s="462">
        <f t="shared" ca="1" si="19"/>
        <v>24049.276380659161</v>
      </c>
      <c r="E33" s="462">
        <f t="shared" si="19"/>
        <v>1142.1947825113475</v>
      </c>
      <c r="F33" s="462">
        <f t="shared" ca="1" si="19"/>
        <v>2079.5302025714018</v>
      </c>
      <c r="G33" s="462">
        <f t="shared" si="19"/>
        <v>56793.399397699512</v>
      </c>
      <c r="H33" s="462">
        <f t="shared" si="19"/>
        <v>8427.355565517053</v>
      </c>
      <c r="I33" s="462">
        <f t="shared" si="19"/>
        <v>0</v>
      </c>
      <c r="J33" s="462">
        <f t="shared" si="19"/>
        <v>176.82136388250413</v>
      </c>
      <c r="K33" s="462">
        <f t="shared" si="19"/>
        <v>0</v>
      </c>
      <c r="L33" s="462">
        <f t="shared" ca="1" si="19"/>
        <v>0</v>
      </c>
      <c r="M33" s="462">
        <f t="shared" si="19"/>
        <v>0</v>
      </c>
      <c r="N33" s="462">
        <f t="shared" ca="1" si="19"/>
        <v>0</v>
      </c>
      <c r="O33" s="462">
        <f t="shared" si="19"/>
        <v>0</v>
      </c>
      <c r="P33" s="462">
        <f t="shared" si="19"/>
        <v>0</v>
      </c>
      <c r="Q33" s="462">
        <f t="shared" ca="1" si="19"/>
        <v>123279.38065602041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5503.3379525378932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25983</v>
      </c>
      <c r="D8" s="1029">
        <f>'SEAP template'!D76</f>
        <v>30568.235294117643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6174.783529411764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5503.3379525378932</v>
      </c>
      <c r="C10" s="1031">
        <f>SUM(C4:C9)</f>
        <v>25983</v>
      </c>
      <c r="D10" s="1031">
        <f t="shared" ref="D10:H10" si="0">SUM(D8:D9)</f>
        <v>30568.235294117643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6174.783529411764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0.21332737561449322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37118.571428571428</v>
      </c>
      <c r="D17" s="1030">
        <f>'SEAP template'!D87</f>
        <v>43668.907563025212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8821.119327731094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37118.571428571428</v>
      </c>
      <c r="D20" s="1031">
        <f t="shared" ref="D20:H20" si="2">SUM(D17:D19)</f>
        <v>43668.907563025212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8821.119327731094</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0.21332737561449322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2020-06-20T15:28:27Z</dcterms:modified>
</cp:coreProperties>
</file>