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J15" i="16"/>
  <c r="D6" i="17"/>
  <c r="I9" i="18"/>
  <c r="I77" i="14" s="1"/>
  <c r="I9" i="59" s="1"/>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<sst xmlns="http://schemas.openxmlformats.org/spreadsheetml/2006/main" count="2402" uniqueCount="888">
  <si>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</si>
  <si>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</si>
  <si>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</si>
  <si>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</si>
  <si>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</si>
  <si>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</si>
  <si>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</si>
  <si>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</si>
  <si>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</si>
  <si>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</si>
  <si>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</si>
  <si>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</si>
  <si>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</si>
  <si>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</si>
  <si>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</si>
  <si>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</si>
  <si>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</si>
  <si>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</si>
  <si>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</si>
  <si>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</si>
  <si>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</si>
  <si>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</si>
  <si>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</si>
  <si>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</si>
  <si>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</si>
  <si>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</si>
  <si>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</si>
  <si>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</si>
  <si>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</si>
  <si>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</si>
  <si>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</si>
  <si>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</si>
  <si>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</si>
  <si>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</si>
  <si>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</si>
  <si>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</si>
  <si>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</si>
  <si>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</si>
  <si>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</si>
  <si>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</si>
  <si>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</si>
  <si>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</si>
  <si>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</si>
  <si>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</si>
  <si>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</si>
  <si>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</si>
  <si>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</si>
  <si>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</si>
  <si>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</si>
  <si>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</si>
  <si>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</si>
  <si>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</si>
  <si>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</si>
  <si>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</si>
  <si>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</si>
  <si>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</si>
  <si>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</si>
  <si>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</si>
  <si>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</si>
  <si>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</si>
  <si>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</si>
  <si>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</si>
  <si>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</si>
  <si>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</si>
  <si>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</si>
  <si>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</si>
  <si>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</si>
  <si>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</si>
  <si>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</si>
  <si>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</si>
  <si>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</si>
  <si>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</si>
  <si>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</si>
  <si>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</si>
  <si>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</si>
  <si>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</si>
  <si>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</si>
  <si>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</si>
  <si>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</si>
  <si>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</si>
  <si>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</si>
  <si>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</si>
  <si>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</si>
  <si>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</si>
  <si>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</si>
  <si>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</si>
  <si>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</si>
  <si>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</si>
  <si>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</si>
  <si>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</si>
  <si>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</si>
  <si>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</si>
  <si>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</si>
  <si>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</si>
  <si>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</si>
  <si>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</si>
  <si>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</si>
  <si>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</si>
  <si>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</si>
  <si>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</si>
  <si>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</si>
  <si>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</si>
  <si>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</si>
  <si>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</si>
  <si>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</si>
  <si>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</si>
  <si>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</si>
  <si>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</si>
  <si>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</si>
  <si>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</si>
  <si>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</si>
  <si>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</si>
  <si>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</si>
  <si>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</si>
  <si>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</si>
  <si>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</si>
  <si>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</si>
  <si>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</si>
  <si>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</si>
  <si>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</si>
  <si>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</si>
  <si>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</si>
  <si>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</si>
  <si>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</si>
  <si>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</si>
  <si>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</si>
  <si>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</si>
  <si>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</si>
  <si>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</si>
  <si>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</si>
  <si>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</si>
  <si>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</si>
  <si>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</si>
  <si>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</si>
  <si>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</si>
  <si>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</si>
  <si>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</si>
  <si>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</si>
  <si>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</si>
  <si>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</si>
  <si>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</si>
  <si>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</si>
  <si>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</si>
  <si>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</si>
  <si>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</si>
  <si>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</si>
  <si>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</si>
  <si>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</si>
  <si>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</si>
  <si>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</si>
  <si>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</si>
  <si>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</si>
  <si>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</si>
  <si>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</si>
  <si>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</si>
  <si>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</si>
  <si>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</si>
  <si>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</si>
  <si>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</si>
  <si>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</si>
  <si>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</si>
  <si>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</si>
  <si>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</si>
  <si>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</si>
  <si>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</si>
  <si>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</si>
  <si>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</si>
  <si>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</si>
  <si>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</si>
  <si>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</si>
  <si>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</si>
  <si>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</si>
  <si>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</si>
  <si>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</si>
  <si>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</si>
  <si>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</si>
  <si>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</si>
  <si>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</si>
  <si>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</si>
  <si>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</si>
  <si>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</si>
  <si>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</si>
  <si>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</si>
  <si>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</si>
  <si>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</si>
  <si>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</si>
  <si>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</si>
  <si>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</si>
  <si>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</si>
  <si>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</si>
  <si>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</si>
  <si>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</si>
  <si>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</si>
  <si>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</si>
  <si>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</si>
  <si>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</si>
  <si>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</si>
  <si>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</si>
  <si>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</si>
  <si>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</si>
  <si>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</si>
  <si>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</si>
  <si>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</si>
  <si>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</si>
  <si>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</si>
  <si>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</si>
  <si>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</si>
  <si>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</si>
  <si>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</si>
  <si>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</si>
  <si>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</si>
  <si>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</si>
  <si>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</si>
  <si>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</si>
  <si>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</si>
  <si>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</si>
  <si>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</si>
  <si>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</si>
  <si>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</si>
  <si>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</si>
  <si>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</si>
  <si>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</si>
  <si>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</si>
  <si>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</si>
  <si>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</si>
  <si>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</si>
  <si>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</si>
  <si>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</si>
  <si>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</si>
  <si>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</si>
  <si>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</si>
  <si>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</si>
  <si>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</si>
  <si>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</si>
  <si>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</si>
  <si>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</si>
  <si>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</si>
  <si>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</si>
  <si>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</si>
  <si>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</si>
  <si>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</si>
  <si>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</si>
  <si>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</si>
  <si>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</si>
  <si>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</si>
  <si>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</si>
  <si>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</si>
  <si>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</si>
  <si>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</si>
  <si>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</si>
  <si>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</si>
  <si>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</si>
  <si>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</si>
  <si>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</si>
  <si>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</si>
  <si>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</si>
  <si>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</si>
  <si>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</si>
  <si>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</si>
  <si>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</si>
  <si>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</si>
  <si>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</si>
  <si>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</si>
  <si>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</si>
  <si>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</si>
  <si>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</si>
  <si>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</si>
  <si>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</si>
  <si>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</si>
  <si>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</si>
  <si>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</si>
  <si>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</si>
  <si>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</si>
  <si>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</si>
  <si>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</si>
  <si>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</si>
  <si>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</si>
  <si>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</si>
  <si>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</si>
  <si>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</si>
  <si>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</si>
  <si>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</si>
  <si>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</si>
  <si>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</si>
  <si>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</si>
  <si>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</si>
  <si>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</si>
  <si>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</si>
  <si>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</si>
  <si>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</si>
  <si>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</si>
  <si>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</si>
  <si>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</si>
  <si>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</si>
  <si>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</si>
  <si>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</si>
  <si>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</si>
  <si>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</si>
  <si>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</si>
  <si>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</si>
  <si>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</si>
  <si>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</si>
  <si>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</si>
  <si>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</si>
  <si>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</si>
  <si>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</si>
  <si>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</si>
  <si>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</si>
  <si>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</si>
  <si>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</si>
  <si>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</si>
  <si>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</si>
  <si>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</si>
  <si>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</si>
  <si>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</si>
  <si>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</si>
  <si>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</si>
  <si>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</si>
  <si>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</si>
  <si>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</si>
  <si>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</si>
  <si>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</si>
  <si>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</si>
  <si>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</si>
  <si>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</si>
  <si>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</si>
  <si>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</si>
  <si>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</si>
  <si>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</si>
  <si>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</si>
  <si>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</si>
  <si>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</si>
  <si>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</si>
  <si>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</si>
  <si>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</si>
  <si>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</si>
  <si>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</si>
  <si>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</si>
  <si>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</si>
  <si>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</si>
  <si>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</si>
  <si>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</si>
  <si>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</si>
  <si>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</si>
  <si>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</si>
  <si>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</si>
  <si>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</si>
  <si>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</si>
  <si>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</si>
  <si>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</si>
  <si>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</si>
  <si>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</si>
  <si>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</si>
  <si>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</si>
  <si>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</si>
  <si>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</si>
  <si>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</si>
  <si>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</si>
  <si>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</si>
  <si>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</si>
  <si>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</si>
  <si>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</si>
  <si>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</si>
  <si>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</si>
  <si>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</si>
  <si>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</si>
  <si>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</si>
  <si>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</si>
  <si>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</si>
  <si>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</si>
  <si>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</si>
  <si>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</si>
  <si>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</si>
  <si>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</si>
  <si>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</si>
  <si>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</si>
  <si>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</si>
  <si>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</si>
  <si>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</si>
  <si>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</si>
  <si>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</si>
  <si>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</si>
  <si>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</si>
  <si>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</si>
  <si>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</si>
  <si>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</si>
  <si>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</si>
  <si>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</si>
  <si>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</si>
  <si>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</si>
  <si>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</si>
  <si>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</si>
  <si>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</si>
  <si>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</si>
  <si>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</si>
  <si>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</si>
  <si>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</si>
  <si>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</si>
  <si>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</si>
  <si>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</si>
  <si>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</si>
  <si>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</si>
  <si>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</si>
  <si>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</si>
  <si>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</si>
  <si>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</si>
  <si>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</si>
  <si>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</si>
  <si>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</si>
  <si>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</si>
  <si>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</si>
  <si>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</si>
  <si>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</si>
  <si>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</si>
  <si>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</si>
  <si>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</si>
  <si>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</si>
  <si>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</si>
  <si>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</si>
  <si>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</si>
  <si>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</si>
  <si>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</si>
  <si>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</si>
  <si>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</si>
  <si>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</si>
  <si>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</si>
  <si>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</si>
  <si>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</si>
  <si>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</si>
  <si>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</si>
  <si>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</si>
  <si>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</si>
  <si>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</si>
  <si>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</si>
  <si>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</si>
  <si>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</si>
  <si>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</si>
  <si>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</si>
  <si>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</si>
  <si>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</si>
  <si>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</si>
  <si>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</si>
  <si>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</si>
  <si>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</si>
  <si>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</si>
  <si>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</si>
  <si>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</si>
  <si>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</si>
  <si>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</si>
  <si>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</si>
  <si>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</si>
  <si>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</si>
  <si>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</si>
  <si>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</si>
  <si>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</si>
  <si>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</si>
  <si>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</si>
  <si>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</si>
  <si>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</si>
  <si>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</si>
  <si>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</si>
  <si>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</si>
  <si>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</si>
  <si>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</si>
  <si>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</si>
  <si>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</si>
  <si>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</si>
  <si>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</si>
  <si>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</si>
  <si>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</si>
  <si>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</si>
  <si>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</si>
  <si>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</si>
  <si>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</si>
  <si>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</si>
  <si>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</si>
  <si>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</si>
  <si>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</si>
  <si>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</si>
  <si>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</si>
  <si>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</si>
  <si>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</si>
  <si>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</si>
  <si>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</si>
  <si>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</si>
  <si>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</si>
  <si>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</si>
  <si>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</si>
  <si>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</si>
  <si>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</si>
  <si>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</si>
  <si>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</si>
  <si>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</si>
  <si>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</si>
  <si>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</si>
  <si>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</si>
  <si>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</si>
  <si>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</si>
  <si>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</si>
  <si>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</si>
  <si>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</si>
  <si>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</si>
  <si>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</si>
  <si>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</si>
  <si>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</si>
  <si>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</si>
  <si>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</si>
  <si>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</si>
  <si>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</si>
  <si>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</si>
  <si>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</si>
  <si>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</si>
  <si>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</si>
  <si>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</si>
  <si>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</si>
  <si>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</si>
  <si>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</si>
  <si>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</si>
  <si>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</si>
  <si>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</si>
  <si>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</si>
  <si>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</si>
  <si>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</si>
  <si>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</si>
  <si>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</si>
  <si>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</si>
  <si>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</si>
  <si>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</si>
  <si>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</si>
  <si>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</si>
  <si>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</si>
  <si>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</si>
  <si>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</si>
  <si>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</si>
  <si>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</si>
  <si>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</si>
  <si>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</si>
  <si>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</si>
  <si>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</si>
  <si>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</si>
  <si>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</si>
  <si>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</si>
  <si>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</si>
  <si>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</si>
  <si>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</si>
  <si>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</si>
  <si>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</si>
  <si>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</si>
  <si>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</si>
  <si>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</si>
  <si>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</si>
  <si>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</si>
  <si>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</si>
  <si>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</si>
  <si>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</si>
  <si>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</si>
  <si>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</si>
  <si>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</si>
  <si>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</si>
  <si>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</si>
  <si>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</si>
  <si>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</si>
  <si>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</si>
  <si>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</si>
  <si>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</si>
  <si>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</si>
  <si>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</si>
  <si>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</si>
  <si>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</si>
  <si>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</si>
  <si>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</si>
  <si>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</si>
  <si>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</si>
  <si>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</si>
  <si>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</si>
  <si>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</si>
  <si>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</si>
  <si>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</si>
  <si>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</si>
  <si>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</si>
  <si>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</si>
  <si>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</si>
  <si>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</si>
  <si>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</si>
  <si>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</si>
  <si>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</si>
  <si>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</si>
  <si>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</si>
  <si>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</si>
  <si>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</si>
  <si>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</si>
  <si>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</si>
  <si>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</si>
  <si>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</si>
  <si>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</si>
  <si>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</si>
  <si>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</si>
  <si>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</si>
  <si>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</si>
  <si>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</si>
  <si>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</si>
  <si>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</si>
  <si>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</si>
  <si>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</si>
  <si>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</si>
  <si>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</si>
  <si>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</si>
  <si>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</si>
  <si>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</si>
  <si>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</si>
  <si>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</si>
  <si>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</si>
  <si>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</si>
  <si>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</si>
  <si>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</si>
  <si>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</si>
  <si>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</si>
  <si>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</si>
  <si>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</si>
  <si>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</si>
  <si>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</si>
  <si>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</si>
  <si>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</si>
  <si>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</si>
  <si>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</si>
  <si>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</si>
  <si>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</si>
  <si>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</si>
  <si>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</si>
  <si>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</si>
  <si>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</si>
  <si>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</si>
  <si>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</si>
  <si>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</si>
  <si>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</si>
  <si>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</si>
  <si>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</si>
  <si>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</si>
  <si>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</si>
  <si>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</si>
  <si>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</si>
  <si>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</si>
  <si>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</si>
  <si>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</si>
  <si>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</si>
  <si>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</si>
  <si>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</si>
  <si>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</si>
  <si>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</si>
  <si>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</si>
  <si>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</si>
  <si>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</si>
  <si>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</si>
  <si>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</si>
  <si>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</si>
  <si>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</si>
  <si>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</si>
  <si>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</si>
  <si>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</si>
  <si>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</si>
  <si>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</si>
  <si>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</si>
  <si>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</si>
  <si>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</si>
  <si>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</si>
  <si>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</si>
  <si>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</si>
  <si>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</si>
  <si>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</si>
  <si>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</si>
  <si>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</si>
  <si>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</si>
  <si>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</si>
  <si>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</si>
  <si>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</si>
  <si>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</si>
  <si>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</si>
  <si>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</si>
  <si>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</si>
  <si>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</si>
  <si>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</si>
  <si>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</si>
  <si>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</si>
  <si>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</si>
  <si>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</si>
  <si>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</si>
  <si>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</si>
  <si>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</si>
  <si>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</si>
  <si>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</si>
  <si>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</si>
  <si>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</si>
  <si>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</si>
  <si>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</si>
  <si>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</si>
  <si>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</si>
  <si>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</si>
  <si>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</si>
  <si>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</si>
  <si>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</si>
  <si>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</si>
  <si>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</si>
  <si>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</si>
  <si>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</si>
  <si>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</si>
  <si>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</si>
  <si>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</si>
  <si>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</si>
  <si>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</si>
  <si>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</si>
  <si>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</si>
  <si>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</si>
  <si>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</si>
  <si>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</si>
  <si>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</si>
  <si>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</si>
  <si>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</si>
  <si>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</si>
  <si>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</si>
  <si>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</si>
  <si>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</si>
  <si>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</si>
  <si>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</si>
  <si>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</si>
  <si>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</si>
  <si>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</si>
  <si>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</si>
  <si>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</si>
  <si>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</si>
  <si>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</si>
  <si>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</si>
  <si>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</si>
  <si>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</si>
  <si>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</si>
  <si>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</si>
  <si>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</si>
  <si>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</si>
  <si>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</si>
  <si>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</si>
  <si>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</si>
  <si>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</si>
  <si>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</si>
  <si>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</si>
  <si>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</si>
  <si>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</si>
  <si>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</si>
  <si>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</si>
  <si>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</si>
  <si>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</si>
  <si>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</si>
  <si>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</si>
  <si>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</si>
  <si>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</si>
  <si>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</si>
  <si>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</si>
  <si>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</si>
  <si>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</si>
  <si>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</si>
  <si>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</si>
  <si>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</si>
  <si>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</si>
  <si>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</si>
  <si>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</si>
  <si>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</si>
  <si>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</si>
  <si>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</si>
  <si>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</si>
  <si>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</si>
  <si>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</si>
  <si>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</si>
  <si>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</si>
  <si>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</si>
  <si>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</si>
  <si>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</si>
  <si>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</si>
  <si>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</si>
  <si>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</si>
  <si>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</si>
  <si>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</si>
  <si>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</si>
  <si>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</si>
  <si>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</si>
  <si>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</si>
  <si>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</si>
  <si>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</si>
  <si>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</si>
  <si>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</si>
  <si>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</si>
  <si>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</si>
  <si>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</si>
  <si>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</si>
  <si>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</si>
  <si>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</si>
  <si>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</si>
  <si>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</si>
  <si>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</si>
  <si>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</si>
  <si>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</si>
  <si>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</si>
  <si>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</si>
  <si>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</si>
  <si>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</si>
  <si>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</si>
  <si>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</si>
  <si>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</si>
  <si>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</si>
  <si>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</si>
  <si>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</si>
  <si>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</si>
  <si>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</si>
  <si>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</si>
  <si>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</si>
  <si>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</si>
  <si>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</si>
  <si>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</si>
  <si>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</si>
  <si>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</si>
  <si>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</si>
  <si>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</si>
  <si>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</si>
  <si>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</si>
  <si>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</si>
  <si>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</si>
  <si>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</si>
  <si>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</si>
  <si>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</si>
  <si>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</si>
  <si>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</si>
  <si>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</si>
  <si>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</si>
  <si>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</si>
  <si>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</si>
  <si>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</si>
  <si>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</si>
  <si>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</si>
  <si>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</si>
  <si>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</si>
  <si>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</si>
  <si>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</si>
  <si>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</si>
  <si>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</si>
  <si>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</si>
  <si>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</si>
  <si>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</si>
  <si>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</si>
  <si>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</si>
  <si>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</si>
  <si>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</si>
  <si>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</si>
  <si>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</si>
  <si>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</si>
  <si>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</si>
  <si>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</si>
  <si>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</si>
  <si>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</si>
  <si>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</si>
  <si>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</si>
  <si>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</si>
  <si>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</si>
  <si>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</si>
  <si>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</si>
  <si>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</si>
  <si>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</si>
  <si>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</si>
  <si>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</si>
  <si>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</si>
  <si>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</si>
  <si>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</si>
  <si>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</si>
  <si>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</si>
  <si>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</si>
  <si>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</si>
  <si>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</si>
  <si>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</si>
  <si>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</si>
  <si>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</si>
  <si>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</si>
  <si>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</si>
  <si>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</si>
  <si>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</si>
  <si>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</si>
  <si>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</si>
  <si>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</si>
  <si>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</si>
  <si>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</si>
  <si>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11025</t>
  </si>
  <si>
    <t>LINT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</si>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</sst>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60332.85060281973</c:v>
                </c:pt>
                <c:pt idx="1">
                  <c:v>21135.194256260267</c:v>
                </c:pt>
                <c:pt idx="2">
                  <c:v>438.56599999999997</c:v>
                </c:pt>
                <c:pt idx="3">
                  <c:v>565.6078344553423</c:v>
                </c:pt>
                <c:pt idx="4">
                  <c:v>2800.7378811777262</c:v>
                </c:pt>
                <c:pt idx="5">
                  <c:v>7174.0127427529033</c:v>
                </c:pt>
                <c:pt idx="6">
                  <c:v>502.6847788008655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60332.85060281973</c:v>
                </c:pt>
                <c:pt idx="1">
                  <c:v>21135.194256260267</c:v>
                </c:pt>
                <c:pt idx="2">
                  <c:v>438.56599999999997</c:v>
                </c:pt>
                <c:pt idx="3">
                  <c:v>565.6078344553423</c:v>
                </c:pt>
                <c:pt idx="4">
                  <c:v>2800.7378811777262</c:v>
                </c:pt>
                <c:pt idx="5">
                  <c:v>7174.0127427529033</c:v>
                </c:pt>
                <c:pt idx="6">
                  <c:v>502.6847788008655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11459.656178800125</c:v>
                </c:pt>
                <c:pt idx="1">
                  <c:v>4229.7975742713597</c:v>
                </c:pt>
                <c:pt idx="2">
                  <c:v>87.567217452139559</c:v>
                </c:pt>
                <c:pt idx="3">
                  <c:v>128.43872061304177</c:v>
                </c:pt>
                <c:pt idx="4">
                  <c:v>580.37098800578667</c:v>
                </c:pt>
                <c:pt idx="5">
                  <c:v>1781.4481234612065</c:v>
                </c:pt>
                <c:pt idx="6">
                  <c:v>127.15088740729909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11459.656178800125</c:v>
                </c:pt>
                <c:pt idx="1">
                  <c:v>4229.7975742713597</c:v>
                </c:pt>
                <c:pt idx="2">
                  <c:v>87.567217452139559</c:v>
                </c:pt>
                <c:pt idx="3">
                  <c:v>128.43872061304177</c:v>
                </c:pt>
                <c:pt idx="4">
                  <c:v>580.37098800578667</c:v>
                </c:pt>
                <c:pt idx="5">
                  <c:v>1781.4481234612065</c:v>
                </c:pt>
                <c:pt idx="6">
                  <c:v>127.15088740729909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11025</v>
      </c>
      <c r="B6" s="390"/>
      <c r="C6" s="391"/>
    </row>
    <row r="7" spans="1:7" s="388" customFormat="1" ht="15.75" customHeight="1">
      <c r="A7" s="392" t="str">
        <f>txtMunicipality</f>
        <v>LINT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0.19966713665021812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0.19966713665021812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3442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123.65</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47</v>
      </c>
      <c r="C17" s="330"/>
      <c r="D17" s="330"/>
      <c r="E17" s="330"/>
      <c r="F17" s="330"/>
    </row>
    <row r="18" spans="1:6">
      <c r="A18" s="1298" t="s">
        <v>8</v>
      </c>
      <c r="B18" s="1299">
        <v>42</v>
      </c>
      <c r="C18" s="330"/>
      <c r="D18" s="330"/>
      <c r="E18" s="330"/>
      <c r="F18" s="330"/>
    </row>
    <row r="19" spans="1:6">
      <c r="A19" s="1298" t="s">
        <v>9</v>
      </c>
      <c r="B19" s="1299">
        <v>28</v>
      </c>
      <c r="C19" s="330"/>
      <c r="D19" s="330"/>
      <c r="E19" s="330"/>
      <c r="F19" s="330"/>
    </row>
    <row r="20" spans="1:6">
      <c r="A20" s="1298" t="s">
        <v>10</v>
      </c>
      <c r="B20" s="1299">
        <v>24</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33</v>
      </c>
      <c r="C29" s="336"/>
      <c r="D29" s="336"/>
      <c r="E29" s="336"/>
      <c r="F29" s="336"/>
    </row>
    <row r="30" spans="1:6">
      <c r="A30" s="1293" t="s">
        <v>706</v>
      </c>
      <c r="B30" s="1302">
        <v>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134554.636</v>
      </c>
      <c r="E38" s="1299">
        <v>0</v>
      </c>
      <c r="F38" s="1299">
        <v>0</v>
      </c>
    </row>
    <row r="39" spans="1:6">
      <c r="A39" s="1298" t="s">
        <v>29</v>
      </c>
      <c r="B39" s="1298" t="s">
        <v>30</v>
      </c>
      <c r="C39" s="1299">
        <v>2908</v>
      </c>
      <c r="D39" s="1299">
        <v>45471851.060000002</v>
      </c>
      <c r="E39" s="1299">
        <v>3431</v>
      </c>
      <c r="F39" s="1299">
        <v>12578867.48</v>
      </c>
    </row>
    <row r="40" spans="1:6">
      <c r="A40" s="1298" t="s">
        <v>29</v>
      </c>
      <c r="B40" s="1298" t="s">
        <v>28</v>
      </c>
      <c r="C40" s="1299">
        <v>0</v>
      </c>
      <c r="D40" s="1299">
        <v>0</v>
      </c>
      <c r="E40" s="1299">
        <v>0</v>
      </c>
      <c r="F40" s="1299">
        <v>0</v>
      </c>
    </row>
    <row r="41" spans="1:6">
      <c r="A41" s="1298" t="s">
        <v>31</v>
      </c>
      <c r="B41" s="1298" t="s">
        <v>32</v>
      </c>
      <c r="C41" s="1299">
        <v>37</v>
      </c>
      <c r="D41" s="1299">
        <v>421059.375</v>
      </c>
      <c r="E41" s="1299">
        <v>64</v>
      </c>
      <c r="F41" s="1299">
        <v>319849.77799999999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57473.826000000001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24</v>
      </c>
      <c r="D48" s="1299">
        <v>863180.68299999996</v>
      </c>
      <c r="E48" s="1299">
        <v>26</v>
      </c>
      <c r="F48" s="1299">
        <v>561801.20299999998</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149474.236</v>
      </c>
    </row>
    <row r="51" spans="1:6">
      <c r="A51" s="1298" t="s">
        <v>41</v>
      </c>
      <c r="B51" s="1298" t="s">
        <v>42</v>
      </c>
      <c r="C51" s="1299">
        <v>0</v>
      </c>
      <c r="D51" s="1299">
        <v>0</v>
      </c>
      <c r="E51" s="1299">
        <v>0</v>
      </c>
      <c r="F51" s="1299">
        <v>0</v>
      </c>
    </row>
    <row r="52" spans="1:6">
      <c r="A52" s="1298" t="s">
        <v>41</v>
      </c>
      <c r="B52" s="1298" t="s">
        <v>28</v>
      </c>
      <c r="C52" s="1299">
        <v>5</v>
      </c>
      <c r="D52" s="1299">
        <v>345130.26699999999</v>
      </c>
      <c r="E52" s="1299">
        <v>7</v>
      </c>
      <c r="F52" s="1299">
        <v>52532.411</v>
      </c>
    </row>
    <row r="53" spans="1:6">
      <c r="A53" s="1298" t="s">
        <v>43</v>
      </c>
      <c r="B53" s="1298" t="s">
        <v>44</v>
      </c>
      <c r="C53" s="1299">
        <v>41</v>
      </c>
      <c r="D53" s="1299">
        <v>902312.71600000001</v>
      </c>
      <c r="E53" s="1299">
        <v>119</v>
      </c>
      <c r="F53" s="1299">
        <v>280306.26400000002</v>
      </c>
    </row>
    <row r="54" spans="1:6">
      <c r="A54" s="1298" t="s">
        <v>45</v>
      </c>
      <c r="B54" s="1298" t="s">
        <v>46</v>
      </c>
      <c r="C54" s="1299">
        <v>0</v>
      </c>
      <c r="D54" s="1299">
        <v>0</v>
      </c>
      <c r="E54" s="1299">
        <v>1</v>
      </c>
      <c r="F54" s="1299">
        <v>438566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v>
      </c>
      <c r="D57" s="1299">
        <v>234919.04199999999</v>
      </c>
      <c r="E57" s="1299">
        <v>19</v>
      </c>
      <c r="F57" s="1299">
        <v>91162.284</v>
      </c>
    </row>
    <row r="58" spans="1:6">
      <c r="A58" s="1298" t="s">
        <v>48</v>
      </c>
      <c r="B58" s="1298" t="s">
        <v>50</v>
      </c>
      <c r="C58" s="1299">
        <v>6</v>
      </c>
      <c r="D58" s="1299">
        <v>930408.49199999997</v>
      </c>
      <c r="E58" s="1299">
        <v>9</v>
      </c>
      <c r="F58" s="1299">
        <v>191939.674</v>
      </c>
    </row>
    <row r="59" spans="1:6">
      <c r="A59" s="1298" t="s">
        <v>48</v>
      </c>
      <c r="B59" s="1298" t="s">
        <v>51</v>
      </c>
      <c r="C59" s="1299">
        <v>23</v>
      </c>
      <c r="D59" s="1299">
        <v>641181.50800000003</v>
      </c>
      <c r="E59" s="1299">
        <v>34</v>
      </c>
      <c r="F59" s="1299">
        <v>1237833.3430000001</v>
      </c>
    </row>
    <row r="60" spans="1:6">
      <c r="A60" s="1298" t="s">
        <v>48</v>
      </c>
      <c r="B60" s="1298" t="s">
        <v>52</v>
      </c>
      <c r="C60" s="1299">
        <v>30</v>
      </c>
      <c r="D60" s="1299">
        <v>2713115.827</v>
      </c>
      <c r="E60" s="1299">
        <v>39</v>
      </c>
      <c r="F60" s="1299">
        <v>854470.71200000006</v>
      </c>
    </row>
    <row r="61" spans="1:6">
      <c r="A61" s="1298" t="s">
        <v>48</v>
      </c>
      <c r="B61" s="1298" t="s">
        <v>53</v>
      </c>
      <c r="C61" s="1299">
        <v>78</v>
      </c>
      <c r="D61" s="1299">
        <v>2040753.6259999999</v>
      </c>
      <c r="E61" s="1299">
        <v>171</v>
      </c>
      <c r="F61" s="1299">
        <v>889706.66700000002</v>
      </c>
    </row>
    <row r="62" spans="1:6">
      <c r="A62" s="1298" t="s">
        <v>48</v>
      </c>
      <c r="B62" s="1298" t="s">
        <v>54</v>
      </c>
      <c r="C62" s="1299">
        <v>0</v>
      </c>
      <c r="D62" s="1299">
        <v>0</v>
      </c>
      <c r="E62" s="1299">
        <v>0</v>
      </c>
      <c r="F62" s="1299">
        <v>0</v>
      </c>
    </row>
    <row r="63" spans="1:6">
      <c r="A63" s="1298" t="s">
        <v>48</v>
      </c>
      <c r="B63" s="1298" t="s">
        <v>28</v>
      </c>
      <c r="C63" s="1299">
        <v>79</v>
      </c>
      <c r="D63" s="1299">
        <v>8165669.784</v>
      </c>
      <c r="E63" s="1299">
        <v>81</v>
      </c>
      <c r="F63" s="1299">
        <v>3375187.1889999998</v>
      </c>
    </row>
    <row r="64" spans="1:6">
      <c r="A64" s="1298" t="s">
        <v>55</v>
      </c>
      <c r="B64" s="1298" t="s">
        <v>56</v>
      </c>
      <c r="C64" s="1299">
        <v>0</v>
      </c>
      <c r="D64" s="1299">
        <v>0</v>
      </c>
      <c r="E64" s="1299">
        <v>0</v>
      </c>
      <c r="F64" s="1299">
        <v>0</v>
      </c>
    </row>
    <row r="65" spans="1:6">
      <c r="A65" s="1298" t="s">
        <v>55</v>
      </c>
      <c r="B65" s="1298" t="s">
        <v>28</v>
      </c>
      <c r="C65" s="1299">
        <v>1</v>
      </c>
      <c r="D65" s="1299">
        <v>8746.6059999999998</v>
      </c>
      <c r="E65" s="1299">
        <v>2</v>
      </c>
      <c r="F65" s="1299">
        <v>2218.1590000000001</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8806571</v>
      </c>
      <c r="E73" s="450"/>
      <c r="F73" s="330"/>
    </row>
    <row r="74" spans="1:6">
      <c r="A74" s="1298" t="s">
        <v>63</v>
      </c>
      <c r="B74" s="1298" t="s">
        <v>647</v>
      </c>
      <c r="C74" s="1312" t="s">
        <v>649</v>
      </c>
      <c r="D74" s="1313">
        <v>468618.5</v>
      </c>
      <c r="E74" s="450"/>
      <c r="F74" s="330"/>
    </row>
    <row r="75" spans="1:6">
      <c r="A75" s="1298" t="s">
        <v>64</v>
      </c>
      <c r="B75" s="1298" t="s">
        <v>646</v>
      </c>
      <c r="C75" s="1312" t="s">
        <v>650</v>
      </c>
      <c r="D75" s="1313">
        <v>551346</v>
      </c>
      <c r="E75" s="450"/>
      <c r="F75" s="330"/>
    </row>
    <row r="76" spans="1:6">
      <c r="A76" s="1298" t="s">
        <v>64</v>
      </c>
      <c r="B76" s="1298" t="s">
        <v>647</v>
      </c>
      <c r="C76" s="1312" t="s">
        <v>651</v>
      </c>
      <c r="D76" s="1313">
        <v>109.9</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137991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1776.8363960906788</v>
      </c>
      <c r="C91" s="330"/>
      <c r="D91" s="330"/>
      <c r="E91" s="330"/>
      <c r="F91" s="330"/>
    </row>
    <row r="92" spans="1:6">
      <c r="A92" s="1293" t="s">
        <v>68</v>
      </c>
      <c r="B92" s="1294">
        <v>429.85844453943952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2094</v>
      </c>
      <c r="C97" s="330"/>
      <c r="D97" s="330"/>
      <c r="E97" s="330"/>
      <c r="F97" s="330"/>
    </row>
    <row r="98" spans="1:6">
      <c r="A98" s="1298" t="s">
        <v>71</v>
      </c>
      <c r="B98" s="1299">
        <v>0</v>
      </c>
      <c r="C98" s="330"/>
      <c r="D98" s="330"/>
      <c r="E98" s="330"/>
      <c r="F98" s="330"/>
    </row>
    <row r="99" spans="1:6">
      <c r="A99" s="1298" t="s">
        <v>72</v>
      </c>
      <c r="B99" s="1299">
        <v>15</v>
      </c>
      <c r="C99" s="330"/>
      <c r="D99" s="330"/>
      <c r="E99" s="330"/>
      <c r="F99" s="330"/>
    </row>
    <row r="100" spans="1:6">
      <c r="A100" s="1298" t="s">
        <v>73</v>
      </c>
      <c r="B100" s="1299">
        <v>262</v>
      </c>
      <c r="C100" s="330"/>
      <c r="D100" s="330"/>
      <c r="E100" s="330"/>
      <c r="F100" s="330"/>
    </row>
    <row r="101" spans="1:6">
      <c r="A101" s="1298" t="s">
        <v>74</v>
      </c>
      <c r="B101" s="1299">
        <v>28</v>
      </c>
      <c r="C101" s="330"/>
      <c r="D101" s="330"/>
      <c r="E101" s="330"/>
      <c r="F101" s="330"/>
    </row>
    <row r="102" spans="1:6">
      <c r="A102" s="1298" t="s">
        <v>75</v>
      </c>
      <c r="B102" s="1299">
        <v>30</v>
      </c>
      <c r="C102" s="330"/>
      <c r="D102" s="330"/>
      <c r="E102" s="330"/>
      <c r="F102" s="330"/>
    </row>
    <row r="103" spans="1:6">
      <c r="A103" s="1298" t="s">
        <v>76</v>
      </c>
      <c r="B103" s="1299">
        <v>29</v>
      </c>
      <c r="C103" s="330"/>
      <c r="D103" s="330"/>
      <c r="E103" s="330"/>
      <c r="F103" s="330"/>
    </row>
    <row r="104" spans="1:6">
      <c r="A104" s="1298" t="s">
        <v>77</v>
      </c>
      <c r="B104" s="1299">
        <v>310</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15</v>
      </c>
      <c r="C123" s="1299">
        <v>30</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55</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22860.482992042525</v>
      </c>
      <c r="C3" s="43" t="s">
        <v>169</v>
      </c>
      <c r="D3" s="43"/>
      <c r="E3" s="154"/>
      <c r="F3" s="43"/>
      <c r="G3" s="43"/>
      <c r="H3" s="43"/>
      <c r="I3" s="43"/>
      <c r="J3" s="43"/>
      <c r="K3" s="96"/>
    </row>
    <row r="4" spans="1:11">
      <c r="A4" s="358" t="s">
        <v>170</v>
      </c>
      <c r="B4" s="49">
        <f>IF(ISERROR('SEAP template'!B78+'SEAP template'!C78),0,'SEAP template'!B78+'SEAP template'!C78)</f>
        <v>2206.6948406301185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0.19966713665021812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438.56599999999997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438.56599999999997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0.19966713665021812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87.567217452139559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12578.867480000001</v>
      </c>
      <c r="C5" s="17">
        <f>IF(ISERROR('Eigen informatie GS &amp; warmtenet'!B59),0,'Eigen informatie GS &amp; warmtenet'!B59)</f>
        <v>0</v>
      </c>
      <c r="D5" s="30">
        <f>(SUM(HH_hh_gas_kWh,HH_rest_gas_kWh)/1000)*0.902</f>
        <v>41015.609656120003</v>
      </c>
      <c r="E5" s="17">
        <f>B46*B57</f>
        <v>1357.4481970326851</v>
      </c>
      <c r="F5" s="17">
        <f>B51*B62</f>
        <v>0</v>
      </c>
      <c r="G5" s="18"/>
      <c r="H5" s="17"/>
      <c r="I5" s="17"/>
      <c r="J5" s="17">
        <f>B50*B61+C50*C61</f>
        <v>0</v>
      </c>
      <c r="K5" s="17"/>
      <c r="L5" s="17"/>
      <c r="M5" s="17"/>
      <c r="N5" s="17">
        <f>B48*B59+C48*C59</f>
        <v>3161.5694829286526</v>
      </c>
      <c r="O5" s="17">
        <f>B69*B70*B71</f>
        <v>168.63644864789771</v>
      </c>
      <c r="P5" s="17">
        <f>B77*B78*B79/1000-B77*B78*B79/1000/B80</f>
        <v>273.88294199981061</v>
      </c>
    </row>
    <row r="6" spans="1:16">
      <c r="A6" s="16" t="s">
        <v>611</v>
      </c>
      <c r="B6" s="783">
        <f>kWh_PV_kleiner_dan_10kW</f>
        <v>1776.8363960906788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14355.70387609068</v>
      </c>
      <c r="C8" s="21">
        <f>C5</f>
        <v>0</v>
      </c>
      <c r="D8" s="21">
        <f>D5</f>
        <v>41015.609656120003</v>
      </c>
      <c r="E8" s="21">
        <f>E5</f>
        <v>1357.4481970326851</v>
      </c>
      <c r="F8" s="21">
        <f>F5</f>
        <v>0</v>
      </c>
      <c r="G8" s="21"/>
      <c r="H8" s="21"/>
      <c r="I8" s="21"/>
      <c r="J8" s="21">
        <f>J5</f>
        <v>0</v>
      </c>
      <c r="K8" s="21"/>
      <c r="L8" s="21">
        <f>L5</f>
        <v>0</v>
      </c>
      <c r="M8" s="21">
        <f>M5</f>
        <v>0</v>
      </c>
      <c r="N8" s="21">
        <f>N5</f>
        <v>3161.5694829286526</v>
      </c>
      <c r="O8" s="21">
        <f>O5</f>
        <v>168.63644864789771</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0.19966713665021812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2866.3622875374635</v>
      </c>
      <c r="C12" s="23">
        <f ca="1">C10*C8</f>
        <v>0</v>
      </c>
      <c r="D12" s="23">
        <f>D8*D10</f>
        <v>8285.1531505362418</v>
      </c>
      <c r="E12" s="23">
        <f>E10*E8</f>
        <v>308.14074072641955</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2094</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4.918032786885246</v>
      </c>
      <c r="D20" s="229"/>
      <c r="E20" s="15"/>
    </row>
    <row r="21" spans="1:7">
      <c r="A21" s="171" t="s">
        <v>73</v>
      </c>
      <c r="B21" s="37">
        <f>aantalw2001_elektriciteit</f>
        <v>262</v>
      </c>
      <c r="C21" s="167">
        <f>IF(ISERROR(B21/SUM($B$20,$B$21,$B$22)*100),0,B21/SUM($B$20,$B$21,$B$22)*100)</f>
        <v>85.901639344262293</v>
      </c>
      <c r="D21" s="229"/>
      <c r="E21" s="15"/>
    </row>
    <row r="22" spans="1:7">
      <c r="A22" s="171" t="s">
        <v>74</v>
      </c>
      <c r="B22" s="37">
        <f>aantalw2001_hout</f>
        <v>28</v>
      </c>
      <c r="C22" s="167">
        <f>IF(ISERROR(B22/SUM($B$20,$B$21,$B$22)*100),0,B22/SUM($B$20,$B$21,$B$22)*100)</f>
        <v>9.1803278688524586</v>
      </c>
      <c r="D22" s="229"/>
      <c r="E22" s="15"/>
    </row>
    <row r="23" spans="1:7">
      <c r="A23" s="171" t="s">
        <v>75</v>
      </c>
      <c r="B23" s="37">
        <f>aantalw2001_niet_gespec</f>
        <v>30</v>
      </c>
      <c r="C23" s="166" t="s">
        <v>110</v>
      </c>
      <c r="D23" s="228"/>
      <c r="E23" s="15"/>
    </row>
    <row r="24" spans="1:7">
      <c r="A24" s="171" t="s">
        <v>76</v>
      </c>
      <c r="B24" s="37">
        <f>aantalw2001_steenkool</f>
        <v>29</v>
      </c>
      <c r="C24" s="166" t="s">
        <v>110</v>
      </c>
      <c r="D24" s="229"/>
      <c r="E24" s="15"/>
    </row>
    <row r="25" spans="1:7">
      <c r="A25" s="171" t="s">
        <v>77</v>
      </c>
      <c r="B25" s="37">
        <f>aantalw2001_stookolie</f>
        <v>310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3442</v>
      </c>
      <c r="C28" s="36"/>
      <c r="D28" s="228"/>
    </row>
    <row r="29" spans="1:7" s="15" customFormat="1">
      <c r="A29" s="230" t="s">
        <v>819</v>
      </c>
      <c r="B29" s="37">
        <f>SUM(HH_hh_gas_aantal,HH_rest_gas_aantal)</f>
        <v>2908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2908</v>
      </c>
      <c r="C32" s="167">
        <f>IF(ISERROR(B32/SUM($B$32,$B$34,$B$35,$B$36,$B$38,$B$39)*100),0,B32/SUM($B$32,$B$34,$B$35,$B$36,$B$38,$B$39)*100)</f>
        <v>85.128805620608887</v>
      </c>
      <c r="D32" s="233"/>
      <c r="G32" s="15"/>
    </row>
    <row r="33" spans="1:7">
      <c r="A33" s="171" t="s">
        <v>71</v>
      </c>
      <c r="B33" s="34" t="s">
        <v>110</v>
      </c>
      <c r="C33" s="167"/>
      <c r="D33" s="233"/>
      <c r="G33" s="15"/>
    </row>
    <row r="34" spans="1:7">
      <c r="A34" s="171" t="s">
        <v>72</v>
      </c>
      <c r="B34" s="33">
        <f>IF((($B$28-$B$32-$B$39-$B$77-$B$38)*C20/100)&lt;0,0,($B$28-$B$32-$B$39-$B$77-$B$38)*C20/100)</f>
        <v>24.983606557377051</v>
      </c>
      <c r="C34" s="167">
        <f>IF(ISERROR(B34/SUM($B$32,$B$34,$B$35,$B$36,$B$38,$B$39)*100),0,B34/SUM($B$32,$B$34,$B$35,$B$36,$B$38,$B$39)*100)</f>
        <v>0.73137021537989022</v>
      </c>
      <c r="D34" s="233"/>
      <c r="G34" s="15"/>
    </row>
    <row r="35" spans="1:7">
      <c r="A35" s="171" t="s">
        <v>73</v>
      </c>
      <c r="B35" s="33">
        <f>IF((($B$28-$B$32-$B$39-$B$77-$B$38)*C21/100)&lt;0,0,($B$28-$B$32-$B$39-$B$77-$B$38)*C21/100)</f>
        <v>436.38032786885248</v>
      </c>
      <c r="C35" s="167">
        <f>IF(ISERROR(B35/SUM($B$32,$B$34,$B$35,$B$36,$B$38,$B$39)*100),0,B35/SUM($B$32,$B$34,$B$35,$B$36,$B$38,$B$39)*100)</f>
        <v>12.77459976196875</v>
      </c>
      <c r="D35" s="233"/>
      <c r="G35" s="15"/>
    </row>
    <row r="36" spans="1:7">
      <c r="A36" s="171" t="s">
        <v>74</v>
      </c>
      <c r="B36" s="33">
        <f>IF((($B$28-$B$32-$B$39-$B$77-$B$38)*C22/100)&lt;0,0,($B$28-$B$32-$B$39-$B$77-$B$38)*C22/100)</f>
        <v>46.636065573770495</v>
      </c>
      <c r="C36" s="167">
        <f>IF(ISERROR(B36/SUM($B$32,$B$34,$B$35,$B$36,$B$38,$B$39)*100),0,B36/SUM($B$32,$B$34,$B$35,$B$36,$B$38,$B$39)*100)</f>
        <v>1.3652244020424618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2908</v>
      </c>
      <c r="C44" s="34" t="s">
        <v>110</v>
      </c>
      <c r="D44" s="174"/>
    </row>
    <row r="45" spans="1:7">
      <c r="A45" s="171" t="s">
        <v>71</v>
      </c>
      <c r="B45" s="33" t="str">
        <f t="shared" si="0"/>
        <v>-</v>
      </c>
      <c r="C45" s="34" t="s">
        <v>110</v>
      </c>
      <c r="D45" s="174"/>
    </row>
    <row r="46" spans="1:7">
      <c r="A46" s="171" t="s">
        <v>72</v>
      </c>
      <c r="B46" s="33">
        <f t="shared" si="0"/>
        <v>24.983606557377051</v>
      </c>
      <c r="C46" s="34" t="s">
        <v>110</v>
      </c>
      <c r="D46" s="174"/>
    </row>
    <row r="47" spans="1:7">
      <c r="A47" s="171" t="s">
        <v>73</v>
      </c>
      <c r="B47" s="33">
        <f t="shared" si="0"/>
        <v>436.38032786885248</v>
      </c>
      <c r="C47" s="34" t="s">
        <v>110</v>
      </c>
      <c r="D47" s="174"/>
    </row>
    <row r="48" spans="1:7">
      <c r="A48" s="171" t="s">
        <v>74</v>
      </c>
      <c r="B48" s="33">
        <f t="shared" si="0"/>
        <v>46.636065573770495</v>
      </c>
      <c r="C48" s="33">
        <f>B48*10</f>
        <v>466.36065573770497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6640.2998690000004</v>
      </c>
      <c r="C5" s="17">
        <f>IF(ISERROR('Eigen informatie GS &amp; warmtenet'!B60),0,'Eigen informatie GS &amp; warmtenet'!B60)</f>
        <v>0</v>
      </c>
      <c r="D5" s="30">
        <f>SUM(D6:D12)</f>
        <v>13282.895547658001</v>
      </c>
      <c r="E5" s="17">
        <f>SUM(E6:E12)</f>
        <v>93.622268957227931</v>
      </c>
      <c r="F5" s="17">
        <f>SUM(F6:F12)</f>
        <v>747.37048541226682</v>
      </c>
      <c r="G5" s="18"/>
      <c r="H5" s="17"/>
      <c r="I5" s="17"/>
      <c r="J5" s="17">
        <f>SUM(J6:J12)</f>
        <v>8.0159435847850461E-3</v>
      </c>
      <c r="K5" s="17"/>
      <c r="L5" s="17"/>
      <c r="M5" s="17"/>
      <c r="N5" s="17">
        <f>SUM(N6:N12)</f>
        <v>318.45893098268664</v>
      </c>
      <c r="O5" s="17">
        <f>B38*B39*B40</f>
        <v>0</v>
      </c>
      <c r="P5" s="17">
        <f>B46*B47*B48/1000-B46*B47*B48/1000/B49</f>
        <v>52.539138306495019</v>
      </c>
      <c r="R5" s="32"/>
    </row>
    <row r="6" spans="1:18">
      <c r="A6" s="32" t="s">
        <v>53</v>
      </c>
      <c r="B6" s="37">
        <f>B26</f>
        <v>889.70666700000004</v>
      </c>
      <c r="C6" s="33"/>
      <c r="D6" s="37">
        <f>IF(ISERROR(TER_kantoor_gas_kWh/1000),0,TER_kantoor_gas_kWh/1000)*0.902</f>
        <v>1840.759770652</v>
      </c>
      <c r="E6" s="33">
        <f>$C$26*'E Balans VL '!I12/100/3.6*1000000</f>
        <v>7.1591842869179034</v>
      </c>
      <c r="F6" s="33">
        <f>$C$26*('E Balans VL '!L12+'E Balans VL '!N12)/100/3.6*1000000</f>
        <v>108.77599945523903</v>
      </c>
      <c r="G6" s="34"/>
      <c r="H6" s="33"/>
      <c r="I6" s="33"/>
      <c r="J6" s="33">
        <f>$C$26*('E Balans VL '!D12+'E Balans VL '!E12)/100/3.6*1000000</f>
        <v>0</v>
      </c>
      <c r="K6" s="33"/>
      <c r="L6" s="33"/>
      <c r="M6" s="33"/>
      <c r="N6" s="33">
        <f>$C$26*'E Balans VL '!Y12/100/3.6*1000000</f>
        <v>0.47817352020126203</v>
      </c>
      <c r="O6" s="33"/>
      <c r="P6" s="33"/>
      <c r="R6" s="32"/>
    </row>
    <row r="7" spans="1:18">
      <c r="A7" s="32" t="s">
        <v>52</v>
      </c>
      <c r="B7" s="37">
        <f t="shared" ref="B7:B12" si="0">B27</f>
        <v>854.47071200000005</v>
      </c>
      <c r="C7" s="33"/>
      <c r="D7" s="37">
        <f>IF(ISERROR(TER_horeca_gas_kWh/1000),0,TER_horeca_gas_kWh/1000)*0.902</f>
        <v>2447.2304759540002</v>
      </c>
      <c r="E7" s="33">
        <f>$C$27*'E Balans VL '!I9/100/3.6*1000000</f>
        <v>9.1749172336383147</v>
      </c>
      <c r="F7" s="33">
        <f>$C$27*('E Balans VL '!L9+'E Balans VL '!N9)/100/3.6*1000000</f>
        <v>102.7721068558789</v>
      </c>
      <c r="G7" s="34"/>
      <c r="H7" s="33"/>
      <c r="I7" s="33"/>
      <c r="J7" s="33">
        <f>$C$27*('E Balans VL '!D9+'E Balans VL '!E9)/100/3.6*1000000</f>
        <v>0</v>
      </c>
      <c r="K7" s="33"/>
      <c r="L7" s="33"/>
      <c r="M7" s="33"/>
      <c r="N7" s="33">
        <f>$C$27*'E Balans VL '!Y9/100/3.6*1000000</f>
        <v>0.12810247783952497</v>
      </c>
      <c r="O7" s="33"/>
      <c r="P7" s="33"/>
      <c r="R7" s="32"/>
    </row>
    <row r="8" spans="1:18">
      <c r="A8" s="6" t="s">
        <v>51</v>
      </c>
      <c r="B8" s="37">
        <f t="shared" si="0"/>
        <v>1237.833343</v>
      </c>
      <c r="C8" s="33"/>
      <c r="D8" s="37">
        <f>IF(ISERROR(TER_handel_gas_kWh/1000),0,TER_handel_gas_kWh/1000)*0.902</f>
        <v>578.34572021600002</v>
      </c>
      <c r="E8" s="33">
        <f>$C$28*'E Balans VL '!I13/100/3.6*1000000</f>
        <v>33.219657336102443</v>
      </c>
      <c r="F8" s="33">
        <f>$C$28*('E Balans VL '!L13+'E Balans VL '!N13)/100/3.6*1000000</f>
        <v>118.1274519295456</v>
      </c>
      <c r="G8" s="34"/>
      <c r="H8" s="33"/>
      <c r="I8" s="33"/>
      <c r="J8" s="33">
        <f>$C$28*('E Balans VL '!D13+'E Balans VL '!E13)/100/3.6*1000000</f>
        <v>0</v>
      </c>
      <c r="K8" s="33"/>
      <c r="L8" s="33"/>
      <c r="M8" s="33"/>
      <c r="N8" s="33">
        <f>$C$28*'E Balans VL '!Y13/100/3.6*1000000</f>
        <v>0.49069121180747077</v>
      </c>
      <c r="O8" s="33"/>
      <c r="P8" s="33"/>
      <c r="R8" s="32"/>
    </row>
    <row r="9" spans="1:18">
      <c r="A9" s="32" t="s">
        <v>50</v>
      </c>
      <c r="B9" s="37">
        <f t="shared" si="0"/>
        <v>191.939674</v>
      </c>
      <c r="C9" s="33"/>
      <c r="D9" s="37">
        <f>IF(ISERROR(TER_gezond_gas_kWh/1000),0,TER_gezond_gas_kWh/1000)*0.902</f>
        <v>839.22845978400005</v>
      </c>
      <c r="E9" s="33">
        <f>$C$29*'E Balans VL '!I10/100/3.6*1000000</f>
        <v>0.35975744734776666</v>
      </c>
      <c r="F9" s="33">
        <f>$C$29*('E Balans VL '!L10+'E Balans VL '!N10)/100/3.6*1000000</f>
        <v>15.779192517380654</v>
      </c>
      <c r="G9" s="34"/>
      <c r="H9" s="33"/>
      <c r="I9" s="33"/>
      <c r="J9" s="33">
        <f>$C$29*('E Balans VL '!D10+'E Balans VL '!E10)/100/3.6*1000000</f>
        <v>0</v>
      </c>
      <c r="K9" s="33"/>
      <c r="L9" s="33"/>
      <c r="M9" s="33"/>
      <c r="N9" s="33">
        <f>$C$29*'E Balans VL '!Y10/100/3.6*1000000</f>
        <v>1.4934338712938637</v>
      </c>
      <c r="O9" s="33"/>
      <c r="P9" s="33"/>
      <c r="R9" s="32"/>
    </row>
    <row r="10" spans="1:18">
      <c r="A10" s="32" t="s">
        <v>49</v>
      </c>
      <c r="B10" s="37">
        <f t="shared" si="0"/>
        <v>91.162284</v>
      </c>
      <c r="C10" s="33"/>
      <c r="D10" s="37">
        <f>IF(ISERROR(TER_ander_gas_kWh/1000),0,TER_ander_gas_kWh/1000)*0.902</f>
        <v>211.896975884</v>
      </c>
      <c r="E10" s="33">
        <f>$C$30*'E Balans VL '!I14/100/3.6*1000000</f>
        <v>0.14052758451915093</v>
      </c>
      <c r="F10" s="33">
        <f>$C$30*('E Balans VL '!L14+'E Balans VL '!N14)/100/3.6*1000000</f>
        <v>14.152969757732137</v>
      </c>
      <c r="G10" s="34"/>
      <c r="H10" s="33"/>
      <c r="I10" s="33"/>
      <c r="J10" s="33">
        <f>$C$30*('E Balans VL '!D14+'E Balans VL '!E14)/100/3.6*1000000</f>
        <v>1.547575912905516E-3</v>
      </c>
      <c r="K10" s="33"/>
      <c r="L10" s="33"/>
      <c r="M10" s="33"/>
      <c r="N10" s="33">
        <f>$C$30*'E Balans VL '!Y14/100/3.6*1000000</f>
        <v>60.310045365129405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3375.1871889999998</v>
      </c>
      <c r="C12" s="33"/>
      <c r="D12" s="37">
        <f>IF(ISERROR(TER_rest_gas_kWh/1000),0,TER_rest_gas_kWh/1000)*0.902</f>
        <v>7365.4341451680002</v>
      </c>
      <c r="E12" s="33">
        <f>$C$32*'E Balans VL '!I8/100/3.6*1000000</f>
        <v>43.568225068702347</v>
      </c>
      <c r="F12" s="33">
        <f>$C$32*('E Balans VL '!L8+'E Balans VL '!N8)/100/3.6*1000000</f>
        <v>387.76276489649047</v>
      </c>
      <c r="G12" s="34"/>
      <c r="H12" s="33"/>
      <c r="I12" s="33"/>
      <c r="J12" s="33">
        <f>$C$32*('E Balans VL '!D8+'E Balans VL '!E8)/100/3.6*1000000</f>
        <v>6.4683676718795295E-3</v>
      </c>
      <c r="K12" s="33"/>
      <c r="L12" s="33"/>
      <c r="M12" s="33"/>
      <c r="N12" s="33">
        <f>$C$32*'E Balans VL '!Y8/100/3.6*1000000</f>
        <v>255.55848453641514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6640.2998690000004</v>
      </c>
      <c r="C16" s="21">
        <f t="shared" ca="1" si="1"/>
        <v>0</v>
      </c>
      <c r="D16" s="21">
        <f t="shared" ca="1" si="1"/>
        <v>13282.895547658001</v>
      </c>
      <c r="E16" s="21">
        <f t="shared" si="1"/>
        <v>93.622268957227931</v>
      </c>
      <c r="F16" s="21">
        <f t="shared" ca="1" si="1"/>
        <v>747.37048541226682</v>
      </c>
      <c r="G16" s="21">
        <f t="shared" si="1"/>
        <v>0</v>
      </c>
      <c r="H16" s="21">
        <f t="shared" si="1"/>
        <v>0</v>
      </c>
      <c r="I16" s="21">
        <f t="shared" si="1"/>
        <v>0</v>
      </c>
      <c r="J16" s="21">
        <f t="shared" si="1"/>
        <v>8.0159435847850461E-3</v>
      </c>
      <c r="K16" s="21">
        <f t="shared" si="1"/>
        <v>0</v>
      </c>
      <c r="L16" s="21">
        <f t="shared" ca="1" si="1"/>
        <v>0</v>
      </c>
      <c r="M16" s="21">
        <f t="shared" si="1"/>
        <v>0</v>
      </c>
      <c r="N16" s="21">
        <f t="shared" ca="1" si="1"/>
        <v>318.45893098268664</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0.19966713665021812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1325.8496613420486</v>
      </c>
      <c r="C20" s="23">
        <f t="shared" ref="C20:P20" ca="1" si="2">C16*C18</f>
        <v>0</v>
      </c>
      <c r="D20" s="23">
        <f t="shared" ca="1" si="2"/>
        <v>2683.1449006269163</v>
      </c>
      <c r="E20" s="23">
        <f t="shared" si="2"/>
        <v>21.252255053290742</v>
      </c>
      <c r="F20" s="23">
        <f t="shared" ca="1" si="2"/>
        <v>199.54791960507526</v>
      </c>
      <c r="G20" s="23">
        <f t="shared" si="2"/>
        <v>0</v>
      </c>
      <c r="H20" s="23">
        <f t="shared" si="2"/>
        <v>0</v>
      </c>
      <c r="I20" s="23">
        <f t="shared" si="2"/>
        <v>0</v>
      </c>
      <c r="J20" s="23">
        <f t="shared" si="2"/>
        <v>2.8376440290139061E-3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889.70666700000004</v>
      </c>
      <c r="C26" s="39">
        <f>IF(ISERROR(B26*3.6/1000000/'E Balans VL '!Z12*100),0,B26*3.6/1000000/'E Balans VL '!Z12*100)</f>
        <v>1.8874312952277938E-2</v>
      </c>
      <c r="D26" s="237" t="s">
        <v>708</v>
      </c>
      <c r="F26" s="6"/>
    </row>
    <row r="27" spans="1:18">
      <c r="A27" s="231" t="s">
        <v>52</v>
      </c>
      <c r="B27" s="33">
        <f>IF(ISERROR(TER_horeca_ele_kWh/1000),0,TER_horeca_ele_kWh/1000)</f>
        <v>854.47071200000005</v>
      </c>
      <c r="C27" s="39">
        <f>IF(ISERROR(B27*3.6/1000000/'E Balans VL '!Z9*100),0,B27*3.6/1000000/'E Balans VL '!Z9*100)</f>
        <v>6.4349213948005524E-2</v>
      </c>
      <c r="D27" s="237" t="s">
        <v>708</v>
      </c>
      <c r="F27" s="6"/>
    </row>
    <row r="28" spans="1:18">
      <c r="A28" s="171" t="s">
        <v>51</v>
      </c>
      <c r="B28" s="33">
        <f>IF(ISERROR(TER_handel_ele_kWh/1000),0,TER_handel_ele_kWh/1000)</f>
        <v>1237.833343</v>
      </c>
      <c r="C28" s="39">
        <f>IF(ISERROR(B28*3.6/1000000/'E Balans VL '!Z13*100),0,B28*3.6/1000000/'E Balans VL '!Z13*100)</f>
        <v>3.592991596155324E-2</v>
      </c>
      <c r="D28" s="237" t="s">
        <v>708</v>
      </c>
      <c r="F28" s="6"/>
    </row>
    <row r="29" spans="1:18">
      <c r="A29" s="231" t="s">
        <v>50</v>
      </c>
      <c r="B29" s="33">
        <f>IF(ISERROR(TER_gezond_ele_kWh/1000),0,TER_gezond_ele_kWh/1000)</f>
        <v>191.939674</v>
      </c>
      <c r="C29" s="39">
        <f>IF(ISERROR(B29*3.6/1000000/'E Balans VL '!Z10*100),0,B29*3.6/1000000/'E Balans VL '!Z10*100)</f>
        <v>1.9357345020284029E-2</v>
      </c>
      <c r="D29" s="237" t="s">
        <v>708</v>
      </c>
      <c r="F29" s="6"/>
    </row>
    <row r="30" spans="1:18">
      <c r="A30" s="231" t="s">
        <v>49</v>
      </c>
      <c r="B30" s="33">
        <f>IF(ISERROR(TER_ander_ele_kWh/1000),0,TER_ander_ele_kWh/1000)</f>
        <v>91.162284</v>
      </c>
      <c r="C30" s="39">
        <f>IF(ISERROR(B30*3.6/1000000/'E Balans VL '!Z14*100),0,B30*3.6/1000000/'E Balans VL '!Z14*100)</f>
        <v>6.6150673857891034E-3</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3375.1871889999998</v>
      </c>
      <c r="C32" s="39">
        <f>IF(ISERROR(B32*3.6/1000000/'E Balans VL '!Z8*100),0,B32*3.6/1000000/'E Balans VL '!Z8*100)</f>
        <v>2.7648845958844568E-2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1088.5990430000002</v>
      </c>
      <c r="C5" s="17">
        <f>IF(ISERROR('Eigen informatie GS &amp; warmtenet'!B61),0,'Eigen informatie GS &amp; warmtenet'!B61)</f>
        <v>0</v>
      </c>
      <c r="D5" s="30">
        <f>SUM(D6:D15)</f>
        <v>1158.3845323159999</v>
      </c>
      <c r="E5" s="17">
        <f>SUM(E6:E15)</f>
        <v>115.86495468048795</v>
      </c>
      <c r="F5" s="17">
        <f>SUM(F6:F15)</f>
        <v>378.48344383217909</v>
      </c>
      <c r="G5" s="18"/>
      <c r="H5" s="17"/>
      <c r="I5" s="17"/>
      <c r="J5" s="17">
        <f>SUM(J6:J15)</f>
        <v>4.6989671929785075</v>
      </c>
      <c r="K5" s="17"/>
      <c r="L5" s="17"/>
      <c r="M5" s="17"/>
      <c r="N5" s="17">
        <f>SUM(N6:N15)</f>
        <v>54.706940156080421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57.473826000000003</v>
      </c>
      <c r="C8" s="33"/>
      <c r="D8" s="37">
        <f>IF( ISERROR(IND_metaal_Gas_kWH/1000),0,IND_metaal_Gas_kWH/1000)*0.902</f>
        <v>0</v>
      </c>
      <c r="E8" s="33">
        <f>C30*'E Balans VL '!I18/100/3.6*1000000</f>
        <v>0.41463331568885714</v>
      </c>
      <c r="F8" s="33">
        <f>C30*'E Balans VL '!L18/100/3.6*1000000+C30*'E Balans VL '!N18/100/3.6*1000000</f>
        <v>5.4359641964837895</v>
      </c>
      <c r="G8" s="34"/>
      <c r="H8" s="33"/>
      <c r="I8" s="33"/>
      <c r="J8" s="40">
        <f>C30*'E Balans VL '!D18/100/3.6*1000000+C30*'E Balans VL '!E18/100/3.6*1000000</f>
        <v>5.7807508182589423E-2</v>
      </c>
      <c r="K8" s="33"/>
      <c r="L8" s="33"/>
      <c r="M8" s="33"/>
      <c r="N8" s="33">
        <f>C30*'E Balans VL '!Y18/100/3.6*1000000</f>
        <v>0.72662122137117957</v>
      </c>
      <c r="O8" s="33"/>
      <c r="P8" s="33"/>
      <c r="R8" s="32"/>
    </row>
    <row r="9" spans="1:18">
      <c r="A9" s="6" t="s">
        <v>32</v>
      </c>
      <c r="B9" s="37">
        <f t="shared" si="0"/>
        <v>319.84977800000001</v>
      </c>
      <c r="C9" s="33"/>
      <c r="D9" s="37">
        <f>IF( ISERROR(IND_andere_gas_kWh/1000),0,IND_andere_gas_kWh/1000)*0.902</f>
        <v>379.79555625</v>
      </c>
      <c r="E9" s="33">
        <f>C31*'E Balans VL '!I19/100/3.6*1000000</f>
        <v>88.63465041115488</v>
      </c>
      <c r="F9" s="33">
        <f>C31*'E Balans VL '!L19/100/3.6*1000000+C31*'E Balans VL '!N19/100/3.6*1000000</f>
        <v>265.09218720709731</v>
      </c>
      <c r="G9" s="34"/>
      <c r="H9" s="33"/>
      <c r="I9" s="33"/>
      <c r="J9" s="40">
        <f>C31*'E Balans VL '!D19/100/3.6*1000000+C31*'E Balans VL '!E19/100/3.6*1000000</f>
        <v>0</v>
      </c>
      <c r="K9" s="33"/>
      <c r="L9" s="33"/>
      <c r="M9" s="33"/>
      <c r="N9" s="33">
        <f>C31*'E Balans VL '!Y19/100/3.6*1000000</f>
        <v>23.21718169648857</v>
      </c>
      <c r="O9" s="33"/>
      <c r="P9" s="33"/>
      <c r="R9" s="32"/>
    </row>
    <row r="10" spans="1:18">
      <c r="A10" s="6" t="s">
        <v>40</v>
      </c>
      <c r="B10" s="37">
        <f t="shared" si="0"/>
        <v>149.47423599999999</v>
      </c>
      <c r="C10" s="33"/>
      <c r="D10" s="37">
        <f>IF( ISERROR(IND_voed_gas_kWh/1000),0,IND_voed_gas_kWh/1000)*0.902</f>
        <v>0</v>
      </c>
      <c r="E10" s="33">
        <f>C32*'E Balans VL '!I20/100/3.6*1000000</f>
        <v>0.26462002788977834</v>
      </c>
      <c r="F10" s="33">
        <f>C32*'E Balans VL '!L20/100/3.6*1000000+C32*'E Balans VL '!N20/100/3.6*1000000</f>
        <v>8.0729335222702119</v>
      </c>
      <c r="G10" s="34"/>
      <c r="H10" s="33"/>
      <c r="I10" s="33"/>
      <c r="J10" s="40">
        <f>C32*'E Balans VL '!D20/100/3.6*1000000+C32*'E Balans VL '!E20/100/3.6*1000000</f>
        <v>0</v>
      </c>
      <c r="K10" s="33"/>
      <c r="L10" s="33"/>
      <c r="M10" s="33"/>
      <c r="N10" s="33">
        <f>C32*'E Balans VL '!Y20/100/3.6*1000000</f>
        <v>8.6855946605650445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561.80120299999999</v>
      </c>
      <c r="C15" s="33"/>
      <c r="D15" s="37">
        <f>IF( ISERROR(IND_rest_gas_kWh/1000),0,IND_rest_gas_kWh/1000)*0.902</f>
        <v>778.58897606599999</v>
      </c>
      <c r="E15" s="33">
        <f>C37*'E Balans VL '!I15/100/3.6*1000000</f>
        <v>26.551050925754438</v>
      </c>
      <c r="F15" s="33">
        <f>C37*'E Balans VL '!L15/100/3.6*1000000+C37*'E Balans VL '!N15/100/3.6*1000000</f>
        <v>99.882358906327795</v>
      </c>
      <c r="G15" s="34"/>
      <c r="H15" s="33"/>
      <c r="I15" s="33"/>
      <c r="J15" s="40">
        <f>C37*'E Balans VL '!D15/100/3.6*1000000+C37*'E Balans VL '!E15/100/3.6*1000000</f>
        <v>4.6411596847959178</v>
      </c>
      <c r="K15" s="33"/>
      <c r="L15" s="33"/>
      <c r="M15" s="33"/>
      <c r="N15" s="33">
        <f>C37*'E Balans VL '!Y15/100/3.6*1000000</f>
        <v>22.077542577655624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1088.5990430000002</v>
      </c>
      <c r="C18" s="21">
        <f>C5+C16</f>
        <v>0</v>
      </c>
      <c r="D18" s="21">
        <f>MAX((D5+D16),0)</f>
        <v>1158.3845323159999</v>
      </c>
      <c r="E18" s="21">
        <f>MAX((E5+E16),0)</f>
        <v>115.86495468048795</v>
      </c>
      <c r="F18" s="21">
        <f>MAX((F5+F16),0)</f>
        <v>378.48344383217909</v>
      </c>
      <c r="G18" s="21"/>
      <c r="H18" s="21"/>
      <c r="I18" s="21"/>
      <c r="J18" s="21">
        <f>MAX((J5+J16),0)</f>
        <v>4.6989671929785075</v>
      </c>
      <c r="K18" s="21"/>
      <c r="L18" s="21">
        <f>MAX((L5+L16),0)</f>
        <v>0</v>
      </c>
      <c r="M18" s="21"/>
      <c r="N18" s="21">
        <f>MAX((N5+N16),0)</f>
        <v>54.706940156080421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0.19966713665021812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217.35745387597771</v>
      </c>
      <c r="C22" s="23">
        <f ca="1">C18*C20</f>
        <v>0</v>
      </c>
      <c r="D22" s="23">
        <f>D18*D20</f>
        <v>233.99367552783198</v>
      </c>
      <c r="E22" s="23">
        <f>E18*E20</f>
        <v>26.301344712470765</v>
      </c>
      <c r="F22" s="23">
        <f>F18*F20</f>
        <v>101.05507950319182</v>
      </c>
      <c r="G22" s="23"/>
      <c r="H22" s="23"/>
      <c r="I22" s="23"/>
      <c r="J22" s="23">
        <f>J18*J20</f>
        <v>1.6634343863143917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57.473826000000003</v>
      </c>
      <c r="C30" s="39">
        <f>IF(ISERROR(B30*3.6/1000000/'E Balans VL '!Z18*100),0,B30*3.6/1000000/'E Balans VL '!Z18*100)</f>
        <v>3.3178742958296413E-3</v>
      </c>
      <c r="D30" s="237" t="s">
        <v>708</v>
      </c>
    </row>
    <row r="31" spans="1:18">
      <c r="A31" s="6" t="s">
        <v>32</v>
      </c>
      <c r="B31" s="37">
        <f>IF( ISERROR(IND_ander_ele_kWh/1000),0,IND_ander_ele_kWh/1000)</f>
        <v>319.84977800000001</v>
      </c>
      <c r="C31" s="39">
        <f>IF(ISERROR(B31*3.6/1000000/'E Balans VL '!Z19*100),0,B31*3.6/1000000/'E Balans VL '!Z19*100)</f>
        <v>1.6087407080488701E-2</v>
      </c>
      <c r="D31" s="237" t="s">
        <v>708</v>
      </c>
    </row>
    <row r="32" spans="1:18">
      <c r="A32" s="171" t="s">
        <v>40</v>
      </c>
      <c r="B32" s="37">
        <f>IF( ISERROR(IND_voed_ele_kWh/1000),0,IND_voed_ele_kWh/1000)</f>
        <v>149.47423599999999</v>
      </c>
      <c r="C32" s="39">
        <f>IF(ISERROR(B32*3.6/1000000/'E Balans VL '!Z20*100),0,B32*3.6/1000000/'E Balans VL '!Z20*100)</f>
        <v>4.9783796738957385E-3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561.80120299999999</v>
      </c>
      <c r="C37" s="39">
        <f>IF(ISERROR(B37*3.6/1000000/'E Balans VL '!Z15*100),0,B37*3.6/1000000/'E Balans VL '!Z15*100)</f>
        <v>4.3835857024940505E-3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52.532411000000003</v>
      </c>
      <c r="C5" s="17">
        <f>'Eigen informatie GS &amp; warmtenet'!B62</f>
        <v>0</v>
      </c>
      <c r="D5" s="30">
        <f>IF(ISERROR(SUM(LB_lb_gas_kWh,LB_rest_gas_kWh)/1000),0,SUM(LB_lb_gas_kWh,LB_rest_gas_kWh)/1000)*0.902</f>
        <v>311.307500834</v>
      </c>
      <c r="E5" s="17">
        <f>B17*'E Balans VL '!I25/3.6*1000000/100</f>
        <v>1.6395192242579604</v>
      </c>
      <c r="F5" s="17">
        <f>B17*('E Balans VL '!L25/3.6*1000000+'E Balans VL '!N25/3.6*1000000)/100</f>
        <v>185.65535985750688</v>
      </c>
      <c r="G5" s="18"/>
      <c r="H5" s="17"/>
      <c r="I5" s="17"/>
      <c r="J5" s="17">
        <f>('E Balans VL '!D25+'E Balans VL '!E25)/3.6*1000000*landbouw!B17/100</f>
        <v>14.473043539577501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52.532411000000003</v>
      </c>
      <c r="C8" s="21">
        <f>C5+C6</f>
        <v>0</v>
      </c>
      <c r="D8" s="21">
        <f>MAX((D5+D6),0)</f>
        <v>311.307500834</v>
      </c>
      <c r="E8" s="21">
        <f>MAX((E5+E6),0)</f>
        <v>1.6395192242579604</v>
      </c>
      <c r="F8" s="21">
        <f>MAX((F5+F6),0)</f>
        <v>185.65535985750688</v>
      </c>
      <c r="G8" s="21"/>
      <c r="H8" s="21"/>
      <c r="I8" s="21"/>
      <c r="J8" s="21">
        <f>MAX((J5+J6),0)</f>
        <v>14.473043539577501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0.19966713665021812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10.488996085702423</v>
      </c>
      <c r="C12" s="23">
        <f ca="1">C8*C10</f>
        <v>0</v>
      </c>
      <c r="D12" s="23">
        <f>D8*D10</f>
        <v>62.884115168468</v>
      </c>
      <c r="E12" s="23">
        <f>E8*E10</f>
        <v>0.37217086390655701</v>
      </c>
      <c r="F12" s="23">
        <f>F8*F10</f>
        <v>49.569981081954339</v>
      </c>
      <c r="G12" s="23"/>
      <c r="H12" s="23"/>
      <c r="I12" s="23"/>
      <c r="J12" s="23">
        <f>J8*J10</f>
        <v>5.1234574130104349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7.8093194831432818E-3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8.8929831224892908</v>
      </c>
      <c r="C26" s="247">
        <f>B26*'GWP N2O_CH4'!B5</f>
        <v>186.7526455722751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0.46499250108307488</v>
      </c>
      <c r="C27" s="247">
        <f>B27*'GWP N2O_CH4'!B5</f>
        <v>9.7648425227445728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0.12901647788302403</v>
      </c>
      <c r="C28" s="247">
        <f>B28*'GWP N2O_CH4'!B4</f>
        <v>39.995108143737447</v>
      </c>
      <c r="D28" s="50"/>
    </row>
    <row r="29" spans="1:4">
      <c r="A29" s="41" t="s">
        <v>276</v>
      </c>
      <c r="B29" s="247">
        <f>B34*'ha_N2O bodem landbouw'!B4</f>
        <v>0.83486731963340977</v>
      </c>
      <c r="C29" s="247">
        <f>B29*'GWP N2O_CH4'!B4</f>
        <v>258.80886908635705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1.830713717474961E-4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1.611190422664265E-5</v>
      </c>
      <c r="C5" s="437" t="s">
        <v>210</v>
      </c>
      <c r="D5" s="422">
        <f>SUM(D6:D11)</f>
        <v>5.4026040137451232E-5</v>
      </c>
      <c r="E5" s="422">
        <f>SUM(E6:E11)</f>
        <v>4.5980998600339318E-5</v>
      </c>
      <c r="F5" s="435" t="s">
        <v>210</v>
      </c>
      <c r="G5" s="422">
        <f>SUM(G6:G11)</f>
        <v>1.9215081832413931E-2</v>
      </c>
      <c r="H5" s="422">
        <f>SUM(H6:H11)</f>
        <v>5.0530860667986508E-3</v>
      </c>
      <c r="I5" s="437" t="s">
        <v>210</v>
      </c>
      <c r="J5" s="437" t="s">
        <v>210</v>
      </c>
      <c r="K5" s="437" t="s">
        <v>210</v>
      </c>
      <c r="L5" s="437" t="s">
        <v>210</v>
      </c>
      <c r="M5" s="422">
        <f>SUM(M6:M11)</f>
        <v>1.4421590317334335E-3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1.5162629516496951E-5</v>
      </c>
      <c r="C6" s="423"/>
      <c r="D6" s="890">
        <f>vkm_GW_PW*SUMIFS(TableVerdeelsleutelVkm[CNG],TableVerdeelsleutelVkm[Voertuigtype],"Lichte voertuigen")*SUMIFS(TableECFTransport[EnergieConsumptieFactor (PJ per km)],TableECFTransport[Index],CONCATENATE($A6,"_CNG_CNG"))</f>
        <v>4.8844931183383015E-5</v>
      </c>
      <c r="E6" s="890">
        <f>vkm_GW_PW*SUMIFS(TableVerdeelsleutelVkm[LPG],TableVerdeelsleutelVkm[Voertuigtype],"Lichte voertuigen")*SUMIFS(TableECFTransport[EnergieConsumptieFactor (PJ per km)],TableECFTransport[Index],CONCATENATE($A6,"_LPG_LPG"))</f>
        <v>4.1771042537685956E-5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1.3494111872614263E-2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4.5757705764521706E-3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1.0807900794837057E-3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4.4487669764852649E-3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6.3613373273562438E-8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2.5643763365390597E-4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9.4927471014569995E-7</v>
      </c>
      <c r="C8" s="423"/>
      <c r="D8" s="425">
        <f>vkm_NGW_PW*SUMIFS(TableVerdeelsleutelVkm[CNG],TableVerdeelsleutelVkm[Voertuigtype],"Lichte voertuigen")*SUMIFS(TableECFTransport[EnergieConsumptieFactor (PJ per km)],TableECFTransport[Index],CONCATENATE($A8,"_CNG_CNG"))</f>
        <v>5.1811089540682178E-6</v>
      </c>
      <c r="E8" s="425">
        <f>vkm_NGW_PW*SUMIFS(TableVerdeelsleutelVkm[LPG],TableVerdeelsleutelVkm[Voertuigtype],"Lichte voertuigen")*SUMIFS(TableECFTransport[EnergieConsumptieFactor (PJ per km)],TableECFTransport[Index],CONCATENATE($A8,"_LPG_LPG"))</f>
        <v>4.209956062653361E-6</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1.2708599081556846E-3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4.7725185262344574E-4</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1.0485390017115419E-4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1.343075158716873E-6</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2.4349760528176181E-11</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7.7418424667608951E-8</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4.4755289518451802</v>
      </c>
      <c r="C14" s="21"/>
      <c r="D14" s="21">
        <f t="shared" ref="D14:M14" si="0">((D5)*10^9/3600)+D12</f>
        <v>15.00723337151423</v>
      </c>
      <c r="E14" s="21">
        <f t="shared" si="0"/>
        <v>12.772499611205367</v>
      </c>
      <c r="F14" s="21"/>
      <c r="G14" s="21">
        <f t="shared" si="0"/>
        <v>5337.5227312260922</v>
      </c>
      <c r="H14" s="21">
        <f t="shared" si="0"/>
        <v>1403.6350185551807</v>
      </c>
      <c r="I14" s="21"/>
      <c r="J14" s="21"/>
      <c r="K14" s="21"/>
      <c r="L14" s="21"/>
      <c r="M14" s="21">
        <f t="shared" si="0"/>
        <v>400.59973103706488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0.19966713665021812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0.89361605081007911</v>
      </c>
      <c r="C18" s="23"/>
      <c r="D18" s="23">
        <f t="shared" ref="D18:M18" si="1">D14*D16</f>
        <v>3.0314611410458747</v>
      </c>
      <c r="E18" s="23">
        <f t="shared" si="1"/>
        <v>2.8993574117436185</v>
      </c>
      <c r="F18" s="23"/>
      <c r="G18" s="23">
        <f t="shared" si="1"/>
        <v>1425.1185692373667</v>
      </c>
      <c r="H18" s="23">
        <f t="shared" si="1"/>
        <v>349.50511962024001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1.7143939875141449E-3</v>
      </c>
      <c r="H50" s="319">
        <f t="shared" si="2"/>
        <v>0</v>
      </c>
      <c r="I50" s="319">
        <f t="shared" si="2"/>
        <v>0</v>
      </c>
      <c r="J50" s="319">
        <f t="shared" si="2"/>
        <v>0</v>
      </c>
      <c r="K50" s="319">
        <f t="shared" si="2"/>
        <v>0</v>
      </c>
      <c r="L50" s="319">
        <f t="shared" si="2"/>
        <v>0</v>
      </c>
      <c r="M50" s="319">
        <f t="shared" si="2"/>
        <v>9.5271216168970788E-5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1.7143939875141449E-3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9.5271216168970788E-5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476.22055208726249</v>
      </c>
      <c r="H54" s="21">
        <f t="shared" si="3"/>
        <v>0</v>
      </c>
      <c r="I54" s="21">
        <f t="shared" si="3"/>
        <v>0</v>
      </c>
      <c r="J54" s="21">
        <f t="shared" si="3"/>
        <v>0</v>
      </c>
      <c r="K54" s="21">
        <f t="shared" si="3"/>
        <v>0</v>
      </c>
      <c r="L54" s="21">
        <f t="shared" si="3"/>
        <v>0</v>
      </c>
      <c r="M54" s="21">
        <f t="shared" si="3"/>
        <v>26.464226713602997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0.19966713665021812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127.15088740729909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7078.8658690000002</v>
      </c>
      <c r="D10" s="686">
        <f ca="1">tertiair!C16</f>
        <v>0</v>
      </c>
      <c r="E10" s="686">
        <f ca="1">tertiair!D16</f>
        <v>13282.895547658001</v>
      </c>
      <c r="F10" s="686">
        <f>tertiair!E16</f>
        <v>93.622268957227931</v>
      </c>
      <c r="G10" s="686">
        <f ca="1">tertiair!F16</f>
        <v>747.37048541226682</v>
      </c>
      <c r="H10" s="686">
        <f>tertiair!G16</f>
        <v>0</v>
      </c>
      <c r="I10" s="686">
        <f>tertiair!H16</f>
        <v>0</v>
      </c>
      <c r="J10" s="686">
        <f>tertiair!I16</f>
        <v>0</v>
      </c>
      <c r="K10" s="686">
        <f>tertiair!J16</f>
        <v>8.0159435847850461E-3</v>
      </c>
      <c r="L10" s="686">
        <f>tertiair!K16</f>
        <v>0</v>
      </c>
      <c r="M10" s="686">
        <f ca="1">tertiair!L16</f>
        <v>0</v>
      </c>
      <c r="N10" s="686">
        <f>tertiair!M16</f>
        <v>0</v>
      </c>
      <c r="O10" s="686">
        <f ca="1">tertiair!N16</f>
        <v>318.45893098268664</v>
      </c>
      <c r="P10" s="686">
        <f>tertiair!O16</f>
        <v>0</v>
      </c>
      <c r="Q10" s="687">
        <f>tertiair!P16</f>
        <v>52.539138306495019</v>
      </c>
      <c r="R10" s="689">
        <f ca="1">SUM(C10:Q10)</f>
        <v>21573.760256260266</v>
      </c>
      <c r="S10" s="67"/>
    </row>
    <row r="11" spans="1:19" s="448" customFormat="1">
      <c r="A11" s="808" t="s">
        <v>224</v>
      </c>
      <c r="B11" s="813"/>
      <c r="C11" s="686">
        <f>huishoudens!B8</f>
        <v>14355.70387609068</v>
      </c>
      <c r="D11" s="686">
        <f>huishoudens!C8</f>
        <v>0</v>
      </c>
      <c r="E11" s="686">
        <f>huishoudens!D8</f>
        <v>41015.609656120003</v>
      </c>
      <c r="F11" s="686">
        <f>huishoudens!E8</f>
        <v>1357.4481970326851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3161.5694829286526</v>
      </c>
      <c r="P11" s="686">
        <f>huishoudens!O8</f>
        <v>168.63644864789771</v>
      </c>
      <c r="Q11" s="687">
        <f>huishoudens!P8</f>
        <v>273.88294199981061</v>
      </c>
      <c r="R11" s="689">
        <f>SUM(C11:Q11)</f>
        <v>60332.85060281973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1088.5990430000002</v>
      </c>
      <c r="D13" s="686">
        <f>industrie!C18</f>
        <v>0</v>
      </c>
      <c r="E13" s="686">
        <f>industrie!D18</f>
        <v>1158.3845323159999</v>
      </c>
      <c r="F13" s="686">
        <f>industrie!E18</f>
        <v>115.86495468048795</v>
      </c>
      <c r="G13" s="686">
        <f>industrie!F18</f>
        <v>378.48344383217909</v>
      </c>
      <c r="H13" s="686">
        <f>industrie!G18</f>
        <v>0</v>
      </c>
      <c r="I13" s="686">
        <f>industrie!H18</f>
        <v>0</v>
      </c>
      <c r="J13" s="686">
        <f>industrie!I18</f>
        <v>0</v>
      </c>
      <c r="K13" s="686">
        <f>industrie!J18</f>
        <v>4.6989671929785075</v>
      </c>
      <c r="L13" s="686">
        <f>industrie!K18</f>
        <v>0</v>
      </c>
      <c r="M13" s="686">
        <f>industrie!L18</f>
        <v>0</v>
      </c>
      <c r="N13" s="686">
        <f>industrie!M18</f>
        <v>0</v>
      </c>
      <c r="O13" s="686">
        <f>industrie!N18</f>
        <v>54.706940156080421</v>
      </c>
      <c r="P13" s="686">
        <f>industrie!O18</f>
        <v>0</v>
      </c>
      <c r="Q13" s="687">
        <f>industrie!P18</f>
        <v>0</v>
      </c>
      <c r="R13" s="689">
        <f>SUM(C13:Q13)</f>
        <v>2800.7378811777262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22523.168788090683</v>
      </c>
      <c r="D16" s="722">
        <f t="shared" ref="D16:R16" ca="1" si="0">SUM(D9:D15)</f>
        <v>0</v>
      </c>
      <c r="E16" s="722">
        <f t="shared" ca="1" si="0"/>
        <v>55456.889736094003</v>
      </c>
      <c r="F16" s="722">
        <f t="shared" si="0"/>
        <v>1566.9354206704011</v>
      </c>
      <c r="G16" s="722">
        <f t="shared" ca="1" si="0"/>
        <v>1125.8539292444459</v>
      </c>
      <c r="H16" s="722">
        <f t="shared" si="0"/>
        <v>0</v>
      </c>
      <c r="I16" s="722">
        <f t="shared" si="0"/>
        <v>0</v>
      </c>
      <c r="J16" s="722">
        <f t="shared" si="0"/>
        <v>0</v>
      </c>
      <c r="K16" s="722">
        <f t="shared" si="0"/>
        <v>4.7069831365632924</v>
      </c>
      <c r="L16" s="722">
        <f t="shared" si="0"/>
        <v>0</v>
      </c>
      <c r="M16" s="722">
        <f t="shared" ca="1" si="0"/>
        <v>0</v>
      </c>
      <c r="N16" s="722">
        <f t="shared" si="0"/>
        <v>0</v>
      </c>
      <c r="O16" s="722">
        <f t="shared" ca="1" si="0"/>
        <v>3534.7353540674194</v>
      </c>
      <c r="P16" s="722">
        <f t="shared" si="0"/>
        <v>168.63644864789771</v>
      </c>
      <c r="Q16" s="722">
        <f t="shared" si="0"/>
        <v>326.42208030630565</v>
      </c>
      <c r="R16" s="722">
        <f t="shared" ca="1" si="0"/>
        <v>84707.34874025773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476.22055208726249</v>
      </c>
      <c r="I19" s="686">
        <f>transport!H54</f>
        <v>0</v>
      </c>
      <c r="J19" s="686">
        <f>transport!I54</f>
        <v>0</v>
      </c>
      <c r="K19" s="686">
        <f>transport!J54</f>
        <v>0</v>
      </c>
      <c r="L19" s="686">
        <f>transport!K54</f>
        <v>0</v>
      </c>
      <c r="M19" s="686">
        <f>transport!L54</f>
        <v>0</v>
      </c>
      <c r="N19" s="686">
        <f>transport!M54</f>
        <v>26.464226713602997</v>
      </c>
      <c r="O19" s="686">
        <f>transport!N54</f>
        <v>0</v>
      </c>
      <c r="P19" s="686">
        <f>transport!O54</f>
        <v>0</v>
      </c>
      <c r="Q19" s="687">
        <f>transport!P54</f>
        <v>0</v>
      </c>
      <c r="R19" s="689">
        <f>SUM(C19:Q19)</f>
        <v>502.6847788008655</v>
      </c>
      <c r="S19" s="67"/>
    </row>
    <row r="20" spans="1:19" s="448" customFormat="1">
      <c r="A20" s="808" t="s">
        <v>306</v>
      </c>
      <c r="B20" s="813"/>
      <c r="C20" s="686">
        <f>transport!B14</f>
        <v>4.4755289518451802</v>
      </c>
      <c r="D20" s="686">
        <f>transport!C14</f>
        <v>0</v>
      </c>
      <c r="E20" s="686">
        <f>transport!D14</f>
        <v>15.00723337151423</v>
      </c>
      <c r="F20" s="686">
        <f>transport!E14</f>
        <v>12.772499611205367</v>
      </c>
      <c r="G20" s="686">
        <f>transport!F14</f>
        <v>0</v>
      </c>
      <c r="H20" s="686">
        <f>transport!G14</f>
        <v>5337.5227312260922</v>
      </c>
      <c r="I20" s="686">
        <f>transport!H14</f>
        <v>1403.6350185551807</v>
      </c>
      <c r="J20" s="686">
        <f>transport!I14</f>
        <v>0</v>
      </c>
      <c r="K20" s="686">
        <f>transport!J14</f>
        <v>0</v>
      </c>
      <c r="L20" s="686">
        <f>transport!K14</f>
        <v>0</v>
      </c>
      <c r="M20" s="686">
        <f>transport!L14</f>
        <v>0</v>
      </c>
      <c r="N20" s="686">
        <f>transport!M14</f>
        <v>400.59973103706488</v>
      </c>
      <c r="O20" s="686">
        <f>transport!N14</f>
        <v>0</v>
      </c>
      <c r="P20" s="686">
        <f>transport!O14</f>
        <v>0</v>
      </c>
      <c r="Q20" s="687">
        <f>transport!P14</f>
        <v>0</v>
      </c>
      <c r="R20" s="689">
        <f>SUM(C20:Q20)</f>
        <v>7174.0127427529033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4.4755289518451802</v>
      </c>
      <c r="D22" s="811">
        <f t="shared" ref="D22:R22" si="1">SUM(D18:D21)</f>
        <v>0</v>
      </c>
      <c r="E22" s="811">
        <f t="shared" si="1"/>
        <v>15.00723337151423</v>
      </c>
      <c r="F22" s="811">
        <f t="shared" si="1"/>
        <v>12.772499611205367</v>
      </c>
      <c r="G22" s="811">
        <f t="shared" si="1"/>
        <v>0</v>
      </c>
      <c r="H22" s="811">
        <f t="shared" si="1"/>
        <v>5813.7432833133544</v>
      </c>
      <c r="I22" s="811">
        <f t="shared" si="1"/>
        <v>1403.6350185551807</v>
      </c>
      <c r="J22" s="811">
        <f t="shared" si="1"/>
        <v>0</v>
      </c>
      <c r="K22" s="811">
        <f t="shared" si="1"/>
        <v>0</v>
      </c>
      <c r="L22" s="811">
        <f t="shared" si="1"/>
        <v>0</v>
      </c>
      <c r="M22" s="811">
        <f t="shared" si="1"/>
        <v>0</v>
      </c>
      <c r="N22" s="811">
        <f t="shared" si="1"/>
        <v>427.0639577506679</v>
      </c>
      <c r="O22" s="811">
        <f t="shared" si="1"/>
        <v>0</v>
      </c>
      <c r="P22" s="811">
        <f t="shared" si="1"/>
        <v>0</v>
      </c>
      <c r="Q22" s="811">
        <f t="shared" si="1"/>
        <v>0</v>
      </c>
      <c r="R22" s="811">
        <f t="shared" si="1"/>
        <v>7676.6975215537686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52.532411000000003</v>
      </c>
      <c r="D24" s="686">
        <f>+landbouw!C8</f>
        <v>0</v>
      </c>
      <c r="E24" s="686">
        <f>+landbouw!D8</f>
        <v>311.307500834</v>
      </c>
      <c r="F24" s="686">
        <f>+landbouw!E8</f>
        <v>1.6395192242579604</v>
      </c>
      <c r="G24" s="686">
        <f>+landbouw!F8</f>
        <v>185.65535985750688</v>
      </c>
      <c r="H24" s="686">
        <f>+landbouw!G8</f>
        <v>0</v>
      </c>
      <c r="I24" s="686">
        <f>+landbouw!H8</f>
        <v>0</v>
      </c>
      <c r="J24" s="686">
        <f>+landbouw!I8</f>
        <v>0</v>
      </c>
      <c r="K24" s="686">
        <f>+landbouw!J8</f>
        <v>14.473043539577501</v>
      </c>
      <c r="L24" s="686">
        <f>+landbouw!K8</f>
        <v>0</v>
      </c>
      <c r="M24" s="686">
        <f>+landbouw!L8</f>
        <v>0</v>
      </c>
      <c r="N24" s="686">
        <f>+landbouw!M8</f>
        <v>0</v>
      </c>
      <c r="O24" s="686">
        <f>+landbouw!N8</f>
        <v>0</v>
      </c>
      <c r="P24" s="686">
        <f>+landbouw!O8</f>
        <v>0</v>
      </c>
      <c r="Q24" s="687">
        <f>+landbouw!P8</f>
        <v>0</v>
      </c>
      <c r="R24" s="689">
        <f>SUM(C24:Q24)</f>
        <v>565.6078344553423</v>
      </c>
      <c r="S24" s="67"/>
    </row>
    <row r="25" spans="1:19" s="448" customFormat="1" ht="15" thickBot="1">
      <c r="A25" s="830" t="s">
        <v>724</v>
      </c>
      <c r="B25" s="949"/>
      <c r="C25" s="950">
        <f>IF(Onbekend_ele_kWh="---",0,Onbekend_ele_kWh)/1000+IF(REST_rest_ele_kWh="---",0,REST_rest_ele_kWh)/1000</f>
        <v>280.306264</v>
      </c>
      <c r="D25" s="950"/>
      <c r="E25" s="950">
        <f>IF(onbekend_gas_kWh="---",0,onbekend_gas_kWh)/1000+IF(REST_rest_gas_kWh="---",0,REST_rest_gas_kWh)/1000</f>
        <v>902.31271600000002</v>
      </c>
      <c r="F25" s="950"/>
      <c r="G25" s="950"/>
      <c r="H25" s="950"/>
      <c r="I25" s="950"/>
      <c r="J25" s="950"/>
      <c r="K25" s="950"/>
      <c r="L25" s="950"/>
      <c r="M25" s="950"/>
      <c r="N25" s="950"/>
      <c r="O25" s="950"/>
      <c r="P25" s="950"/>
      <c r="Q25" s="951"/>
      <c r="R25" s="689">
        <f>SUM(C25:Q25)</f>
        <v>1182.61898</v>
      </c>
      <c r="S25" s="67"/>
    </row>
    <row r="26" spans="1:19" s="448" customFormat="1" ht="15.75" thickBot="1">
      <c r="A26" s="694" t="s">
        <v>725</v>
      </c>
      <c r="B26" s="816"/>
      <c r="C26" s="811">
        <f>SUM(C24:C25)</f>
        <v>332.83867500000002</v>
      </c>
      <c r="D26" s="811">
        <f t="shared" ref="D26:R26" si="2">SUM(D24:D25)</f>
        <v>0</v>
      </c>
      <c r="E26" s="811">
        <f t="shared" si="2"/>
        <v>1213.6202168340001</v>
      </c>
      <c r="F26" s="811">
        <f t="shared" si="2"/>
        <v>1.6395192242579604</v>
      </c>
      <c r="G26" s="811">
        <f t="shared" si="2"/>
        <v>185.65535985750688</v>
      </c>
      <c r="H26" s="811">
        <f t="shared" si="2"/>
        <v>0</v>
      </c>
      <c r="I26" s="811">
        <f t="shared" si="2"/>
        <v>0</v>
      </c>
      <c r="J26" s="811">
        <f t="shared" si="2"/>
        <v>0</v>
      </c>
      <c r="K26" s="811">
        <f t="shared" si="2"/>
        <v>14.473043539577501</v>
      </c>
      <c r="L26" s="811">
        <f t="shared" si="2"/>
        <v>0</v>
      </c>
      <c r="M26" s="811">
        <f t="shared" si="2"/>
        <v>0</v>
      </c>
      <c r="N26" s="811">
        <f t="shared" si="2"/>
        <v>0</v>
      </c>
      <c r="O26" s="811">
        <f t="shared" si="2"/>
        <v>0</v>
      </c>
      <c r="P26" s="811">
        <f t="shared" si="2"/>
        <v>0</v>
      </c>
      <c r="Q26" s="811">
        <f t="shared" si="2"/>
        <v>0</v>
      </c>
      <c r="R26" s="811">
        <f t="shared" si="2"/>
        <v>1748.2268144553423</v>
      </c>
      <c r="S26" s="67"/>
    </row>
    <row r="27" spans="1:19" s="448" customFormat="1" ht="17.25" thickTop="1" thickBot="1">
      <c r="A27" s="695" t="s">
        <v>115</v>
      </c>
      <c r="B27" s="803"/>
      <c r="C27" s="696">
        <f ca="1">C22+C16+C26</f>
        <v>22860.482992042525</v>
      </c>
      <c r="D27" s="696">
        <f t="shared" ref="D27:R27" ca="1" si="3">D22+D16+D26</f>
        <v>0</v>
      </c>
      <c r="E27" s="696">
        <f t="shared" ca="1" si="3"/>
        <v>56685.517186299519</v>
      </c>
      <c r="F27" s="696">
        <f t="shared" si="3"/>
        <v>1581.3474395058645</v>
      </c>
      <c r="G27" s="696">
        <f t="shared" ca="1" si="3"/>
        <v>1311.5092891019528</v>
      </c>
      <c r="H27" s="696">
        <f t="shared" si="3"/>
        <v>5813.7432833133544</v>
      </c>
      <c r="I27" s="696">
        <f t="shared" si="3"/>
        <v>1403.6350185551807</v>
      </c>
      <c r="J27" s="696">
        <f t="shared" si="3"/>
        <v>0</v>
      </c>
      <c r="K27" s="696">
        <f t="shared" si="3"/>
        <v>19.180026676140795</v>
      </c>
      <c r="L27" s="696">
        <f t="shared" si="3"/>
        <v>0</v>
      </c>
      <c r="M27" s="696">
        <f t="shared" ca="1" si="3"/>
        <v>0</v>
      </c>
      <c r="N27" s="696">
        <f t="shared" si="3"/>
        <v>427.0639577506679</v>
      </c>
      <c r="O27" s="696">
        <f t="shared" ca="1" si="3"/>
        <v>3534.7353540674194</v>
      </c>
      <c r="P27" s="696">
        <f t="shared" si="3"/>
        <v>168.63644864789771</v>
      </c>
      <c r="Q27" s="696">
        <f t="shared" si="3"/>
        <v>326.42208030630565</v>
      </c>
      <c r="R27" s="696">
        <f t="shared" ca="1" si="3"/>
        <v>94132.273076266836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1413.4168787941883</v>
      </c>
      <c r="D40" s="686">
        <f ca="1">tertiair!C20</f>
        <v>0</v>
      </c>
      <c r="E40" s="686">
        <f ca="1">tertiair!D20</f>
        <v>2683.1449006269163</v>
      </c>
      <c r="F40" s="686">
        <f>tertiair!E20</f>
        <v>21.252255053290742</v>
      </c>
      <c r="G40" s="686">
        <f ca="1">tertiair!F20</f>
        <v>199.54791960507526</v>
      </c>
      <c r="H40" s="686">
        <f>tertiair!G20</f>
        <v>0</v>
      </c>
      <c r="I40" s="686">
        <f>tertiair!H20</f>
        <v>0</v>
      </c>
      <c r="J40" s="686">
        <f>tertiair!I20</f>
        <v>0</v>
      </c>
      <c r="K40" s="686">
        <f>tertiair!J20</f>
        <v>2.8376440290139061E-3</v>
      </c>
      <c r="L40" s="686">
        <f>tertiair!K20</f>
        <v>0</v>
      </c>
      <c r="M40" s="686">
        <f ca="1">tertiair!L20</f>
        <v>0</v>
      </c>
      <c r="N40" s="686">
        <f>tertiair!M20</f>
        <v>0</v>
      </c>
      <c r="O40" s="686">
        <f ca="1">tertiair!N20</f>
        <v>0</v>
      </c>
      <c r="P40" s="686">
        <f>tertiair!O20</f>
        <v>0</v>
      </c>
      <c r="Q40" s="769">
        <f>tertiair!P20</f>
        <v>0</v>
      </c>
      <c r="R40" s="849">
        <f t="shared" ca="1" si="4"/>
        <v>4317.3647917234994</v>
      </c>
    </row>
    <row r="41" spans="1:18">
      <c r="A41" s="821" t="s">
        <v>224</v>
      </c>
      <c r="B41" s="828"/>
      <c r="C41" s="686">
        <f ca="1">huishoudens!B12</f>
        <v>2866.3622875374635</v>
      </c>
      <c r="D41" s="686">
        <f ca="1">huishoudens!C12</f>
        <v>0</v>
      </c>
      <c r="E41" s="686">
        <f>huishoudens!D12</f>
        <v>8285.1531505362418</v>
      </c>
      <c r="F41" s="686">
        <f>huishoudens!E12</f>
        <v>308.14074072641955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11459.656178800125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217.35745387597771</v>
      </c>
      <c r="D43" s="686">
        <f ca="1">industrie!C22</f>
        <v>0</v>
      </c>
      <c r="E43" s="686">
        <f>industrie!D22</f>
        <v>233.99367552783198</v>
      </c>
      <c r="F43" s="686">
        <f>industrie!E22</f>
        <v>26.301344712470765</v>
      </c>
      <c r="G43" s="686">
        <f>industrie!F22</f>
        <v>101.05507950319182</v>
      </c>
      <c r="H43" s="686">
        <f>industrie!G22</f>
        <v>0</v>
      </c>
      <c r="I43" s="686">
        <f>industrie!H22</f>
        <v>0</v>
      </c>
      <c r="J43" s="686">
        <f>industrie!I22</f>
        <v>0</v>
      </c>
      <c r="K43" s="686">
        <f>industrie!J22</f>
        <v>1.6634343863143917</v>
      </c>
      <c r="L43" s="686">
        <f>industrie!K22</f>
        <v>0</v>
      </c>
      <c r="M43" s="686">
        <f>industrie!L22</f>
        <v>0</v>
      </c>
      <c r="N43" s="686">
        <f>industrie!M22</f>
        <v>0</v>
      </c>
      <c r="O43" s="686">
        <f>industrie!N22</f>
        <v>0</v>
      </c>
      <c r="P43" s="686">
        <f>industrie!O22</f>
        <v>0</v>
      </c>
      <c r="Q43" s="769">
        <f>industrie!P22</f>
        <v>0</v>
      </c>
      <c r="R43" s="848">
        <f t="shared" ca="1" si="4"/>
        <v>580.37098800578667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4497.1366202076297</v>
      </c>
      <c r="D46" s="722">
        <f t="shared" ref="D46:Q46" ca="1" si="5">SUM(D39:D45)</f>
        <v>0</v>
      </c>
      <c r="E46" s="722">
        <f t="shared" ca="1" si="5"/>
        <v>11202.29172669099</v>
      </c>
      <c r="F46" s="722">
        <f t="shared" si="5"/>
        <v>355.69434049218108</v>
      </c>
      <c r="G46" s="722">
        <f t="shared" ca="1" si="5"/>
        <v>300.60299910826711</v>
      </c>
      <c r="H46" s="722">
        <f t="shared" si="5"/>
        <v>0</v>
      </c>
      <c r="I46" s="722">
        <f t="shared" si="5"/>
        <v>0</v>
      </c>
      <c r="J46" s="722">
        <f t="shared" si="5"/>
        <v>0</v>
      </c>
      <c r="K46" s="722">
        <f t="shared" si="5"/>
        <v>1.6662720303434055</v>
      </c>
      <c r="L46" s="722">
        <f t="shared" si="5"/>
        <v>0</v>
      </c>
      <c r="M46" s="722">
        <f t="shared" ca="1" si="5"/>
        <v>0</v>
      </c>
      <c r="N46" s="722">
        <f t="shared" si="5"/>
        <v>0</v>
      </c>
      <c r="O46" s="722">
        <f t="shared" ca="1" si="5"/>
        <v>0</v>
      </c>
      <c r="P46" s="722">
        <f t="shared" si="5"/>
        <v>0</v>
      </c>
      <c r="Q46" s="722">
        <f t="shared" si="5"/>
        <v>0</v>
      </c>
      <c r="R46" s="722">
        <f ca="1">SUM(R39:R45)</f>
        <v>16357.391958529412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127.15088740729909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127.15088740729909</v>
      </c>
    </row>
    <row r="50" spans="1:18">
      <c r="A50" s="824" t="s">
        <v>306</v>
      </c>
      <c r="B50" s="834"/>
      <c r="C50" s="692">
        <f ca="1">transport!B18</f>
        <v>0.89361605081007911</v>
      </c>
      <c r="D50" s="692">
        <f>transport!C18</f>
        <v>0</v>
      </c>
      <c r="E50" s="692">
        <f>transport!D18</f>
        <v>3.0314611410458747</v>
      </c>
      <c r="F50" s="692">
        <f>transport!E18</f>
        <v>2.8993574117436185</v>
      </c>
      <c r="G50" s="692">
        <f>transport!F18</f>
        <v>0</v>
      </c>
      <c r="H50" s="692">
        <f>transport!G18</f>
        <v>1425.1185692373667</v>
      </c>
      <c r="I50" s="692">
        <f>transport!H18</f>
        <v>349.50511962024001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1781.4481234612065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0.89361605081007911</v>
      </c>
      <c r="D52" s="722">
        <f t="shared" ref="D52:Q52" ca="1" si="6">SUM(D48:D51)</f>
        <v>0</v>
      </c>
      <c r="E52" s="722">
        <f t="shared" si="6"/>
        <v>3.0314611410458747</v>
      </c>
      <c r="F52" s="722">
        <f t="shared" si="6"/>
        <v>2.8993574117436185</v>
      </c>
      <c r="G52" s="722">
        <f t="shared" si="6"/>
        <v>0</v>
      </c>
      <c r="H52" s="722">
        <f t="shared" si="6"/>
        <v>1552.2694566446658</v>
      </c>
      <c r="I52" s="722">
        <f t="shared" si="6"/>
        <v>349.50511962024001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1908.5990108685055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10.488996085702423</v>
      </c>
      <c r="D54" s="692">
        <f ca="1">+landbouw!C12</f>
        <v>0</v>
      </c>
      <c r="E54" s="692">
        <f>+landbouw!D12</f>
        <v>62.884115168468</v>
      </c>
      <c r="F54" s="692">
        <f>+landbouw!E12</f>
        <v>0.37217086390655701</v>
      </c>
      <c r="G54" s="692">
        <f>+landbouw!F12</f>
        <v>49.569981081954339</v>
      </c>
      <c r="H54" s="692">
        <f>+landbouw!G12</f>
        <v>0</v>
      </c>
      <c r="I54" s="692">
        <f>+landbouw!H12</f>
        <v>0</v>
      </c>
      <c r="J54" s="692">
        <f>+landbouw!I12</f>
        <v>0</v>
      </c>
      <c r="K54" s="692">
        <f>+landbouw!J12</f>
        <v>5.1234574130104349</v>
      </c>
      <c r="L54" s="692">
        <f>+landbouw!K12</f>
        <v>0</v>
      </c>
      <c r="M54" s="692">
        <f>+landbouw!L12</f>
        <v>0</v>
      </c>
      <c r="N54" s="692">
        <f>+landbouw!M12</f>
        <v>0</v>
      </c>
      <c r="O54" s="692">
        <f>+landbouw!N12</f>
        <v>0</v>
      </c>
      <c r="P54" s="692">
        <f>+landbouw!O12</f>
        <v>0</v>
      </c>
      <c r="Q54" s="693">
        <f>+landbouw!P12</f>
        <v>0</v>
      </c>
      <c r="R54" s="721">
        <f ca="1">SUM(C54:Q54)</f>
        <v>128.43872061304177</v>
      </c>
    </row>
    <row r="55" spans="1:18" ht="15" thickBot="1">
      <c r="A55" s="824" t="s">
        <v>724</v>
      </c>
      <c r="B55" s="834"/>
      <c r="C55" s="692">
        <f ca="1">C25*'EF ele_warmte'!B12</f>
        <v>55.967949118000114</v>
      </c>
      <c r="D55" s="692"/>
      <c r="E55" s="692">
        <f>E25*EF_CO2_aardgas</f>
        <v>182.26716863200002</v>
      </c>
      <c r="F55" s="692"/>
      <c r="G55" s="692"/>
      <c r="H55" s="692"/>
      <c r="I55" s="692"/>
      <c r="J55" s="692"/>
      <c r="K55" s="692"/>
      <c r="L55" s="692"/>
      <c r="M55" s="692"/>
      <c r="N55" s="692"/>
      <c r="O55" s="692"/>
      <c r="P55" s="692"/>
      <c r="Q55" s="693"/>
      <c r="R55" s="721">
        <f ca="1">SUM(C55:Q55)</f>
        <v>238.23511775000014</v>
      </c>
    </row>
    <row r="56" spans="1:18" ht="15.75" thickBot="1">
      <c r="A56" s="822" t="s">
        <v>725</v>
      </c>
      <c r="B56" s="835"/>
      <c r="C56" s="722">
        <f ca="1">SUM(C54:C55)</f>
        <v>66.456945203702531</v>
      </c>
      <c r="D56" s="722">
        <f t="shared" ref="D56:Q56" ca="1" si="7">SUM(D54:D55)</f>
        <v>0</v>
      </c>
      <c r="E56" s="722">
        <f t="shared" si="7"/>
        <v>245.15128380046804</v>
      </c>
      <c r="F56" s="722">
        <f t="shared" si="7"/>
        <v>0.37217086390655701</v>
      </c>
      <c r="G56" s="722">
        <f t="shared" si="7"/>
        <v>49.569981081954339</v>
      </c>
      <c r="H56" s="722">
        <f t="shared" si="7"/>
        <v>0</v>
      </c>
      <c r="I56" s="722">
        <f t="shared" si="7"/>
        <v>0</v>
      </c>
      <c r="J56" s="722">
        <f t="shared" si="7"/>
        <v>0</v>
      </c>
      <c r="K56" s="722">
        <f t="shared" si="7"/>
        <v>5.1234574130104349</v>
      </c>
      <c r="L56" s="722">
        <f t="shared" si="7"/>
        <v>0</v>
      </c>
      <c r="M56" s="722">
        <f t="shared" si="7"/>
        <v>0</v>
      </c>
      <c r="N56" s="722">
        <f t="shared" si="7"/>
        <v>0</v>
      </c>
      <c r="O56" s="722">
        <f t="shared" si="7"/>
        <v>0</v>
      </c>
      <c r="P56" s="722">
        <f t="shared" si="7"/>
        <v>0</v>
      </c>
      <c r="Q56" s="723">
        <f t="shared" si="7"/>
        <v>0</v>
      </c>
      <c r="R56" s="724">
        <f ca="1">SUM(R54:R55)</f>
        <v>366.67383836304191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4564.487181462142</v>
      </c>
      <c r="D61" s="730">
        <f t="shared" ref="D61:Q61" ca="1" si="8">D46+D52+D56</f>
        <v>0</v>
      </c>
      <c r="E61" s="730">
        <f t="shared" ca="1" si="8"/>
        <v>11450.474471632504</v>
      </c>
      <c r="F61" s="730">
        <f t="shared" si="8"/>
        <v>358.96586876783124</v>
      </c>
      <c r="G61" s="730">
        <f t="shared" ca="1" si="8"/>
        <v>350.17298019022144</v>
      </c>
      <c r="H61" s="730">
        <f t="shared" si="8"/>
        <v>1552.2694566446658</v>
      </c>
      <c r="I61" s="730">
        <f t="shared" si="8"/>
        <v>349.50511962024001</v>
      </c>
      <c r="J61" s="730">
        <f t="shared" si="8"/>
        <v>0</v>
      </c>
      <c r="K61" s="730">
        <f t="shared" si="8"/>
        <v>6.7897294433538402</v>
      </c>
      <c r="L61" s="730">
        <f t="shared" si="8"/>
        <v>0</v>
      </c>
      <c r="M61" s="730">
        <f t="shared" ca="1" si="8"/>
        <v>0</v>
      </c>
      <c r="N61" s="730">
        <f t="shared" si="8"/>
        <v>0</v>
      </c>
      <c r="O61" s="730">
        <f t="shared" ca="1" si="8"/>
        <v>0</v>
      </c>
      <c r="P61" s="730">
        <f t="shared" si="8"/>
        <v>0</v>
      </c>
      <c r="Q61" s="730">
        <f t="shared" si="8"/>
        <v>0</v>
      </c>
      <c r="R61" s="730">
        <f ca="1">R46+R52+R56</f>
        <v>18632.664807760961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0.19966713665021812</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2206.6948406301185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2206.6948406301185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2206.6948406301185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2206.6948406301185</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14355.70387609068</v>
      </c>
      <c r="C4" s="452">
        <f>huishoudens!C8</f>
        <v>0</v>
      </c>
      <c r="D4" s="452">
        <f>huishoudens!D8</f>
        <v>41015.609656120003</v>
      </c>
      <c r="E4" s="452">
        <f>huishoudens!E8</f>
        <v>1357.4481970326851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3161.5694829286526</v>
      </c>
      <c r="O4" s="452">
        <f>huishoudens!O8</f>
        <v>168.63644864789771</v>
      </c>
      <c r="P4" s="453">
        <f>huishoudens!P8</f>
        <v>273.88294199981061</v>
      </c>
      <c r="Q4" s="454">
        <f>SUM(B4:P4)</f>
        <v>60332.85060281973</v>
      </c>
    </row>
    <row r="5" spans="1:17">
      <c r="A5" s="451" t="s">
        <v>155</v>
      </c>
      <c r="B5" s="452">
        <f ca="1">tertiair!B16</f>
        <v>6640.2998690000004</v>
      </c>
      <c r="C5" s="452">
        <f ca="1">tertiair!C16</f>
        <v>0</v>
      </c>
      <c r="D5" s="452">
        <f ca="1">tertiair!D16</f>
        <v>13282.895547658001</v>
      </c>
      <c r="E5" s="452">
        <f>tertiair!E16</f>
        <v>93.622268957227931</v>
      </c>
      <c r="F5" s="452">
        <f ca="1">tertiair!F16</f>
        <v>747.37048541226682</v>
      </c>
      <c r="G5" s="452">
        <f>tertiair!G16</f>
        <v>0</v>
      </c>
      <c r="H5" s="452">
        <f>tertiair!H16</f>
        <v>0</v>
      </c>
      <c r="I5" s="452">
        <f>tertiair!I16</f>
        <v>0</v>
      </c>
      <c r="J5" s="452">
        <f>tertiair!J16</f>
        <v>8.0159435847850461E-3</v>
      </c>
      <c r="K5" s="452">
        <f>tertiair!K16</f>
        <v>0</v>
      </c>
      <c r="L5" s="452">
        <f ca="1">tertiair!L16</f>
        <v>0</v>
      </c>
      <c r="M5" s="452">
        <f>tertiair!M16</f>
        <v>0</v>
      </c>
      <c r="N5" s="452">
        <f ca="1">tertiair!N16</f>
        <v>318.45893098268664</v>
      </c>
      <c r="O5" s="452">
        <f>tertiair!O16</f>
        <v>0</v>
      </c>
      <c r="P5" s="453">
        <f>tertiair!P16</f>
        <v>52.539138306495019</v>
      </c>
      <c r="Q5" s="451">
        <f t="shared" ref="Q5:Q14" ca="1" si="0">SUM(B5:P5)</f>
        <v>21135.194256260267</v>
      </c>
    </row>
    <row r="6" spans="1:17">
      <c r="A6" s="451" t="s">
        <v>193</v>
      </c>
      <c r="B6" s="452">
        <f>'openbare verlichting'!B8</f>
        <v>438.56599999999997</v>
      </c>
      <c r="C6" s="452"/>
      <c r="D6" s="452"/>
      <c r="E6" s="452"/>
      <c r="F6" s="452"/>
      <c r="G6" s="452"/>
      <c r="H6" s="452"/>
      <c r="I6" s="452"/>
      <c r="J6" s="452"/>
      <c r="K6" s="452"/>
      <c r="L6" s="452"/>
      <c r="M6" s="452"/>
      <c r="N6" s="452"/>
      <c r="O6" s="452"/>
      <c r="P6" s="453"/>
      <c r="Q6" s="451">
        <f t="shared" si="0"/>
        <v>438.56599999999997</v>
      </c>
    </row>
    <row r="7" spans="1:17">
      <c r="A7" s="451" t="s">
        <v>111</v>
      </c>
      <c r="B7" s="452">
        <f>landbouw!B8</f>
        <v>52.532411000000003</v>
      </c>
      <c r="C7" s="452">
        <f>landbouw!C8</f>
        <v>0</v>
      </c>
      <c r="D7" s="452">
        <f>landbouw!D8</f>
        <v>311.307500834</v>
      </c>
      <c r="E7" s="452">
        <f>landbouw!E8</f>
        <v>1.6395192242579604</v>
      </c>
      <c r="F7" s="452">
        <f>landbouw!F8</f>
        <v>185.65535985750688</v>
      </c>
      <c r="G7" s="452">
        <f>landbouw!G8</f>
        <v>0</v>
      </c>
      <c r="H7" s="452">
        <f>landbouw!H8</f>
        <v>0</v>
      </c>
      <c r="I7" s="452">
        <f>landbouw!I8</f>
        <v>0</v>
      </c>
      <c r="J7" s="452">
        <f>landbouw!J8</f>
        <v>14.473043539577501</v>
      </c>
      <c r="K7" s="452">
        <f>landbouw!K8</f>
        <v>0</v>
      </c>
      <c r="L7" s="452">
        <f>landbouw!L8</f>
        <v>0</v>
      </c>
      <c r="M7" s="452">
        <f>landbouw!M8</f>
        <v>0</v>
      </c>
      <c r="N7" s="452">
        <f>landbouw!N8</f>
        <v>0</v>
      </c>
      <c r="O7" s="452">
        <f>landbouw!O8</f>
        <v>0</v>
      </c>
      <c r="P7" s="453">
        <f>landbouw!P8</f>
        <v>0</v>
      </c>
      <c r="Q7" s="451">
        <f t="shared" si="0"/>
        <v>565.6078344553423</v>
      </c>
    </row>
    <row r="8" spans="1:17">
      <c r="A8" s="451" t="s">
        <v>625</v>
      </c>
      <c r="B8" s="452">
        <f>industrie!B18</f>
        <v>1088.5990430000002</v>
      </c>
      <c r="C8" s="452">
        <f>industrie!C18</f>
        <v>0</v>
      </c>
      <c r="D8" s="452">
        <f>industrie!D18</f>
        <v>1158.3845323159999</v>
      </c>
      <c r="E8" s="452">
        <f>industrie!E18</f>
        <v>115.86495468048795</v>
      </c>
      <c r="F8" s="452">
        <f>industrie!F18</f>
        <v>378.48344383217909</v>
      </c>
      <c r="G8" s="452">
        <f>industrie!G18</f>
        <v>0</v>
      </c>
      <c r="H8" s="452">
        <f>industrie!H18</f>
        <v>0</v>
      </c>
      <c r="I8" s="452">
        <f>industrie!I18</f>
        <v>0</v>
      </c>
      <c r="J8" s="452">
        <f>industrie!J18</f>
        <v>4.6989671929785075</v>
      </c>
      <c r="K8" s="452">
        <f>industrie!K18</f>
        <v>0</v>
      </c>
      <c r="L8" s="452">
        <f>industrie!L18</f>
        <v>0</v>
      </c>
      <c r="M8" s="452">
        <f>industrie!M18</f>
        <v>0</v>
      </c>
      <c r="N8" s="452">
        <f>industrie!N18</f>
        <v>54.706940156080421</v>
      </c>
      <c r="O8" s="452">
        <f>industrie!O18</f>
        <v>0</v>
      </c>
      <c r="P8" s="453">
        <f>industrie!P18</f>
        <v>0</v>
      </c>
      <c r="Q8" s="451">
        <f t="shared" si="0"/>
        <v>2800.7378811777262</v>
      </c>
    </row>
    <row r="9" spans="1:17" s="457" customFormat="1">
      <c r="A9" s="455" t="s">
        <v>551</v>
      </c>
      <c r="B9" s="456">
        <f>transport!B14</f>
        <v>4.4755289518451802</v>
      </c>
      <c r="C9" s="456">
        <f>transport!C14</f>
        <v>0</v>
      </c>
      <c r="D9" s="456">
        <f>transport!D14</f>
        <v>15.00723337151423</v>
      </c>
      <c r="E9" s="456">
        <f>transport!E14</f>
        <v>12.772499611205367</v>
      </c>
      <c r="F9" s="456">
        <f>transport!F14</f>
        <v>0</v>
      </c>
      <c r="G9" s="456">
        <f>transport!G14</f>
        <v>5337.5227312260922</v>
      </c>
      <c r="H9" s="456">
        <f>transport!H14</f>
        <v>1403.6350185551807</v>
      </c>
      <c r="I9" s="456">
        <f>transport!I14</f>
        <v>0</v>
      </c>
      <c r="J9" s="456">
        <f>transport!J14</f>
        <v>0</v>
      </c>
      <c r="K9" s="456">
        <f>transport!K14</f>
        <v>0</v>
      </c>
      <c r="L9" s="456">
        <f>transport!L14</f>
        <v>0</v>
      </c>
      <c r="M9" s="456">
        <f>transport!M14</f>
        <v>400.59973103706488</v>
      </c>
      <c r="N9" s="456">
        <f>transport!N14</f>
        <v>0</v>
      </c>
      <c r="O9" s="456">
        <f>transport!O14</f>
        <v>0</v>
      </c>
      <c r="P9" s="456">
        <f>transport!P14</f>
        <v>0</v>
      </c>
      <c r="Q9" s="455">
        <f>SUM(B9:P9)</f>
        <v>7174.0127427529033</v>
      </c>
    </row>
    <row r="10" spans="1:17">
      <c r="A10" s="451" t="s">
        <v>541</v>
      </c>
      <c r="B10" s="452">
        <f>transport!B54</f>
        <v>0</v>
      </c>
      <c r="C10" s="452">
        <f>transport!C54</f>
        <v>0</v>
      </c>
      <c r="D10" s="452">
        <f>transport!D54</f>
        <v>0</v>
      </c>
      <c r="E10" s="452">
        <f>transport!E54</f>
        <v>0</v>
      </c>
      <c r="F10" s="452">
        <f>transport!F54</f>
        <v>0</v>
      </c>
      <c r="G10" s="452">
        <f>transport!G54</f>
        <v>476.22055208726249</v>
      </c>
      <c r="H10" s="452">
        <f>transport!H54</f>
        <v>0</v>
      </c>
      <c r="I10" s="452">
        <f>transport!I54</f>
        <v>0</v>
      </c>
      <c r="J10" s="452">
        <f>transport!J54</f>
        <v>0</v>
      </c>
      <c r="K10" s="452">
        <f>transport!K54</f>
        <v>0</v>
      </c>
      <c r="L10" s="452">
        <f>transport!L54</f>
        <v>0</v>
      </c>
      <c r="M10" s="452">
        <f>transport!M54</f>
        <v>26.464226713602997</v>
      </c>
      <c r="N10" s="452">
        <f>transport!N54</f>
        <v>0</v>
      </c>
      <c r="O10" s="452">
        <f>transport!O54</f>
        <v>0</v>
      </c>
      <c r="P10" s="453">
        <f>transport!P54</f>
        <v>0</v>
      </c>
      <c r="Q10" s="451">
        <f t="shared" si="0"/>
        <v>502.6847788008655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280.306264</v>
      </c>
      <c r="C14" s="459"/>
      <c r="D14" s="459">
        <f>'SEAP template'!E25</f>
        <v>902.31271600000002</v>
      </c>
      <c r="E14" s="459"/>
      <c r="F14" s="459"/>
      <c r="G14" s="459"/>
      <c r="H14" s="459"/>
      <c r="I14" s="459"/>
      <c r="J14" s="459"/>
      <c r="K14" s="459"/>
      <c r="L14" s="459"/>
      <c r="M14" s="459"/>
      <c r="N14" s="459"/>
      <c r="O14" s="459"/>
      <c r="P14" s="460"/>
      <c r="Q14" s="451">
        <f t="shared" si="0"/>
        <v>1182.61898</v>
      </c>
    </row>
    <row r="15" spans="1:17" s="463" customFormat="1">
      <c r="A15" s="461" t="s">
        <v>545</v>
      </c>
      <c r="B15" s="462">
        <f ca="1">SUM(B4:B14)</f>
        <v>22860.482992042525</v>
      </c>
      <c r="C15" s="462">
        <f t="shared" ref="C15:Q15" ca="1" si="1">SUM(C4:C14)</f>
        <v>0</v>
      </c>
      <c r="D15" s="462">
        <f t="shared" ca="1" si="1"/>
        <v>56685.517186299519</v>
      </c>
      <c r="E15" s="462">
        <f t="shared" si="1"/>
        <v>1581.3474395058645</v>
      </c>
      <c r="F15" s="462">
        <f t="shared" ca="1" si="1"/>
        <v>1311.5092891019528</v>
      </c>
      <c r="G15" s="462">
        <f t="shared" si="1"/>
        <v>5813.7432833133544</v>
      </c>
      <c r="H15" s="462">
        <f t="shared" si="1"/>
        <v>1403.6350185551807</v>
      </c>
      <c r="I15" s="462">
        <f t="shared" si="1"/>
        <v>0</v>
      </c>
      <c r="J15" s="462">
        <f t="shared" si="1"/>
        <v>19.180026676140795</v>
      </c>
      <c r="K15" s="462">
        <f t="shared" si="1"/>
        <v>0</v>
      </c>
      <c r="L15" s="462">
        <f t="shared" ca="1" si="1"/>
        <v>0</v>
      </c>
      <c r="M15" s="462">
        <f t="shared" si="1"/>
        <v>427.0639577506679</v>
      </c>
      <c r="N15" s="462">
        <f t="shared" ca="1" si="1"/>
        <v>3534.7353540674194</v>
      </c>
      <c r="O15" s="462">
        <f t="shared" si="1"/>
        <v>168.63644864789771</v>
      </c>
      <c r="P15" s="462">
        <f t="shared" si="1"/>
        <v>326.42208030630565</v>
      </c>
      <c r="Q15" s="462">
        <f t="shared" ca="1" si="1"/>
        <v>94132.273076266836</v>
      </c>
    </row>
    <row r="17" spans="1:17">
      <c r="A17" s="464" t="s">
        <v>546</v>
      </c>
      <c r="B17" s="781">
        <f ca="1">huishoudens!B10</f>
        <v>0.19966713665021812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2866.3622875374635</v>
      </c>
      <c r="C22" s="452">
        <f t="shared" ref="C22:C32" ca="1" si="3">C4*$C$17</f>
        <v>0</v>
      </c>
      <c r="D22" s="452">
        <f t="shared" ref="D22:D32" si="4">D4*$D$17</f>
        <v>8285.1531505362418</v>
      </c>
      <c r="E22" s="452">
        <f t="shared" ref="E22:E32" si="5">E4*$E$17</f>
        <v>308.14074072641955</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11459.656178800125</v>
      </c>
    </row>
    <row r="23" spans="1:17">
      <c r="A23" s="451" t="s">
        <v>155</v>
      </c>
      <c r="B23" s="452">
        <f t="shared" ca="1" si="2"/>
        <v>1325.8496613420486</v>
      </c>
      <c r="C23" s="452">
        <f t="shared" ca="1" si="3"/>
        <v>0</v>
      </c>
      <c r="D23" s="452">
        <f t="shared" ca="1" si="4"/>
        <v>2683.1449006269163</v>
      </c>
      <c r="E23" s="452">
        <f t="shared" si="5"/>
        <v>21.252255053290742</v>
      </c>
      <c r="F23" s="452">
        <f t="shared" ca="1" si="6"/>
        <v>199.54791960507526</v>
      </c>
      <c r="G23" s="452">
        <f t="shared" si="7"/>
        <v>0</v>
      </c>
      <c r="H23" s="452">
        <f t="shared" si="8"/>
        <v>0</v>
      </c>
      <c r="I23" s="452">
        <f t="shared" si="9"/>
        <v>0</v>
      </c>
      <c r="J23" s="452">
        <f t="shared" si="10"/>
        <v>2.8376440290139061E-3</v>
      </c>
      <c r="K23" s="452">
        <f t="shared" si="11"/>
        <v>0</v>
      </c>
      <c r="L23" s="452">
        <f t="shared" ca="1" si="12"/>
        <v>0</v>
      </c>
      <c r="M23" s="452">
        <f t="shared" si="13"/>
        <v>0</v>
      </c>
      <c r="N23" s="452">
        <f t="shared" ca="1" si="14"/>
        <v>0</v>
      </c>
      <c r="O23" s="452">
        <f t="shared" si="15"/>
        <v>0</v>
      </c>
      <c r="P23" s="453">
        <f t="shared" si="16"/>
        <v>0</v>
      </c>
      <c r="Q23" s="451">
        <f t="shared" ref="Q23:Q31" ca="1" si="17">SUM(B23:P23)</f>
        <v>4229.7975742713597</v>
      </c>
    </row>
    <row r="24" spans="1:17">
      <c r="A24" s="451" t="s">
        <v>193</v>
      </c>
      <c r="B24" s="452">
        <f t="shared" ca="1" si="2"/>
        <v>87.567217452139559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87.567217452139559</v>
      </c>
    </row>
    <row r="25" spans="1:17">
      <c r="A25" s="451" t="s">
        <v>111</v>
      </c>
      <c r="B25" s="452">
        <f t="shared" ca="1" si="2"/>
        <v>10.488996085702423</v>
      </c>
      <c r="C25" s="452">
        <f t="shared" ca="1" si="3"/>
        <v>0</v>
      </c>
      <c r="D25" s="452">
        <f t="shared" si="4"/>
        <v>62.884115168468</v>
      </c>
      <c r="E25" s="452">
        <f t="shared" si="5"/>
        <v>0.37217086390655701</v>
      </c>
      <c r="F25" s="452">
        <f t="shared" si="6"/>
        <v>49.569981081954339</v>
      </c>
      <c r="G25" s="452">
        <f t="shared" si="7"/>
        <v>0</v>
      </c>
      <c r="H25" s="452">
        <f t="shared" si="8"/>
        <v>0</v>
      </c>
      <c r="I25" s="452">
        <f t="shared" si="9"/>
        <v>0</v>
      </c>
      <c r="J25" s="452">
        <f t="shared" si="10"/>
        <v>5.1234574130104349</v>
      </c>
      <c r="K25" s="452">
        <f t="shared" si="11"/>
        <v>0</v>
      </c>
      <c r="L25" s="452">
        <f t="shared" si="12"/>
        <v>0</v>
      </c>
      <c r="M25" s="452">
        <f t="shared" si="13"/>
        <v>0</v>
      </c>
      <c r="N25" s="452">
        <f t="shared" si="14"/>
        <v>0</v>
      </c>
      <c r="O25" s="452">
        <f t="shared" si="15"/>
        <v>0</v>
      </c>
      <c r="P25" s="453">
        <f t="shared" si="16"/>
        <v>0</v>
      </c>
      <c r="Q25" s="451">
        <f t="shared" ca="1" si="17"/>
        <v>128.43872061304177</v>
      </c>
    </row>
    <row r="26" spans="1:17">
      <c r="A26" s="451" t="s">
        <v>625</v>
      </c>
      <c r="B26" s="452">
        <f t="shared" ca="1" si="2"/>
        <v>217.35745387597771</v>
      </c>
      <c r="C26" s="452">
        <f t="shared" ca="1" si="3"/>
        <v>0</v>
      </c>
      <c r="D26" s="452">
        <f t="shared" si="4"/>
        <v>233.99367552783198</v>
      </c>
      <c r="E26" s="452">
        <f t="shared" si="5"/>
        <v>26.301344712470765</v>
      </c>
      <c r="F26" s="452">
        <f t="shared" si="6"/>
        <v>101.05507950319182</v>
      </c>
      <c r="G26" s="452">
        <f t="shared" si="7"/>
        <v>0</v>
      </c>
      <c r="H26" s="452">
        <f t="shared" si="8"/>
        <v>0</v>
      </c>
      <c r="I26" s="452">
        <f t="shared" si="9"/>
        <v>0</v>
      </c>
      <c r="J26" s="452">
        <f t="shared" si="10"/>
        <v>1.6634343863143917</v>
      </c>
      <c r="K26" s="452">
        <f t="shared" si="11"/>
        <v>0</v>
      </c>
      <c r="L26" s="452">
        <f t="shared" si="12"/>
        <v>0</v>
      </c>
      <c r="M26" s="452">
        <f t="shared" si="13"/>
        <v>0</v>
      </c>
      <c r="N26" s="452">
        <f t="shared" si="14"/>
        <v>0</v>
      </c>
      <c r="O26" s="452">
        <f t="shared" si="15"/>
        <v>0</v>
      </c>
      <c r="P26" s="453">
        <f t="shared" si="16"/>
        <v>0</v>
      </c>
      <c r="Q26" s="451">
        <f t="shared" ca="1" si="17"/>
        <v>580.37098800578667</v>
      </c>
    </row>
    <row r="27" spans="1:17" s="457" customFormat="1">
      <c r="A27" s="455" t="s">
        <v>551</v>
      </c>
      <c r="B27" s="775">
        <f t="shared" ca="1" si="2"/>
        <v>0.89361605081007911</v>
      </c>
      <c r="C27" s="456">
        <f t="shared" ca="1" si="3"/>
        <v>0</v>
      </c>
      <c r="D27" s="456">
        <f t="shared" si="4"/>
        <v>3.0314611410458747</v>
      </c>
      <c r="E27" s="456">
        <f t="shared" si="5"/>
        <v>2.8993574117436185</v>
      </c>
      <c r="F27" s="456">
        <f t="shared" si="6"/>
        <v>0</v>
      </c>
      <c r="G27" s="456">
        <f t="shared" si="7"/>
        <v>1425.1185692373667</v>
      </c>
      <c r="H27" s="456">
        <f t="shared" si="8"/>
        <v>349.50511962024001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1781.4481234612065</v>
      </c>
    </row>
    <row r="28" spans="1:17" ht="16.5" customHeight="1">
      <c r="A28" s="451" t="s">
        <v>541</v>
      </c>
      <c r="B28" s="452">
        <f t="shared" ca="1" si="2"/>
        <v>0</v>
      </c>
      <c r="C28" s="452">
        <f t="shared" ca="1" si="3"/>
        <v>0</v>
      </c>
      <c r="D28" s="452">
        <f t="shared" si="4"/>
        <v>0</v>
      </c>
      <c r="E28" s="452">
        <f t="shared" si="5"/>
        <v>0</v>
      </c>
      <c r="F28" s="452">
        <f t="shared" si="6"/>
        <v>0</v>
      </c>
      <c r="G28" s="452">
        <f t="shared" si="7"/>
        <v>127.15088740729909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127.15088740729909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55.967949118000114</v>
      </c>
      <c r="C32" s="452">
        <f t="shared" ca="1" si="3"/>
        <v>0</v>
      </c>
      <c r="D32" s="452">
        <f t="shared" si="4"/>
        <v>182.26716863200002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238.23511775000014</v>
      </c>
    </row>
    <row r="33" spans="1:17" s="463" customFormat="1">
      <c r="A33" s="461" t="s">
        <v>545</v>
      </c>
      <c r="B33" s="462">
        <f ca="1">SUM(B22:B32)</f>
        <v>4564.4871814621429</v>
      </c>
      <c r="C33" s="462">
        <f t="shared" ref="C33:Q33" ca="1" si="19">SUM(C22:C32)</f>
        <v>0</v>
      </c>
      <c r="D33" s="462">
        <f t="shared" ca="1" si="19"/>
        <v>11450.474471632506</v>
      </c>
      <c r="E33" s="462">
        <f t="shared" si="19"/>
        <v>358.96586876783124</v>
      </c>
      <c r="F33" s="462">
        <f t="shared" ca="1" si="19"/>
        <v>350.17298019022144</v>
      </c>
      <c r="G33" s="462">
        <f t="shared" si="19"/>
        <v>1552.2694566446658</v>
      </c>
      <c r="H33" s="462">
        <f t="shared" si="19"/>
        <v>349.50511962024001</v>
      </c>
      <c r="I33" s="462">
        <f t="shared" si="19"/>
        <v>0</v>
      </c>
      <c r="J33" s="462">
        <f t="shared" si="19"/>
        <v>6.7897294433538402</v>
      </c>
      <c r="K33" s="462">
        <f t="shared" si="19"/>
        <v>0</v>
      </c>
      <c r="L33" s="462">
        <f t="shared" ca="1" si="19"/>
        <v>0</v>
      </c>
      <c r="M33" s="462">
        <f t="shared" si="19"/>
        <v>0</v>
      </c>
      <c r="N33" s="462">
        <f t="shared" ca="1" si="19"/>
        <v>0</v>
      </c>
      <c r="O33" s="462">
        <f t="shared" si="19"/>
        <v>0</v>
      </c>
      <c r="P33" s="462">
        <f t="shared" si="19"/>
        <v>0</v>
      </c>
      <c r="Q33" s="462">
        <f t="shared" ca="1" si="19"/>
        <v>18632.664807760957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2206.6948406301185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2206.6948406301185</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0.19966713665021812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0.19966713665021812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2020-06-20T15:28:05Z</dcterms:modified>
</cp:coreProperties>
</file>