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O39" i="18"/>
  <c r="N39" i="18"/>
  <c r="B9" i="18" s="1"/>
  <c r="M39" i="18"/>
  <c r="W35" i="18"/>
  <c r="V35" i="18"/>
  <c r="U35" i="18"/>
  <c r="T35" i="18"/>
  <c r="S35" i="18"/>
  <c r="R35" i="18"/>
  <c r="Q35" i="18"/>
  <c r="P35" i="18"/>
  <c r="O35" i="18"/>
  <c r="N35" i="18"/>
  <c r="M35" i="18"/>
  <c r="W34" i="18"/>
  <c r="V34" i="18"/>
  <c r="U34" i="18"/>
  <c r="T34" i="18"/>
  <c r="S34" i="18"/>
  <c r="R34" i="18"/>
  <c r="Q34" i="18"/>
  <c r="P34" i="18"/>
  <c r="O34" i="18"/>
  <c r="C13" i="15" s="1"/>
  <c r="N34" i="18"/>
  <c r="M34" i="18"/>
  <c r="W33" i="18"/>
  <c r="V33" i="18"/>
  <c r="U33" i="18"/>
  <c r="T33" i="18"/>
  <c r="S33" i="18"/>
  <c r="F16" i="16" s="1"/>
  <c r="R33" i="18"/>
  <c r="Q33" i="18"/>
  <c r="P33" i="18"/>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I76" i="14"/>
  <c r="I8" i="59" s="1"/>
  <c r="I10" i="59" s="1"/>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49"/>
  <c r="C18" i="15"/>
  <c r="C20" i="15" s="1"/>
  <c r="D40" i="14" s="1"/>
  <c r="C29" i="20"/>
  <c r="C20" i="16"/>
  <c r="C22" i="16" s="1"/>
  <c r="D43" i="14" s="1"/>
  <c r="C10" i="17"/>
  <c r="C12" i="17" s="1"/>
  <c r="D54" i="14" s="1"/>
  <c r="D56" i="14" s="1"/>
  <c r="C10" i="13"/>
  <c r="C12" i="13" s="1"/>
  <c r="D41" i="14" s="1"/>
  <c r="D46" i="14" s="1"/>
  <c r="D61" i="14" s="1"/>
  <c r="D63" i="14" s="1"/>
  <c r="C22" i="59"/>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<sst xmlns="http://schemas.openxmlformats.org/spreadsheetml/2006/main" count="2436" uniqueCount="904">
  <si>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</si>
  <si>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</si>
  <si>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</si>
  <si>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</si>
  <si>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</si>
  <si>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</si>
  <si>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</si>
  <si>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</si>
  <si>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</si>
  <si>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</si>
  <si>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</si>
  <si>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</si>
  <si>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</si>
  <si>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</si>
  <si>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</si>
  <si>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</si>
  <si>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</si>
  <si>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</si>
  <si>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</si>
  <si>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</si>
  <si>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</si>
  <si>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</si>
  <si>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</si>
  <si>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</si>
  <si>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</si>
  <si>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</si>
  <si>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</si>
  <si>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</si>
  <si>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</si>
  <si>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</si>
  <si>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</si>
  <si>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</si>
  <si>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</si>
  <si>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</si>
  <si>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</si>
  <si>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</si>
  <si>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</si>
  <si>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</si>
  <si>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</si>
  <si>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</si>
  <si>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</si>
  <si>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</si>
  <si>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</si>
  <si>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</si>
  <si>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</si>
  <si>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</si>
  <si>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</si>
  <si>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</si>
  <si>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</si>
  <si>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</si>
  <si>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</si>
  <si>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</si>
  <si>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</si>
  <si>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</si>
  <si>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</si>
  <si>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</si>
  <si>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</si>
  <si>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</si>
  <si>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</si>
  <si>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</si>
  <si>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</si>
  <si>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</si>
  <si>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</si>
  <si>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</si>
  <si>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</si>
  <si>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</si>
  <si>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</si>
  <si>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</si>
  <si>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</si>
  <si>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</si>
  <si>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</si>
  <si>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</si>
  <si>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</si>
  <si>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</si>
  <si>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</si>
  <si>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</si>
  <si>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</si>
  <si>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</si>
  <si>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</si>
  <si>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</si>
  <si>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</si>
  <si>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</si>
  <si>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</si>
  <si>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</si>
  <si>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</si>
  <si>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</si>
  <si>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</si>
  <si>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</si>
  <si>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</si>
  <si>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</si>
  <si>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</si>
  <si>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</si>
  <si>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</si>
  <si>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</si>
  <si>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</si>
  <si>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</si>
  <si>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</si>
  <si>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</si>
  <si>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</si>
  <si>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</si>
  <si>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</si>
  <si>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</si>
  <si>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</si>
  <si>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</si>
  <si>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</si>
  <si>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</si>
  <si>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</si>
  <si>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</si>
  <si>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</si>
  <si>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</si>
  <si>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</si>
  <si>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</si>
  <si>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</si>
  <si>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</si>
  <si>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</si>
  <si>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</si>
  <si>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</si>
  <si>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</si>
  <si>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</si>
  <si>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</si>
  <si>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</si>
  <si>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</si>
  <si>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</si>
  <si>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</si>
  <si>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</si>
  <si>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</si>
  <si>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</si>
  <si>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</si>
  <si>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</si>
  <si>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</si>
  <si>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</si>
  <si>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</si>
  <si>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</si>
  <si>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</si>
  <si>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</si>
  <si>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</si>
  <si>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</si>
  <si>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</si>
  <si>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</si>
  <si>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</si>
  <si>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</si>
  <si>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</si>
  <si>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</si>
  <si>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</si>
  <si>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</si>
  <si>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</si>
  <si>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</si>
  <si>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</si>
  <si>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</si>
  <si>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</si>
  <si>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</si>
  <si>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</si>
  <si>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</si>
  <si>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</si>
  <si>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</si>
  <si>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</si>
  <si>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</si>
  <si>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</si>
  <si>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</si>
  <si>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</si>
  <si>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</si>
  <si>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</si>
  <si>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</si>
  <si>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</si>
  <si>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</si>
  <si>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</si>
  <si>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</si>
  <si>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</si>
  <si>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</si>
  <si>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</si>
  <si>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</si>
  <si>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</si>
  <si>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</si>
  <si>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</si>
  <si>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</si>
  <si>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</si>
  <si>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</si>
  <si>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</si>
  <si>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</si>
  <si>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</si>
  <si>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</si>
  <si>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</si>
  <si>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</si>
  <si>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</si>
  <si>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</si>
  <si>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</si>
  <si>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</si>
  <si>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</si>
  <si>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</si>
  <si>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</si>
  <si>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</si>
  <si>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</si>
  <si>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</si>
  <si>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</si>
  <si>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</si>
  <si>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</si>
  <si>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</si>
  <si>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</si>
  <si>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</si>
  <si>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</si>
  <si>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</si>
  <si>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</si>
  <si>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</si>
  <si>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</si>
  <si>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</si>
  <si>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</si>
  <si>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</si>
  <si>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</si>
  <si>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</si>
  <si>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</si>
  <si>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</si>
  <si>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</si>
  <si>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</si>
  <si>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</si>
  <si>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</si>
  <si>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</si>
  <si>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</si>
  <si>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</si>
  <si>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</si>
  <si>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</si>
  <si>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</si>
  <si>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</si>
  <si>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</si>
  <si>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</si>
  <si>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</si>
  <si>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</si>
  <si>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</si>
  <si>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</si>
  <si>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</si>
  <si>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</si>
  <si>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</si>
  <si>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</si>
  <si>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</si>
  <si>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</si>
  <si>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</si>
  <si>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</si>
  <si>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</si>
  <si>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</si>
  <si>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</si>
  <si>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</si>
  <si>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</si>
  <si>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</si>
  <si>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</si>
  <si>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</si>
  <si>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</si>
  <si>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</si>
  <si>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</si>
  <si>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</si>
  <si>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</si>
  <si>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</si>
  <si>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</si>
  <si>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</si>
  <si>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</si>
  <si>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</si>
  <si>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</si>
  <si>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</si>
  <si>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</si>
  <si>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</si>
  <si>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</si>
  <si>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</si>
  <si>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</si>
  <si>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</si>
  <si>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</si>
  <si>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</si>
  <si>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</si>
  <si>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</si>
  <si>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</si>
  <si>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</si>
  <si>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</si>
  <si>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</si>
  <si>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</si>
  <si>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</si>
  <si>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</si>
  <si>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</si>
  <si>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</si>
  <si>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</si>
  <si>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</si>
  <si>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</si>
  <si>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</si>
  <si>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</si>
  <si>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</si>
  <si>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</si>
  <si>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</si>
  <si>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</si>
  <si>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</si>
  <si>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</si>
  <si>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</si>
  <si>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</si>
  <si>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</si>
  <si>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</si>
  <si>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</si>
  <si>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</si>
  <si>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</si>
  <si>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</si>
  <si>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</si>
  <si>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</si>
  <si>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</si>
  <si>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</si>
  <si>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</si>
  <si>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</si>
  <si>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</si>
  <si>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</si>
  <si>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</si>
  <si>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</si>
  <si>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</si>
  <si>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</si>
  <si>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</si>
  <si>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</si>
  <si>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</si>
  <si>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</si>
  <si>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</si>
  <si>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</si>
  <si>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</si>
  <si>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</si>
  <si>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</si>
  <si>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</si>
  <si>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</si>
  <si>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</si>
  <si>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</si>
  <si>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</si>
  <si>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</si>
  <si>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</si>
  <si>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</si>
  <si>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</si>
  <si>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</si>
  <si>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</si>
  <si>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</si>
  <si>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</si>
  <si>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</si>
  <si>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</si>
  <si>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</si>
  <si>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</si>
  <si>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</si>
  <si>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</si>
  <si>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</si>
  <si>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</si>
  <si>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</si>
  <si>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</si>
  <si>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</si>
  <si>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</si>
  <si>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</si>
  <si>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</si>
  <si>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</si>
  <si>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</si>
  <si>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</si>
  <si>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</si>
  <si>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</si>
  <si>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</si>
  <si>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</si>
  <si>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</si>
  <si>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</si>
  <si>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</si>
  <si>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</si>
  <si>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</si>
  <si>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</si>
  <si>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</si>
  <si>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</si>
  <si>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</si>
  <si>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</si>
  <si>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</si>
  <si>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</si>
  <si>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</si>
  <si>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</si>
  <si>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</si>
  <si>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</si>
  <si>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</si>
  <si>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</si>
  <si>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</si>
  <si>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</si>
  <si>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</si>
  <si>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</si>
  <si>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</si>
  <si>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</si>
  <si>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</si>
  <si>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</si>
  <si>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</si>
  <si>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</si>
  <si>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</si>
  <si>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</si>
  <si>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</si>
  <si>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</si>
  <si>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</si>
  <si>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</si>
  <si>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</si>
  <si>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</si>
  <si>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</si>
  <si>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</si>
  <si>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</si>
  <si>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</si>
  <si>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</si>
  <si>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</si>
  <si>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</si>
  <si>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</si>
  <si>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</si>
  <si>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</si>
  <si>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</si>
  <si>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</si>
  <si>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</si>
  <si>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</si>
  <si>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</si>
  <si>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</si>
  <si>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</si>
  <si>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</si>
  <si>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</si>
  <si>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</si>
  <si>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</si>
  <si>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</si>
  <si>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</si>
  <si>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</si>
  <si>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</si>
  <si>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</si>
  <si>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</si>
  <si>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</si>
  <si>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</si>
  <si>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</si>
  <si>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</si>
  <si>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</si>
  <si>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</si>
  <si>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</si>
  <si>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</si>
  <si>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</si>
  <si>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</si>
  <si>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</si>
  <si>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</si>
  <si>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</si>
  <si>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</si>
  <si>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</si>
  <si>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</si>
  <si>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</si>
  <si>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</si>
  <si>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</si>
  <si>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</si>
  <si>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</si>
  <si>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</si>
  <si>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</si>
  <si>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</si>
  <si>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</si>
  <si>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</si>
  <si>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</si>
  <si>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</si>
  <si>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</si>
  <si>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</si>
  <si>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</si>
  <si>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</si>
  <si>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</si>
  <si>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</si>
  <si>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</si>
  <si>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</si>
  <si>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</si>
  <si>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</si>
  <si>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</si>
  <si>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</si>
  <si>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</si>
  <si>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</si>
  <si>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</si>
  <si>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</si>
  <si>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</si>
  <si>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</si>
  <si>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</si>
  <si>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</si>
  <si>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</si>
  <si>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</si>
  <si>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</si>
  <si>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</si>
  <si>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</si>
  <si>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</si>
  <si>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</si>
  <si>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</si>
  <si>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</si>
  <si>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</si>
  <si>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</si>
  <si>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</si>
  <si>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</si>
  <si>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</si>
  <si>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</si>
  <si>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</si>
  <si>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</si>
  <si>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</si>
  <si>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</si>
  <si>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</si>
  <si>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</si>
  <si>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</si>
  <si>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</si>
  <si>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</si>
  <si>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</si>
  <si>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</si>
  <si>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</si>
  <si>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</si>
  <si>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</si>
  <si>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</si>
  <si>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</si>
  <si>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</si>
  <si>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</si>
  <si>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</si>
  <si>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</si>
  <si>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</si>
  <si>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</si>
  <si>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</si>
  <si>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</si>
  <si>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</si>
  <si>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</si>
  <si>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</si>
  <si>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</si>
  <si>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</si>
  <si>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</si>
  <si>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</si>
  <si>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</si>
  <si>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</si>
  <si>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</si>
  <si>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</si>
  <si>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</si>
  <si>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</si>
  <si>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</si>
  <si>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</si>
  <si>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</si>
  <si>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</si>
  <si>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</si>
  <si>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</si>
  <si>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</si>
  <si>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</si>
  <si>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</si>
  <si>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</si>
  <si>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</si>
  <si>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</si>
  <si>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</si>
  <si>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</si>
  <si>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</si>
  <si>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</si>
  <si>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</si>
  <si>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</si>
  <si>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</si>
  <si>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</si>
  <si>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</si>
  <si>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</si>
  <si>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</si>
  <si>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</si>
  <si>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</si>
  <si>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</si>
  <si>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</si>
  <si>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</si>
  <si>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</si>
  <si>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</si>
  <si>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</si>
  <si>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</si>
  <si>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</si>
  <si>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</si>
  <si>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</si>
  <si>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</si>
  <si>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</si>
  <si>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</si>
  <si>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</si>
  <si>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</si>
  <si>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</si>
  <si>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</si>
  <si>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</si>
  <si>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</si>
  <si>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</si>
  <si>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</si>
  <si>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</si>
  <si>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</si>
  <si>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</si>
  <si>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</si>
  <si>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</si>
  <si>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</si>
  <si>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</si>
  <si>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</si>
  <si>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</si>
  <si>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</si>
  <si>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</si>
  <si>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</si>
  <si>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</si>
  <si>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</si>
  <si>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</si>
  <si>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</si>
  <si>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</si>
  <si>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</si>
  <si>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</si>
  <si>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</si>
  <si>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</si>
  <si>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</si>
  <si>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</si>
  <si>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</si>
  <si>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</si>
  <si>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</si>
  <si>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</si>
  <si>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</si>
  <si>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</si>
  <si>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</si>
  <si>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</si>
  <si>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</si>
  <si>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</si>
  <si>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</si>
  <si>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</si>
  <si>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</si>
  <si>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</si>
  <si>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</si>
  <si>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</si>
  <si>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</si>
  <si>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</si>
  <si>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</si>
  <si>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</si>
  <si>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</si>
  <si>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</si>
  <si>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</si>
  <si>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</si>
  <si>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</si>
  <si>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</si>
  <si>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</si>
  <si>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</si>
  <si>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</si>
  <si>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</si>
  <si>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</si>
  <si>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</si>
  <si>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</si>
  <si>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</si>
  <si>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</si>
  <si>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</si>
  <si>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</si>
  <si>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</si>
  <si>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</si>
  <si>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</si>
  <si>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</si>
  <si>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</si>
  <si>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</si>
  <si>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</si>
  <si>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</si>
  <si>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</si>
  <si>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</si>
  <si>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</si>
  <si>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</si>
  <si>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</si>
  <si>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</si>
  <si>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</si>
  <si>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</si>
  <si>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</si>
  <si>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</si>
  <si>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</si>
  <si>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</si>
  <si>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</si>
  <si>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</si>
  <si>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</si>
  <si>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</si>
  <si>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</si>
  <si>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</si>
  <si>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</si>
  <si>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</si>
  <si>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</si>
  <si>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</si>
  <si>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</si>
  <si>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</si>
  <si>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</si>
  <si>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</si>
  <si>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</si>
  <si>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</si>
  <si>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</si>
  <si>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</si>
  <si>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</si>
  <si>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</si>
  <si>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</si>
  <si>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</si>
  <si>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</si>
  <si>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</si>
  <si>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</si>
  <si>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</si>
  <si>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</si>
  <si>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</si>
  <si>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</si>
  <si>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</si>
  <si>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</si>
  <si>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</si>
  <si>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</si>
  <si>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</si>
  <si>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</si>
  <si>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</si>
  <si>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</si>
  <si>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</si>
  <si>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</si>
  <si>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</si>
  <si>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</si>
  <si>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</si>
  <si>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</si>
  <si>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</si>
  <si>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</si>
  <si>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</si>
  <si>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</si>
  <si>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</si>
  <si>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</si>
  <si>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</si>
  <si>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</si>
  <si>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</si>
  <si>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</si>
  <si>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</si>
  <si>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</si>
  <si>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</si>
  <si>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</si>
  <si>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</si>
  <si>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</si>
  <si>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</si>
  <si>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</si>
  <si>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</si>
  <si>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</si>
  <si>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</si>
  <si>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</si>
  <si>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</si>
  <si>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</si>
  <si>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</si>
  <si>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</si>
  <si>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</si>
  <si>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</si>
  <si>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</si>
  <si>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</si>
  <si>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</si>
  <si>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</si>
  <si>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</si>
  <si>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</si>
  <si>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</si>
  <si>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</si>
  <si>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</si>
  <si>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</si>
  <si>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</si>
  <si>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</si>
  <si>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</si>
  <si>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</si>
  <si>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</si>
  <si>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</si>
  <si>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</si>
  <si>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</si>
  <si>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</si>
  <si>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</si>
  <si>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</si>
  <si>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</si>
  <si>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</si>
  <si>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</si>
  <si>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</si>
  <si>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</si>
  <si>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</si>
  <si>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</si>
  <si>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</si>
  <si>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</si>
  <si>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</si>
  <si>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</si>
  <si>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</si>
  <si>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</si>
  <si>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</si>
  <si>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</si>
  <si>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</si>
  <si>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</si>
  <si>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</si>
  <si>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</si>
  <si>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</si>
  <si>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</si>
  <si>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</si>
  <si>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</si>
  <si>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</si>
  <si>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</si>
  <si>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</si>
  <si>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</si>
  <si>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</si>
  <si>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</si>
  <si>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</si>
  <si>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</si>
  <si>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</si>
  <si>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</si>
  <si>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</si>
  <si>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</si>
  <si>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</si>
  <si>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</si>
  <si>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</si>
  <si>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</si>
  <si>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</si>
  <si>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</si>
  <si>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</si>
  <si>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</si>
  <si>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</si>
  <si>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</si>
  <si>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</si>
  <si>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</si>
  <si>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</si>
  <si>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</si>
  <si>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</si>
  <si>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</si>
  <si>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</si>
  <si>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</si>
  <si>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</si>
  <si>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</si>
  <si>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</si>
  <si>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</si>
  <si>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</si>
  <si>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</si>
  <si>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</si>
  <si>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</si>
  <si>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</si>
  <si>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</si>
  <si>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</si>
  <si>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</si>
  <si>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</si>
  <si>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</si>
  <si>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</si>
  <si>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</si>
  <si>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</si>
  <si>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</si>
  <si>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</si>
  <si>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</si>
  <si>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</si>
  <si>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</si>
  <si>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</si>
  <si>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</si>
  <si>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</si>
  <si>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</si>
  <si>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</si>
  <si>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</si>
  <si>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</si>
  <si>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</si>
  <si>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</si>
  <si>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</si>
  <si>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</si>
  <si>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</si>
  <si>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</si>
  <si>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</si>
  <si>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</si>
  <si>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</si>
  <si>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</si>
  <si>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</si>
  <si>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</si>
  <si>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</si>
  <si>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</si>
  <si>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</si>
  <si>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</si>
  <si>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</si>
  <si>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</si>
  <si>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</si>
  <si>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</si>
  <si>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</si>
  <si>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</si>
  <si>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</si>
  <si>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</si>
  <si>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</si>
  <si>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</si>
  <si>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</si>
  <si>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</si>
  <si>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</si>
  <si>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</si>
  <si>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</si>
  <si>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</si>
  <si>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</si>
  <si>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</si>
  <si>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</si>
  <si>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</si>
  <si>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</si>
  <si>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</si>
  <si>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</si>
  <si>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</si>
  <si>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</si>
  <si>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</si>
  <si>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</si>
  <si>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</si>
  <si>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</si>
  <si>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</si>
  <si>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</si>
  <si>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</si>
  <si>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</si>
  <si>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</si>
  <si>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</si>
  <si>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</si>
  <si>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</si>
  <si>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</si>
  <si>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</si>
  <si>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</si>
  <si>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</si>
  <si>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</si>
  <si>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</si>
  <si>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</si>
  <si>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</si>
  <si>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</si>
  <si>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</si>
  <si>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</si>
  <si>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</si>
  <si>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</si>
  <si>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</si>
  <si>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</si>
  <si>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</si>
  <si>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</si>
  <si>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</si>
  <si>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</si>
  <si>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</si>
  <si>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11024</t>
  </si>
  <si>
    <t>KONTICH</t>
  </si>
  <si>
    <t>referentietaak LNE (2017); Jaarverslag De Lijn</t>
  </si>
  <si>
    <t>Eric Van Den Eynde</t>
  </si>
  <si>
    <t>Pierstraat 350, 2550 Kontich</t>
  </si>
  <si>
    <t>WKK-0096 Eric Van Den Eynde</t>
  </si>
  <si>
    <t>interne verbrandingsmotor</t>
  </si>
  <si>
    <t>WKK interne verbrandinsgmotor (gas)</t>
  </si>
  <si>
    <t>IVEKA</t>
  </si>
  <si>
    <t>Groeikracht De Boskapel NV</t>
  </si>
  <si>
    <t>Lerenveld 1C, 2550 Kontich</t>
  </si>
  <si>
    <t>WKK-0138 Groeikracht De Boskapel</t>
  </si>
  <si>
    <t>Boskapelweg 1, 2550 Kontich</t>
  </si>
  <si>
    <t>Bloemenkwekerij Scheers bvba</t>
  </si>
  <si>
    <t>Keizershoek 225, 2550 Kontich</t>
  </si>
  <si>
    <t>WKK-0130 Bloemen Scheers</t>
  </si>
  <si>
    <t>WKK-0660 Vercruysse - Feyt</t>
  </si>
  <si>
    <t>brandstofcel</t>
  </si>
  <si>
    <t>Keizerenberg 14 , 2550 Waarloos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</si>
</sst>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147722.98516745758</c:v>
                </c:pt>
                <c:pt idx="1">
                  <c:v>101725.05223899939</c:v>
                </c:pt>
                <c:pt idx="2">
                  <c:v>1381.424</c:v>
                </c:pt>
                <c:pt idx="3">
                  <c:v>54780.829041702324</c:v>
                </c:pt>
                <c:pt idx="4">
                  <c:v>29531.230994056685</c:v>
                </c:pt>
                <c:pt idx="5">
                  <c:v>419716.03017506871</c:v>
                </c:pt>
                <c:pt idx="6">
                  <c:v>1946.4058384417654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147722.98516745758</c:v>
                </c:pt>
                <c:pt idx="1">
                  <c:v>101725.05223899939</c:v>
                </c:pt>
                <c:pt idx="2">
                  <c:v>1381.424</c:v>
                </c:pt>
                <c:pt idx="3">
                  <c:v>54780.829041702324</c:v>
                </c:pt>
                <c:pt idx="4">
                  <c:v>29531.230994056685</c:v>
                </c:pt>
                <c:pt idx="5">
                  <c:v>419716.03017506871</c:v>
                </c:pt>
                <c:pt idx="6">
                  <c:v>1946.4058384417654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28225.490813955006</c:v>
                </c:pt>
                <c:pt idx="1">
                  <c:v>21621.871151905809</c:v>
                </c:pt>
                <c:pt idx="2">
                  <c:v>288.76230872211465</c:v>
                </c:pt>
                <c:pt idx="3">
                  <c:v>13271.460515785426</c:v>
                </c:pt>
                <c:pt idx="4">
                  <c:v>6253.019306219383</c:v>
                </c:pt>
                <c:pt idx="5">
                  <c:v>104657.18959503317</c:v>
                </c:pt>
                <c:pt idx="6">
                  <c:v>492.33086031168364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28225.490813955006</c:v>
                </c:pt>
                <c:pt idx="1">
                  <c:v>21621.871151905809</c:v>
                </c:pt>
                <c:pt idx="2">
                  <c:v>288.76230872211465</c:v>
                </c:pt>
                <c:pt idx="3">
                  <c:v>13271.460515785426</c:v>
                </c:pt>
                <c:pt idx="4">
                  <c:v>6253.019306219383</c:v>
                </c:pt>
                <c:pt idx="5">
                  <c:v>104657.18959503317</c:v>
                </c:pt>
                <c:pt idx="6">
                  <c:v>492.33086031168364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11024</v>
      </c>
      <c r="B6" s="390"/>
      <c r="C6" s="391"/>
    </row>
    <row r="7" spans="1:7" s="388" customFormat="1" ht="15.75" customHeight="1">
      <c r="A7" s="392" t="str">
        <f>txtMunicipality</f>
        <v>KONTICH</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0.20903235264633788</v>
      </c>
      <c r="C17" s="501">
        <f ca="1">'EF ele_warmte'!B22</f>
        <v>0.2376444566565942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0.20903235264633788</v>
      </c>
      <c r="C29" s="502">
        <f ca="1">'EF ele_warmte'!B22</f>
        <v>0.2376444566565942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8625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913.58</v>
      </c>
      <c r="C14" s="330"/>
      <c r="D14" s="330"/>
      <c r="E14" s="330"/>
      <c r="F14" s="330"/>
    </row>
    <row r="15" spans="1:6">
      <c r="A15" s="1298" t="s">
        <v>183</v>
      </c>
      <c r="B15" s="1299">
        <v>174</v>
      </c>
      <c r="C15" s="330"/>
      <c r="D15" s="330"/>
      <c r="E15" s="330"/>
      <c r="F15" s="330"/>
    </row>
    <row r="16" spans="1:6">
      <c r="A16" s="1298" t="s">
        <v>6</v>
      </c>
      <c r="B16" s="1299">
        <v>877</v>
      </c>
      <c r="C16" s="330"/>
      <c r="D16" s="330"/>
      <c r="E16" s="330"/>
      <c r="F16" s="330"/>
    </row>
    <row r="17" spans="1:6">
      <c r="A17" s="1298" t="s">
        <v>7</v>
      </c>
      <c r="B17" s="1299">
        <v>80</v>
      </c>
      <c r="C17" s="330"/>
      <c r="D17" s="330"/>
      <c r="E17" s="330"/>
      <c r="F17" s="330"/>
    </row>
    <row r="18" spans="1:6">
      <c r="A18" s="1298" t="s">
        <v>8</v>
      </c>
      <c r="B18" s="1299">
        <v>555</v>
      </c>
      <c r="C18" s="330"/>
      <c r="D18" s="330"/>
      <c r="E18" s="330"/>
      <c r="F18" s="330"/>
    </row>
    <row r="19" spans="1:6">
      <c r="A19" s="1298" t="s">
        <v>9</v>
      </c>
      <c r="B19" s="1299">
        <v>391</v>
      </c>
      <c r="C19" s="330"/>
      <c r="D19" s="330"/>
      <c r="E19" s="330"/>
      <c r="F19" s="330"/>
    </row>
    <row r="20" spans="1:6">
      <c r="A20" s="1298" t="s">
        <v>10</v>
      </c>
      <c r="B20" s="1299">
        <v>503</v>
      </c>
      <c r="C20" s="330"/>
      <c r="D20" s="330"/>
      <c r="E20" s="330"/>
      <c r="F20" s="330"/>
    </row>
    <row r="21" spans="1:6">
      <c r="A21" s="1298" t="s">
        <v>11</v>
      </c>
      <c r="B21" s="1299">
        <v>0</v>
      </c>
      <c r="C21" s="330"/>
      <c r="D21" s="330"/>
      <c r="E21" s="330"/>
      <c r="F21" s="330"/>
    </row>
    <row r="22" spans="1:6">
      <c r="A22" s="1298" t="s">
        <v>12</v>
      </c>
      <c r="B22" s="1299">
        <v>28</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4</v>
      </c>
      <c r="C27" s="330"/>
      <c r="D27" s="330"/>
      <c r="E27" s="330"/>
      <c r="F27" s="330"/>
    </row>
    <row r="28" spans="1:6" s="43" customFormat="1">
      <c r="A28" s="1300" t="s">
        <v>18</v>
      </c>
      <c r="B28" s="1301">
        <v>0</v>
      </c>
      <c r="C28" s="336"/>
      <c r="D28" s="336"/>
      <c r="E28" s="336"/>
      <c r="F28" s="336"/>
    </row>
    <row r="29" spans="1:6">
      <c r="A29" s="1300" t="s">
        <v>705</v>
      </c>
      <c r="B29" s="1301">
        <v>89</v>
      </c>
      <c r="C29" s="336"/>
      <c r="D29" s="336"/>
      <c r="E29" s="336"/>
      <c r="F29" s="336"/>
    </row>
    <row r="30" spans="1:6">
      <c r="A30" s="1293" t="s">
        <v>706</v>
      </c>
      <c r="B30" s="1302">
        <v>20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2</v>
      </c>
      <c r="D38" s="1299">
        <v>35647667.399999999</v>
      </c>
      <c r="E38" s="1299">
        <v>3</v>
      </c>
      <c r="F38" s="1299">
        <v>651443.23100000003</v>
      </c>
    </row>
    <row r="39" spans="1:6">
      <c r="A39" s="1298" t="s">
        <v>29</v>
      </c>
      <c r="B39" s="1298" t="s">
        <v>30</v>
      </c>
      <c r="C39" s="1299">
        <v>7053</v>
      </c>
      <c r="D39" s="1299">
        <v>111315704.3</v>
      </c>
      <c r="E39" s="1299">
        <v>8472</v>
      </c>
      <c r="F39" s="1299">
        <v>31227004</v>
      </c>
    </row>
    <row r="40" spans="1:6">
      <c r="A40" s="1298" t="s">
        <v>29</v>
      </c>
      <c r="B40" s="1298" t="s">
        <v>28</v>
      </c>
      <c r="C40" s="1299">
        <v>0</v>
      </c>
      <c r="D40" s="1299">
        <v>0</v>
      </c>
      <c r="E40" s="1299">
        <v>1</v>
      </c>
      <c r="F40" s="1299">
        <v>0</v>
      </c>
    </row>
    <row r="41" spans="1:6">
      <c r="A41" s="1298" t="s">
        <v>31</v>
      </c>
      <c r="B41" s="1298" t="s">
        <v>32</v>
      </c>
      <c r="C41" s="1299">
        <v>92</v>
      </c>
      <c r="D41" s="1299">
        <v>5406625.8789999997</v>
      </c>
      <c r="E41" s="1299">
        <v>172</v>
      </c>
      <c r="F41" s="1299">
        <v>3349629.0759999999</v>
      </c>
    </row>
    <row r="42" spans="1:6">
      <c r="A42" s="1298" t="s">
        <v>31</v>
      </c>
      <c r="B42" s="1298" t="s">
        <v>33</v>
      </c>
      <c r="C42" s="1299">
        <v>3</v>
      </c>
      <c r="D42" s="1299">
        <v>231369.76300000001</v>
      </c>
      <c r="E42" s="1299">
        <v>3</v>
      </c>
      <c r="F42" s="1299">
        <v>85430.914000000004</v>
      </c>
    </row>
    <row r="43" spans="1:6">
      <c r="A43" s="1298" t="s">
        <v>31</v>
      </c>
      <c r="B43" s="1298" t="s">
        <v>34</v>
      </c>
      <c r="C43" s="1299">
        <v>0</v>
      </c>
      <c r="D43" s="1299">
        <v>0</v>
      </c>
      <c r="E43" s="1299">
        <v>0</v>
      </c>
      <c r="F43" s="1299">
        <v>0</v>
      </c>
    </row>
    <row r="44" spans="1:6">
      <c r="A44" s="1298" t="s">
        <v>31</v>
      </c>
      <c r="B44" s="1298" t="s">
        <v>35</v>
      </c>
      <c r="C44" s="1299">
        <v>4</v>
      </c>
      <c r="D44" s="1299">
        <v>121281.156</v>
      </c>
      <c r="E44" s="1299">
        <v>21</v>
      </c>
      <c r="F44" s="1299">
        <v>832155.049</v>
      </c>
    </row>
    <row r="45" spans="1:6">
      <c r="A45" s="1298" t="s">
        <v>31</v>
      </c>
      <c r="B45" s="1298" t="s">
        <v>36</v>
      </c>
      <c r="C45" s="1299">
        <v>3</v>
      </c>
      <c r="D45" s="1299">
        <v>59022.915000000001</v>
      </c>
      <c r="E45" s="1299">
        <v>3</v>
      </c>
      <c r="F45" s="1299">
        <v>39555.773999999998</v>
      </c>
    </row>
    <row r="46" spans="1:6">
      <c r="A46" s="1298" t="s">
        <v>31</v>
      </c>
      <c r="B46" s="1298" t="s">
        <v>37</v>
      </c>
      <c r="C46" s="1299">
        <v>0</v>
      </c>
      <c r="D46" s="1299">
        <v>0</v>
      </c>
      <c r="E46" s="1299">
        <v>0</v>
      </c>
      <c r="F46" s="1299">
        <v>0</v>
      </c>
    </row>
    <row r="47" spans="1:6">
      <c r="A47" s="1298" t="s">
        <v>31</v>
      </c>
      <c r="B47" s="1298" t="s">
        <v>38</v>
      </c>
      <c r="C47" s="1299">
        <v>3</v>
      </c>
      <c r="D47" s="1299">
        <v>150252.087</v>
      </c>
      <c r="E47" s="1299">
        <v>6</v>
      </c>
      <c r="F47" s="1299">
        <v>1251623.841</v>
      </c>
    </row>
    <row r="48" spans="1:6">
      <c r="A48" s="1298" t="s">
        <v>31</v>
      </c>
      <c r="B48" s="1298" t="s">
        <v>28</v>
      </c>
      <c r="C48" s="1299">
        <v>36</v>
      </c>
      <c r="D48" s="1299">
        <v>5844704.0580000002</v>
      </c>
      <c r="E48" s="1299">
        <v>40</v>
      </c>
      <c r="F48" s="1299">
        <v>5440808.9199999999</v>
      </c>
    </row>
    <row r="49" spans="1:6">
      <c r="A49" s="1298" t="s">
        <v>31</v>
      </c>
      <c r="B49" s="1298" t="s">
        <v>39</v>
      </c>
      <c r="C49" s="1299">
        <v>0</v>
      </c>
      <c r="D49" s="1299">
        <v>0</v>
      </c>
      <c r="E49" s="1299">
        <v>0</v>
      </c>
      <c r="F49" s="1299">
        <v>0</v>
      </c>
    </row>
    <row r="50" spans="1:6">
      <c r="A50" s="1298" t="s">
        <v>31</v>
      </c>
      <c r="B50" s="1298" t="s">
        <v>40</v>
      </c>
      <c r="C50" s="1299">
        <v>10</v>
      </c>
      <c r="D50" s="1299">
        <v>1049392.8589999999</v>
      </c>
      <c r="E50" s="1299">
        <v>11</v>
      </c>
      <c r="F50" s="1299">
        <v>1097646.997</v>
      </c>
    </row>
    <row r="51" spans="1:6">
      <c r="A51" s="1298" t="s">
        <v>41</v>
      </c>
      <c r="B51" s="1298" t="s">
        <v>42</v>
      </c>
      <c r="C51" s="1299">
        <v>3</v>
      </c>
      <c r="D51" s="1299">
        <v>36840652.659999996</v>
      </c>
      <c r="E51" s="1299">
        <v>46</v>
      </c>
      <c r="F51" s="1299">
        <v>2244744.3139999998</v>
      </c>
    </row>
    <row r="52" spans="1:6">
      <c r="A52" s="1298" t="s">
        <v>41</v>
      </c>
      <c r="B52" s="1298" t="s">
        <v>28</v>
      </c>
      <c r="C52" s="1299">
        <v>5</v>
      </c>
      <c r="D52" s="1299">
        <v>41247993.270000003</v>
      </c>
      <c r="E52" s="1299">
        <v>5</v>
      </c>
      <c r="F52" s="1299">
        <v>123816.95</v>
      </c>
    </row>
    <row r="53" spans="1:6">
      <c r="A53" s="1298" t="s">
        <v>43</v>
      </c>
      <c r="B53" s="1298" t="s">
        <v>44</v>
      </c>
      <c r="C53" s="1299">
        <v>158</v>
      </c>
      <c r="D53" s="1299">
        <v>3112236.088</v>
      </c>
      <c r="E53" s="1299">
        <v>360</v>
      </c>
      <c r="F53" s="1299">
        <v>1471821.622</v>
      </c>
    </row>
    <row r="54" spans="1:6">
      <c r="A54" s="1298" t="s">
        <v>45</v>
      </c>
      <c r="B54" s="1298" t="s">
        <v>46</v>
      </c>
      <c r="C54" s="1299">
        <v>0</v>
      </c>
      <c r="D54" s="1299">
        <v>0</v>
      </c>
      <c r="E54" s="1299">
        <v>1</v>
      </c>
      <c r="F54" s="1299">
        <v>1381424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50</v>
      </c>
      <c r="D57" s="1299">
        <v>1586015.84</v>
      </c>
      <c r="E57" s="1299">
        <v>91</v>
      </c>
      <c r="F57" s="1299">
        <v>1282894.841</v>
      </c>
    </row>
    <row r="58" spans="1:6">
      <c r="A58" s="1298" t="s">
        <v>48</v>
      </c>
      <c r="B58" s="1298" t="s">
        <v>50</v>
      </c>
      <c r="C58" s="1299">
        <v>59</v>
      </c>
      <c r="D58" s="1299">
        <v>3557703.3390000002</v>
      </c>
      <c r="E58" s="1299">
        <v>65</v>
      </c>
      <c r="F58" s="1299">
        <v>1184322.345</v>
      </c>
    </row>
    <row r="59" spans="1:6">
      <c r="A59" s="1298" t="s">
        <v>48</v>
      </c>
      <c r="B59" s="1298" t="s">
        <v>51</v>
      </c>
      <c r="C59" s="1299">
        <v>187</v>
      </c>
      <c r="D59" s="1299">
        <v>19386196.789999999</v>
      </c>
      <c r="E59" s="1299">
        <v>335</v>
      </c>
      <c r="F59" s="1299">
        <v>18382230.510000002</v>
      </c>
    </row>
    <row r="60" spans="1:6">
      <c r="A60" s="1298" t="s">
        <v>48</v>
      </c>
      <c r="B60" s="1298" t="s">
        <v>52</v>
      </c>
      <c r="C60" s="1299">
        <v>63</v>
      </c>
      <c r="D60" s="1299">
        <v>2910671.1340000001</v>
      </c>
      <c r="E60" s="1299">
        <v>83</v>
      </c>
      <c r="F60" s="1299">
        <v>2841893.9890000001</v>
      </c>
    </row>
    <row r="61" spans="1:6">
      <c r="A61" s="1298" t="s">
        <v>48</v>
      </c>
      <c r="B61" s="1298" t="s">
        <v>53</v>
      </c>
      <c r="C61" s="1299">
        <v>300</v>
      </c>
      <c r="D61" s="1299">
        <v>25511277.510000002</v>
      </c>
      <c r="E61" s="1299">
        <v>585</v>
      </c>
      <c r="F61" s="1299">
        <v>14713857.93</v>
      </c>
    </row>
    <row r="62" spans="1:6">
      <c r="A62" s="1298" t="s">
        <v>48</v>
      </c>
      <c r="B62" s="1298" t="s">
        <v>54</v>
      </c>
      <c r="C62" s="1299">
        <v>14</v>
      </c>
      <c r="D62" s="1299">
        <v>1998182.2919999999</v>
      </c>
      <c r="E62" s="1299">
        <v>11</v>
      </c>
      <c r="F62" s="1299">
        <v>660698.38100000005</v>
      </c>
    </row>
    <row r="63" spans="1:6">
      <c r="A63" s="1298" t="s">
        <v>48</v>
      </c>
      <c r="B63" s="1298" t="s">
        <v>28</v>
      </c>
      <c r="C63" s="1299">
        <v>110</v>
      </c>
      <c r="D63" s="1299">
        <v>10464869.01</v>
      </c>
      <c r="E63" s="1299">
        <v>108</v>
      </c>
      <c r="F63" s="1299">
        <v>2532601.9959999998</v>
      </c>
    </row>
    <row r="64" spans="1:6">
      <c r="A64" s="1298" t="s">
        <v>55</v>
      </c>
      <c r="B64" s="1298" t="s">
        <v>56</v>
      </c>
      <c r="C64" s="1299">
        <v>0</v>
      </c>
      <c r="D64" s="1299">
        <v>0</v>
      </c>
      <c r="E64" s="1299">
        <v>0</v>
      </c>
      <c r="F64" s="1299">
        <v>0</v>
      </c>
    </row>
    <row r="65" spans="1:6">
      <c r="A65" s="1298" t="s">
        <v>55</v>
      </c>
      <c r="B65" s="1298" t="s">
        <v>28</v>
      </c>
      <c r="C65" s="1299">
        <v>2</v>
      </c>
      <c r="D65" s="1299">
        <v>16630.868999999999</v>
      </c>
      <c r="E65" s="1299">
        <v>1</v>
      </c>
      <c r="F65" s="1299">
        <v>8388</v>
      </c>
    </row>
    <row r="66" spans="1:6">
      <c r="A66" s="1298" t="s">
        <v>55</v>
      </c>
      <c r="B66" s="1298" t="s">
        <v>57</v>
      </c>
      <c r="C66" s="1299">
        <v>0</v>
      </c>
      <c r="D66" s="1299">
        <v>0</v>
      </c>
      <c r="E66" s="1299">
        <v>16</v>
      </c>
      <c r="F66" s="1299">
        <v>629270.07900000003</v>
      </c>
    </row>
    <row r="67" spans="1:6">
      <c r="A67" s="1300" t="s">
        <v>55</v>
      </c>
      <c r="B67" s="1300" t="s">
        <v>58</v>
      </c>
      <c r="C67" s="1299">
        <v>0</v>
      </c>
      <c r="D67" s="1299">
        <v>0</v>
      </c>
      <c r="E67" s="1299">
        <v>0</v>
      </c>
      <c r="F67" s="1299">
        <v>0</v>
      </c>
    </row>
    <row r="68" spans="1:6">
      <c r="A68" s="1293" t="s">
        <v>55</v>
      </c>
      <c r="B68" s="1293" t="s">
        <v>59</v>
      </c>
      <c r="C68" s="1302">
        <v>3</v>
      </c>
      <c r="D68" s="1302">
        <v>71305.180999999997</v>
      </c>
      <c r="E68" s="1302">
        <v>10</v>
      </c>
      <c r="F68" s="1302">
        <v>177357.99799999999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144745311</v>
      </c>
      <c r="E73" s="450"/>
      <c r="F73" s="330"/>
    </row>
    <row r="74" spans="1:6">
      <c r="A74" s="1298" t="s">
        <v>63</v>
      </c>
      <c r="B74" s="1298" t="s">
        <v>647</v>
      </c>
      <c r="C74" s="1312" t="s">
        <v>649</v>
      </c>
      <c r="D74" s="1313">
        <v>27345061</v>
      </c>
      <c r="E74" s="450"/>
      <c r="F74" s="330"/>
    </row>
    <row r="75" spans="1:6">
      <c r="A75" s="1298" t="s">
        <v>64</v>
      </c>
      <c r="B75" s="1298" t="s">
        <v>646</v>
      </c>
      <c r="C75" s="1312" t="s">
        <v>650</v>
      </c>
      <c r="D75" s="1313">
        <v>34139018</v>
      </c>
      <c r="E75" s="450"/>
      <c r="F75" s="330"/>
    </row>
    <row r="76" spans="1:6">
      <c r="A76" s="1298" t="s">
        <v>64</v>
      </c>
      <c r="B76" s="1298" t="s">
        <v>647</v>
      </c>
      <c r="C76" s="1312" t="s">
        <v>651</v>
      </c>
      <c r="D76" s="1313">
        <v>4363653</v>
      </c>
      <c r="E76" s="450"/>
      <c r="F76" s="330"/>
    </row>
    <row r="77" spans="1:6">
      <c r="A77" s="1298" t="s">
        <v>65</v>
      </c>
      <c r="B77" s="1298" t="s">
        <v>646</v>
      </c>
      <c r="C77" s="1312" t="s">
        <v>652</v>
      </c>
      <c r="D77" s="1313">
        <v>215603248</v>
      </c>
      <c r="E77" s="450"/>
      <c r="F77" s="330"/>
    </row>
    <row r="78" spans="1:6">
      <c r="A78" s="1293" t="s">
        <v>65</v>
      </c>
      <c r="B78" s="1293" t="s">
        <v>647</v>
      </c>
      <c r="C78" s="1293" t="s">
        <v>653</v>
      </c>
      <c r="D78" s="1314">
        <v>24319081</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534304</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3807.5218906300806</v>
      </c>
      <c r="C91" s="330"/>
      <c r="D91" s="330"/>
      <c r="E91" s="330"/>
      <c r="F91" s="330"/>
    </row>
    <row r="92" spans="1:6">
      <c r="A92" s="1293" t="s">
        <v>68</v>
      </c>
      <c r="B92" s="1294">
        <v>5240.7736257028428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5036</v>
      </c>
      <c r="C97" s="330"/>
      <c r="D97" s="330"/>
      <c r="E97" s="330"/>
      <c r="F97" s="330"/>
    </row>
    <row r="98" spans="1:6">
      <c r="A98" s="1298" t="s">
        <v>71</v>
      </c>
      <c r="B98" s="1299">
        <v>8</v>
      </c>
      <c r="C98" s="330"/>
      <c r="D98" s="330"/>
      <c r="E98" s="330"/>
      <c r="F98" s="330"/>
    </row>
    <row r="99" spans="1:6">
      <c r="A99" s="1298" t="s">
        <v>72</v>
      </c>
      <c r="B99" s="1299">
        <v>24</v>
      </c>
      <c r="C99" s="330"/>
      <c r="D99" s="330"/>
      <c r="E99" s="330"/>
      <c r="F99" s="330"/>
    </row>
    <row r="100" spans="1:6">
      <c r="A100" s="1298" t="s">
        <v>73</v>
      </c>
      <c r="B100" s="1299">
        <v>636</v>
      </c>
      <c r="C100" s="330"/>
      <c r="D100" s="330"/>
      <c r="E100" s="330"/>
      <c r="F100" s="330"/>
    </row>
    <row r="101" spans="1:6">
      <c r="A101" s="1298" t="s">
        <v>74</v>
      </c>
      <c r="B101" s="1299">
        <v>60</v>
      </c>
      <c r="C101" s="330"/>
      <c r="D101" s="330"/>
      <c r="E101" s="330"/>
      <c r="F101" s="330"/>
    </row>
    <row r="102" spans="1:6">
      <c r="A102" s="1298" t="s">
        <v>75</v>
      </c>
      <c r="B102" s="1299">
        <v>89</v>
      </c>
      <c r="C102" s="330"/>
      <c r="D102" s="330"/>
      <c r="E102" s="330"/>
      <c r="F102" s="330"/>
    </row>
    <row r="103" spans="1:6">
      <c r="A103" s="1298" t="s">
        <v>76</v>
      </c>
      <c r="B103" s="1299">
        <v>100</v>
      </c>
      <c r="C103" s="330"/>
      <c r="D103" s="330"/>
      <c r="E103" s="330"/>
      <c r="F103" s="330"/>
    </row>
    <row r="104" spans="1:6">
      <c r="A104" s="1298" t="s">
        <v>77</v>
      </c>
      <c r="B104" s="1299">
        <v>1453</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43</v>
      </c>
      <c r="C123" s="1299">
        <v>24</v>
      </c>
      <c r="D123" s="330"/>
      <c r="E123" s="330"/>
      <c r="F123" s="330"/>
    </row>
    <row r="124" spans="1:6" s="43" customFormat="1">
      <c r="A124" s="1300" t="s">
        <v>88</v>
      </c>
      <c r="B124" s="1321">
        <v>1</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154</v>
      </c>
      <c r="C129" s="330"/>
      <c r="D129" s="330"/>
      <c r="E129" s="330"/>
      <c r="F129" s="330"/>
    </row>
    <row r="130" spans="1:6">
      <c r="A130" s="1298" t="s">
        <v>294</v>
      </c>
      <c r="B130" s="1299">
        <v>0</v>
      </c>
      <c r="C130" s="330"/>
      <c r="D130" s="330"/>
      <c r="E130" s="330"/>
      <c r="F130" s="330"/>
    </row>
    <row r="131" spans="1:6">
      <c r="A131" s="1298" t="s">
        <v>295</v>
      </c>
      <c r="B131" s="1299">
        <v>5</v>
      </c>
      <c r="C131" s="330"/>
      <c r="D131" s="330"/>
      <c r="E131" s="330"/>
      <c r="F131" s="330"/>
    </row>
    <row r="132" spans="1:6">
      <c r="A132" s="1293" t="s">
        <v>296</v>
      </c>
      <c r="B132" s="1294">
        <v>20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107014.85145583659</v>
      </c>
      <c r="C3" s="43" t="s">
        <v>169</v>
      </c>
      <c r="D3" s="43"/>
      <c r="E3" s="154"/>
      <c r="F3" s="43"/>
      <c r="G3" s="43"/>
      <c r="H3" s="43"/>
      <c r="I3" s="43"/>
      <c r="J3" s="43"/>
      <c r="K3" s="96"/>
    </row>
    <row r="4" spans="1:11">
      <c r="A4" s="358" t="s">
        <v>170</v>
      </c>
      <c r="B4" s="49">
        <f>IF(ISERROR('SEAP template'!B78+'SEAP template'!C78),0,'SEAP template'!B78+'SEAP template'!C78)</f>
        <v>52243.295516332924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10265.052305281588</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0.20903235264633788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14664.368235258953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61707.17567567568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0.2376444566565942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1381.424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1381.424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0.20903235264633788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288.76230872211465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31227.004000000001</v>
      </c>
      <c r="C5" s="17">
        <f>IF(ISERROR('Eigen informatie GS &amp; warmtenet'!B59),0,'Eigen informatie GS &amp; warmtenet'!B59)</f>
        <v>0</v>
      </c>
      <c r="D5" s="30">
        <f>(SUM(HH_hh_gas_kWh,HH_rest_gas_kWh)/1000)*0.902</f>
        <v>100406.7652786</v>
      </c>
      <c r="E5" s="17">
        <f>B46*B57</f>
        <v>2731.1667705302416</v>
      </c>
      <c r="F5" s="17">
        <f>B51*B62</f>
        <v>0</v>
      </c>
      <c r="G5" s="18"/>
      <c r="H5" s="17"/>
      <c r="I5" s="17"/>
      <c r="J5" s="17">
        <f>B50*B61+C50*C61</f>
        <v>0</v>
      </c>
      <c r="K5" s="17"/>
      <c r="L5" s="17"/>
      <c r="M5" s="17"/>
      <c r="N5" s="17">
        <f>B48*B59+C48*C59</f>
        <v>8519.2413525157244</v>
      </c>
      <c r="O5" s="17">
        <f>B69*B70*B71</f>
        <v>357.1124794896657</v>
      </c>
      <c r="P5" s="17">
        <f>B77*B78*B79/1000-B77*B78*B79/1000/B80</f>
        <v>674.17339569184151</v>
      </c>
    </row>
    <row r="6" spans="1:16">
      <c r="A6" s="16" t="s">
        <v>611</v>
      </c>
      <c r="B6" s="783">
        <f>kWh_PV_kleiner_dan_10kW</f>
        <v>3807.5218906300806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35034.525890630081</v>
      </c>
      <c r="C8" s="21">
        <f>C5</f>
        <v>0</v>
      </c>
      <c r="D8" s="21">
        <f>D5</f>
        <v>100406.7652786</v>
      </c>
      <c r="E8" s="21">
        <f>E5</f>
        <v>2731.1667705302416</v>
      </c>
      <c r="F8" s="21">
        <f>F5</f>
        <v>0</v>
      </c>
      <c r="G8" s="21"/>
      <c r="H8" s="21"/>
      <c r="I8" s="21"/>
      <c r="J8" s="21">
        <f>J5</f>
        <v>0</v>
      </c>
      <c r="K8" s="21"/>
      <c r="L8" s="21">
        <f>L5</f>
        <v>0</v>
      </c>
      <c r="M8" s="21">
        <f>M5</f>
        <v>0</v>
      </c>
      <c r="N8" s="21">
        <f>N5</f>
        <v>8519.2413525157244</v>
      </c>
      <c r="O8" s="21">
        <f>O5</f>
        <v>357.1124794896657</v>
      </c>
      <c r="P8" s="21">
        <f>P5</f>
        <v>674.17339569184151</v>
      </c>
    </row>
    <row r="9" spans="1:16">
      <c r="B9" s="19"/>
      <c r="C9" s="19"/>
      <c r="D9" s="258"/>
      <c r="E9" s="19"/>
      <c r="F9" s="19"/>
      <c r="G9" s="19"/>
      <c r="H9" s="19"/>
      <c r="I9" s="19"/>
      <c r="J9" s="19"/>
      <c r="K9" s="19"/>
      <c r="L9" s="19"/>
      <c r="M9" s="19"/>
      <c r="N9" s="19"/>
      <c r="O9" s="19"/>
      <c r="P9" s="19"/>
    </row>
    <row r="10" spans="1:16">
      <c r="A10" s="24" t="s">
        <v>213</v>
      </c>
      <c r="B10" s="25">
        <f ca="1">'EF ele_warmte'!B12</f>
        <v>0.20903235264633788</v>
      </c>
      <c r="C10" s="25">
        <f ca="1">'EF ele_warmte'!B22</f>
        <v>0.2376444566565942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7323.3493707674415</v>
      </c>
      <c r="C12" s="23">
        <f ca="1">C10*C8</f>
        <v>0</v>
      </c>
      <c r="D12" s="23">
        <f>D8*D10</f>
        <v>20282.166586277199</v>
      </c>
      <c r="E12" s="23">
        <f>E10*E8</f>
        <v>619.97485691036491</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5036</v>
      </c>
      <c r="C18" s="166" t="s">
        <v>110</v>
      </c>
      <c r="D18" s="228"/>
      <c r="E18" s="15"/>
    </row>
    <row r="19" spans="1:7">
      <c r="A19" s="171" t="s">
        <v>71</v>
      </c>
      <c r="B19" s="37">
        <f>aantalw2001_ander</f>
        <v>8</v>
      </c>
      <c r="C19" s="166" t="s">
        <v>110</v>
      </c>
      <c r="D19" s="229"/>
      <c r="E19" s="15"/>
    </row>
    <row r="20" spans="1:7">
      <c r="A20" s="171" t="s">
        <v>72</v>
      </c>
      <c r="B20" s="37">
        <f>aantalw2001_propaan</f>
        <v>24</v>
      </c>
      <c r="C20" s="167">
        <f>IF(ISERROR(B20/SUM($B$20,$B$21,$B$22)*100),0,B20/SUM($B$20,$B$21,$B$22)*100)</f>
        <v>3.3333333333333335</v>
      </c>
      <c r="D20" s="229"/>
      <c r="E20" s="15"/>
    </row>
    <row r="21" spans="1:7">
      <c r="A21" s="171" t="s">
        <v>73</v>
      </c>
      <c r="B21" s="37">
        <f>aantalw2001_elektriciteit</f>
        <v>636</v>
      </c>
      <c r="C21" s="167">
        <f>IF(ISERROR(B21/SUM($B$20,$B$21,$B$22)*100),0,B21/SUM($B$20,$B$21,$B$22)*100)</f>
        <v>88.333333333333329</v>
      </c>
      <c r="D21" s="229"/>
      <c r="E21" s="15"/>
    </row>
    <row r="22" spans="1:7">
      <c r="A22" s="171" t="s">
        <v>74</v>
      </c>
      <c r="B22" s="37">
        <f>aantalw2001_hout</f>
        <v>60</v>
      </c>
      <c r="C22" s="167">
        <f>IF(ISERROR(B22/SUM($B$20,$B$21,$B$22)*100),0,B22/SUM($B$20,$B$21,$B$22)*100)</f>
        <v>8.3333333333333321</v>
      </c>
      <c r="D22" s="229"/>
      <c r="E22" s="15"/>
    </row>
    <row r="23" spans="1:7">
      <c r="A23" s="171" t="s">
        <v>75</v>
      </c>
      <c r="B23" s="37">
        <f>aantalw2001_niet_gespec</f>
        <v>89</v>
      </c>
      <c r="C23" s="166" t="s">
        <v>110</v>
      </c>
      <c r="D23" s="228"/>
      <c r="E23" s="15"/>
    </row>
    <row r="24" spans="1:7">
      <c r="A24" s="171" t="s">
        <v>76</v>
      </c>
      <c r="B24" s="37">
        <f>aantalw2001_steenkool</f>
        <v>100</v>
      </c>
      <c r="C24" s="166" t="s">
        <v>110</v>
      </c>
      <c r="D24" s="229"/>
      <c r="E24" s="15"/>
    </row>
    <row r="25" spans="1:7">
      <c r="A25" s="171" t="s">
        <v>77</v>
      </c>
      <c r="B25" s="37">
        <f>aantalw2001_stookolie</f>
        <v>1453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8625</v>
      </c>
      <c r="C28" s="36"/>
      <c r="D28" s="228"/>
    </row>
    <row r="29" spans="1:7" s="15" customFormat="1">
      <c r="A29" s="230" t="s">
        <v>819</v>
      </c>
      <c r="B29" s="37">
        <f>SUM(HH_hh_gas_aantal,HH_rest_gas_aantal)</f>
        <v>7053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7053</v>
      </c>
      <c r="C32" s="167">
        <f>IF(ISERROR(B32/SUM($B$32,$B$34,$B$35,$B$36,$B$38,$B$39)*100),0,B32/SUM($B$32,$B$34,$B$35,$B$36,$B$38,$B$39)*100)</f>
        <v>82.385235369699814</v>
      </c>
      <c r="D32" s="233"/>
      <c r="G32" s="15"/>
    </row>
    <row r="33" spans="1:7">
      <c r="A33" s="171" t="s">
        <v>71</v>
      </c>
      <c r="B33" s="34" t="s">
        <v>110</v>
      </c>
      <c r="C33" s="167"/>
      <c r="D33" s="233"/>
      <c r="G33" s="15"/>
    </row>
    <row r="34" spans="1:7">
      <c r="A34" s="171" t="s">
        <v>72</v>
      </c>
      <c r="B34" s="33">
        <f>IF((($B$28-$B$32-$B$39-$B$77-$B$38)*C20/100)&lt;0,0,($B$28-$B$32-$B$39-$B$77-$B$38)*C20/100)</f>
        <v>50.266666666666673</v>
      </c>
      <c r="C34" s="167">
        <f>IF(ISERROR(B34/SUM($B$32,$B$34,$B$35,$B$36,$B$38,$B$39)*100),0,B34/SUM($B$32,$B$34,$B$35,$B$36,$B$38,$B$39)*100)</f>
        <v>0.58715882101000683</v>
      </c>
      <c r="D34" s="233"/>
      <c r="G34" s="15"/>
    </row>
    <row r="35" spans="1:7">
      <c r="A35" s="171" t="s">
        <v>73</v>
      </c>
      <c r="B35" s="33">
        <f>IF((($B$28-$B$32-$B$39-$B$77-$B$38)*C21/100)&lt;0,0,($B$28-$B$32-$B$39-$B$77-$B$38)*C21/100)</f>
        <v>1332.0666666666666</v>
      </c>
      <c r="C35" s="167">
        <f>IF(ISERROR(B35/SUM($B$32,$B$34,$B$35,$B$36,$B$38,$B$39)*100),0,B35/SUM($B$32,$B$34,$B$35,$B$36,$B$38,$B$39)*100)</f>
        <v>15.559708756765179</v>
      </c>
      <c r="D35" s="233"/>
      <c r="G35" s="15"/>
    </row>
    <row r="36" spans="1:7">
      <c r="A36" s="171" t="s">
        <v>74</v>
      </c>
      <c r="B36" s="33">
        <f>IF((($B$28-$B$32-$B$39-$B$77-$B$38)*C22/100)&lt;0,0,($B$28-$B$32-$B$39-$B$77-$B$38)*C22/100)</f>
        <v>125.66666666666664</v>
      </c>
      <c r="C36" s="167">
        <f>IF(ISERROR(B36/SUM($B$32,$B$34,$B$35,$B$36,$B$38,$B$39)*100),0,B36/SUM($B$32,$B$34,$B$35,$B$36,$B$38,$B$39)*100)</f>
        <v>1.4678970525250166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7053</v>
      </c>
      <c r="C44" s="34" t="s">
        <v>110</v>
      </c>
      <c r="D44" s="174"/>
    </row>
    <row r="45" spans="1:7">
      <c r="A45" s="171" t="s">
        <v>71</v>
      </c>
      <c r="B45" s="33" t="str">
        <f t="shared" si="0"/>
        <v>-</v>
      </c>
      <c r="C45" s="34" t="s">
        <v>110</v>
      </c>
      <c r="D45" s="174"/>
    </row>
    <row r="46" spans="1:7">
      <c r="A46" s="171" t="s">
        <v>72</v>
      </c>
      <c r="B46" s="33">
        <f t="shared" si="0"/>
        <v>50.266666666666673</v>
      </c>
      <c r="C46" s="34" t="s">
        <v>110</v>
      </c>
      <c r="D46" s="174"/>
    </row>
    <row r="47" spans="1:7">
      <c r="A47" s="171" t="s">
        <v>73</v>
      </c>
      <c r="B47" s="33">
        <f t="shared" si="0"/>
        <v>1332.0666666666666</v>
      </c>
      <c r="C47" s="34" t="s">
        <v>110</v>
      </c>
      <c r="D47" s="174"/>
    </row>
    <row r="48" spans="1:7">
      <c r="A48" s="171" t="s">
        <v>74</v>
      </c>
      <c r="B48" s="33">
        <f t="shared" si="0"/>
        <v>125.66666666666664</v>
      </c>
      <c r="C48" s="33">
        <f>B48*10</f>
        <v>1256.6666666666665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64</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41598.499992000005</v>
      </c>
      <c r="C5" s="17">
        <f>IF(ISERROR('Eigen informatie GS &amp; warmtenet'!B60),0,'Eigen informatie GS &amp; warmtenet'!B60)</f>
        <v>0</v>
      </c>
      <c r="D5" s="30">
        <f>SUM(D6:D12)</f>
        <v>59004.254155330003</v>
      </c>
      <c r="E5" s="17">
        <f>SUM(E6:E12)</f>
        <v>695.97698141922581</v>
      </c>
      <c r="F5" s="17">
        <f>SUM(F6:F12)</f>
        <v>4561.9145475832838</v>
      </c>
      <c r="G5" s="18"/>
      <c r="H5" s="17"/>
      <c r="I5" s="17"/>
      <c r="J5" s="17">
        <f>SUM(J6:J12)</f>
        <v>2.6632090628040599E-2</v>
      </c>
      <c r="K5" s="17"/>
      <c r="L5" s="17"/>
      <c r="M5" s="17"/>
      <c r="N5" s="17">
        <f>SUM(N6:N12)</f>
        <v>1066.7879578801442</v>
      </c>
      <c r="O5" s="17">
        <f>B38*B39*B40</f>
        <v>0</v>
      </c>
      <c r="P5" s="17">
        <f>B46*B47*B48/1000-B46*B47*B48/1000/B49</f>
        <v>315.23482983897009</v>
      </c>
      <c r="R5" s="32"/>
    </row>
    <row r="6" spans="1:18">
      <c r="A6" s="32" t="s">
        <v>53</v>
      </c>
      <c r="B6" s="37">
        <f>B26</f>
        <v>14713.85793</v>
      </c>
      <c r="C6" s="33"/>
      <c r="D6" s="37">
        <f>IF(ISERROR(TER_kantoor_gas_kWh/1000),0,TER_kantoor_gas_kWh/1000)*0.902</f>
        <v>23011.172314020001</v>
      </c>
      <c r="E6" s="33">
        <f>$C$26*'E Balans VL '!I12/100/3.6*1000000</f>
        <v>118.39769712819111</v>
      </c>
      <c r="F6" s="33">
        <f>$C$26*('E Balans VL '!L12+'E Balans VL '!N12)/100/3.6*1000000</f>
        <v>1798.9239167723854</v>
      </c>
      <c r="G6" s="34"/>
      <c r="H6" s="33"/>
      <c r="I6" s="33"/>
      <c r="J6" s="33">
        <f>$C$26*('E Balans VL '!D12+'E Balans VL '!E12)/100/3.6*1000000</f>
        <v>0</v>
      </c>
      <c r="K6" s="33"/>
      <c r="L6" s="33"/>
      <c r="M6" s="33"/>
      <c r="N6" s="33">
        <f>$C$26*'E Balans VL '!Y12/100/3.6*1000000</f>
        <v>7.9079740582964009</v>
      </c>
      <c r="O6" s="33"/>
      <c r="P6" s="33"/>
      <c r="R6" s="32"/>
    </row>
    <row r="7" spans="1:18">
      <c r="A7" s="32" t="s">
        <v>52</v>
      </c>
      <c r="B7" s="37">
        <f t="shared" ref="B7:B12" si="0">B27</f>
        <v>2841.8939890000001</v>
      </c>
      <c r="C7" s="33"/>
      <c r="D7" s="37">
        <f>IF(ISERROR(TER_horeca_gas_kWh/1000),0,TER_horeca_gas_kWh/1000)*0.902</f>
        <v>2625.4253628680003</v>
      </c>
      <c r="E7" s="33">
        <f>$C$27*'E Balans VL '!I9/100/3.6*1000000</f>
        <v>30.51496297025712</v>
      </c>
      <c r="F7" s="33">
        <f>$C$27*('E Balans VL '!L9+'E Balans VL '!N9)/100/3.6*1000000</f>
        <v>341.81093466265929</v>
      </c>
      <c r="G7" s="34"/>
      <c r="H7" s="33"/>
      <c r="I7" s="33"/>
      <c r="J7" s="33">
        <f>$C$27*('E Balans VL '!D9+'E Balans VL '!E9)/100/3.6*1000000</f>
        <v>0</v>
      </c>
      <c r="K7" s="33"/>
      <c r="L7" s="33"/>
      <c r="M7" s="33"/>
      <c r="N7" s="33">
        <f>$C$27*'E Balans VL '!Y9/100/3.6*1000000</f>
        <v>0.42605750745515519</v>
      </c>
      <c r="O7" s="33"/>
      <c r="P7" s="33"/>
      <c r="R7" s="32"/>
    </row>
    <row r="8" spans="1:18">
      <c r="A8" s="6" t="s">
        <v>51</v>
      </c>
      <c r="B8" s="37">
        <f t="shared" si="0"/>
        <v>18382.230510000001</v>
      </c>
      <c r="C8" s="33"/>
      <c r="D8" s="37">
        <f>IF(ISERROR(TER_handel_gas_kWh/1000),0,TER_handel_gas_kWh/1000)*0.902</f>
        <v>17486.349504579997</v>
      </c>
      <c r="E8" s="33">
        <f>$C$28*'E Balans VL '!I13/100/3.6*1000000</f>
        <v>493.32279023562188</v>
      </c>
      <c r="F8" s="33">
        <f>$C$28*('E Balans VL '!L13+'E Balans VL '!N13)/100/3.6*1000000</f>
        <v>1754.2313456067982</v>
      </c>
      <c r="G8" s="34"/>
      <c r="H8" s="33"/>
      <c r="I8" s="33"/>
      <c r="J8" s="33">
        <f>$C$28*('E Balans VL '!D13+'E Balans VL '!E13)/100/3.6*1000000</f>
        <v>0</v>
      </c>
      <c r="K8" s="33"/>
      <c r="L8" s="33"/>
      <c r="M8" s="33"/>
      <c r="N8" s="33">
        <f>$C$28*'E Balans VL '!Y13/100/3.6*1000000</f>
        <v>7.286925187210894</v>
      </c>
      <c r="O8" s="33"/>
      <c r="P8" s="33"/>
      <c r="R8" s="32"/>
    </row>
    <row r="9" spans="1:18">
      <c r="A9" s="32" t="s">
        <v>50</v>
      </c>
      <c r="B9" s="37">
        <f t="shared" si="0"/>
        <v>1184.322345</v>
      </c>
      <c r="C9" s="33"/>
      <c r="D9" s="37">
        <f>IF(ISERROR(TER_gezond_gas_kWh/1000),0,TER_gezond_gas_kWh/1000)*0.902</f>
        <v>3209.0484117780002</v>
      </c>
      <c r="E9" s="33">
        <f>$C$29*'E Balans VL '!I10/100/3.6*1000000</f>
        <v>2.2198057066311421</v>
      </c>
      <c r="F9" s="33">
        <f>$C$29*('E Balans VL '!L10+'E Balans VL '!N10)/100/3.6*1000000</f>
        <v>97.362102867751602</v>
      </c>
      <c r="G9" s="34"/>
      <c r="H9" s="33"/>
      <c r="I9" s="33"/>
      <c r="J9" s="33">
        <f>$C$29*('E Balans VL '!D10+'E Balans VL '!E10)/100/3.6*1000000</f>
        <v>0</v>
      </c>
      <c r="K9" s="33"/>
      <c r="L9" s="33"/>
      <c r="M9" s="33"/>
      <c r="N9" s="33">
        <f>$C$29*'E Balans VL '!Y10/100/3.6*1000000</f>
        <v>9.2149114755356774</v>
      </c>
      <c r="O9" s="33"/>
      <c r="P9" s="33"/>
      <c r="R9" s="32"/>
    </row>
    <row r="10" spans="1:18">
      <c r="A10" s="32" t="s">
        <v>49</v>
      </c>
      <c r="B10" s="37">
        <f t="shared" si="0"/>
        <v>1282.894841</v>
      </c>
      <c r="C10" s="33"/>
      <c r="D10" s="37">
        <f>IF(ISERROR(TER_ander_gas_kWh/1000),0,TER_ander_gas_kWh/1000)*0.902</f>
        <v>1430.5862876800002</v>
      </c>
      <c r="E10" s="33">
        <f>$C$30*'E Balans VL '!I14/100/3.6*1000000</f>
        <v>1.9775953967740667</v>
      </c>
      <c r="F10" s="33">
        <f>$C$30*('E Balans VL '!L14+'E Balans VL '!N14)/100/3.6*1000000</f>
        <v>199.16977822784233</v>
      </c>
      <c r="G10" s="34"/>
      <c r="H10" s="33"/>
      <c r="I10" s="33"/>
      <c r="J10" s="33">
        <f>$C$30*('E Balans VL '!D14+'E Balans VL '!E14)/100/3.6*1000000</f>
        <v>2.17784928986899E-2</v>
      </c>
      <c r="K10" s="33"/>
      <c r="L10" s="33"/>
      <c r="M10" s="33"/>
      <c r="N10" s="33">
        <f>$C$30*'E Balans VL '!Y14/100/3.6*1000000</f>
        <v>848.72211033458143</v>
      </c>
      <c r="O10" s="33"/>
      <c r="P10" s="33"/>
      <c r="R10" s="32"/>
    </row>
    <row r="11" spans="1:18">
      <c r="A11" s="32" t="s">
        <v>54</v>
      </c>
      <c r="B11" s="37">
        <f t="shared" si="0"/>
        <v>660.69838100000004</v>
      </c>
      <c r="C11" s="33"/>
      <c r="D11" s="37">
        <f>IF(ISERROR(TER_onderwijs_gas_kWh/1000),0,TER_onderwijs_gas_kWh/1000)*0.902</f>
        <v>1802.3604273840001</v>
      </c>
      <c r="E11" s="33">
        <f>$C$31*'E Balans VL '!I11/100/3.6*1000000</f>
        <v>16.852321322727654</v>
      </c>
      <c r="F11" s="33">
        <f>$C$31*('E Balans VL '!L11+'E Balans VL '!N11)/100/3.6*1000000</f>
        <v>79.455199045229506</v>
      </c>
      <c r="G11" s="34"/>
      <c r="H11" s="33"/>
      <c r="I11" s="33"/>
      <c r="J11" s="33">
        <f>$C$31*('E Balans VL '!D11+'E Balans VL '!E11)/100/3.6*1000000</f>
        <v>0</v>
      </c>
      <c r="K11" s="33"/>
      <c r="L11" s="33"/>
      <c r="M11" s="33"/>
      <c r="N11" s="33">
        <f>$C$31*'E Balans VL '!Y11/100/3.6*1000000</f>
        <v>1.4693770781645925</v>
      </c>
      <c r="O11" s="33"/>
      <c r="P11" s="33"/>
      <c r="R11" s="32"/>
    </row>
    <row r="12" spans="1:18">
      <c r="A12" s="32" t="s">
        <v>259</v>
      </c>
      <c r="B12" s="37">
        <f t="shared" si="0"/>
        <v>2532.6019959999999</v>
      </c>
      <c r="C12" s="33"/>
      <c r="D12" s="37">
        <f>IF(ISERROR(TER_rest_gas_kWh/1000),0,TER_rest_gas_kWh/1000)*0.902</f>
        <v>9439.3118470200006</v>
      </c>
      <c r="E12" s="33">
        <f>$C$32*'E Balans VL '!I8/100/3.6*1000000</f>
        <v>32.691808659022733</v>
      </c>
      <c r="F12" s="33">
        <f>$C$32*('E Balans VL '!L8+'E Balans VL '!N8)/100/3.6*1000000</f>
        <v>290.96127040061793</v>
      </c>
      <c r="G12" s="34"/>
      <c r="H12" s="33"/>
      <c r="I12" s="33"/>
      <c r="J12" s="33">
        <f>$C$32*('E Balans VL '!D8+'E Balans VL '!E8)/100/3.6*1000000</f>
        <v>4.8535977293506999E-3</v>
      </c>
      <c r="K12" s="33"/>
      <c r="L12" s="33"/>
      <c r="M12" s="33"/>
      <c r="N12" s="33">
        <f>$C$32*'E Balans VL '!Y8/100/3.6*1000000</f>
        <v>191.76060223890008</v>
      </c>
      <c r="O12" s="33"/>
      <c r="P12" s="33"/>
      <c r="R12" s="32"/>
    </row>
    <row r="13" spans="1:18">
      <c r="A13" s="16" t="s">
        <v>478</v>
      </c>
      <c r="B13" s="247">
        <f ca="1">'lokale energieproductie'!N41+'lokale energieproductie'!N34</f>
        <v>12874.500000000002</v>
      </c>
      <c r="C13" s="247">
        <f ca="1">'lokale energieproductie'!O41+'lokale energieproductie'!O34</f>
        <v>18392.142857142859</v>
      </c>
      <c r="D13" s="308">
        <f ca="1">('lokale energieproductie'!P34+'lokale energieproductie'!P41)*(-1)</f>
        <v>-36784.285714285725</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54472.999992000005</v>
      </c>
      <c r="C16" s="21">
        <f t="shared" ca="1" si="1"/>
        <v>18392.142857142859</v>
      </c>
      <c r="D16" s="21">
        <f t="shared" ca="1" si="1"/>
        <v>22219.968441044279</v>
      </c>
      <c r="E16" s="21">
        <f t="shared" si="1"/>
        <v>695.97698141922581</v>
      </c>
      <c r="F16" s="21">
        <f t="shared" ca="1" si="1"/>
        <v>4561.9145475832838</v>
      </c>
      <c r="G16" s="21">
        <f t="shared" si="1"/>
        <v>0</v>
      </c>
      <c r="H16" s="21">
        <f t="shared" si="1"/>
        <v>0</v>
      </c>
      <c r="I16" s="21">
        <f t="shared" si="1"/>
        <v>0</v>
      </c>
      <c r="J16" s="21">
        <f t="shared" si="1"/>
        <v>2.6632090628040599E-2</v>
      </c>
      <c r="K16" s="21">
        <f t="shared" si="1"/>
        <v>0</v>
      </c>
      <c r="L16" s="21">
        <f t="shared" ca="1" si="1"/>
        <v>0</v>
      </c>
      <c r="M16" s="21">
        <f t="shared" si="1"/>
        <v>0</v>
      </c>
      <c r="N16" s="21">
        <f t="shared" ca="1" si="1"/>
        <v>1066.7879578801442</v>
      </c>
      <c r="O16" s="21">
        <f>O5</f>
        <v>0</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0.20903235264633788</v>
      </c>
      <c r="C18" s="25">
        <f ca="1">'EF ele_warmte'!B22</f>
        <v>0.2376444566565942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11386.619344031706</v>
      </c>
      <c r="C20" s="23">
        <f t="shared" ref="C20:P20" ca="1" si="2">C16*C18</f>
        <v>4370.7907960361745</v>
      </c>
      <c r="D20" s="23">
        <f t="shared" ca="1" si="2"/>
        <v>4488.4336250909446</v>
      </c>
      <c r="E20" s="23">
        <f t="shared" si="2"/>
        <v>157.98677478216428</v>
      </c>
      <c r="F20" s="23">
        <f t="shared" ca="1" si="2"/>
        <v>1218.0311842047367</v>
      </c>
      <c r="G20" s="23">
        <f t="shared" si="2"/>
        <v>0</v>
      </c>
      <c r="H20" s="23">
        <f t="shared" si="2"/>
        <v>0</v>
      </c>
      <c r="I20" s="23">
        <f t="shared" si="2"/>
        <v>0</v>
      </c>
      <c r="J20" s="23">
        <f t="shared" si="2"/>
        <v>9.4277600823263717E-3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14713.85793</v>
      </c>
      <c r="C26" s="39">
        <f>IF(ISERROR(B26*3.6/1000000/'E Balans VL '!Z12*100),0,B26*3.6/1000000/'E Balans VL '!Z12*100)</f>
        <v>0.31214103435079288</v>
      </c>
      <c r="D26" s="237" t="s">
        <v>708</v>
      </c>
      <c r="F26" s="6"/>
    </row>
    <row r="27" spans="1:18">
      <c r="A27" s="231" t="s">
        <v>52</v>
      </c>
      <c r="B27" s="33">
        <f>IF(ISERROR(TER_horeca_ele_kWh/1000),0,TER_horeca_ele_kWh/1000)</f>
        <v>2841.8939890000001</v>
      </c>
      <c r="C27" s="39">
        <f>IF(ISERROR(B27*3.6/1000000/'E Balans VL '!Z9*100),0,B27*3.6/1000000/'E Balans VL '!Z9*100)</f>
        <v>0.21401979230823753</v>
      </c>
      <c r="D27" s="237" t="s">
        <v>708</v>
      </c>
      <c r="F27" s="6"/>
    </row>
    <row r="28" spans="1:18">
      <c r="A28" s="171" t="s">
        <v>51</v>
      </c>
      <c r="B28" s="33">
        <f>IF(ISERROR(TER_handel_ele_kWh/1000),0,TER_handel_ele_kWh/1000)</f>
        <v>18382.230510000001</v>
      </c>
      <c r="C28" s="39">
        <f>IF(ISERROR(B28*3.6/1000000/'E Balans VL '!Z13*100),0,B28*3.6/1000000/'E Balans VL '!Z13*100)</f>
        <v>0.53357101838078369</v>
      </c>
      <c r="D28" s="237" t="s">
        <v>708</v>
      </c>
      <c r="F28" s="6"/>
    </row>
    <row r="29" spans="1:18">
      <c r="A29" s="231" t="s">
        <v>50</v>
      </c>
      <c r="B29" s="33">
        <f>IF(ISERROR(TER_gezond_ele_kWh/1000),0,TER_gezond_ele_kWh/1000)</f>
        <v>1184.322345</v>
      </c>
      <c r="C29" s="39">
        <f>IF(ISERROR(B29*3.6/1000000/'E Balans VL '!Z10*100),0,B29*3.6/1000000/'E Balans VL '!Z10*100)</f>
        <v>0.11944032085517065</v>
      </c>
      <c r="D29" s="237" t="s">
        <v>708</v>
      </c>
      <c r="F29" s="6"/>
    </row>
    <row r="30" spans="1:18">
      <c r="A30" s="231" t="s">
        <v>49</v>
      </c>
      <c r="B30" s="33">
        <f>IF(ISERROR(TER_ander_ele_kWh/1000),0,TER_ander_ele_kWh/1000)</f>
        <v>1282.894841</v>
      </c>
      <c r="C30" s="39">
        <f>IF(ISERROR(B30*3.6/1000000/'E Balans VL '!Z14*100),0,B30*3.6/1000000/'E Balans VL '!Z14*100)</f>
        <v>9.3091522609242611E-2</v>
      </c>
      <c r="D30" s="237" t="s">
        <v>708</v>
      </c>
      <c r="F30" s="6"/>
    </row>
    <row r="31" spans="1:18">
      <c r="A31" s="231" t="s">
        <v>54</v>
      </c>
      <c r="B31" s="33">
        <f>IF(ISERROR(TER_onderwijs_ele_kWh/1000),0,TER_onderwijs_ele_kWh/1000)</f>
        <v>660.69838100000004</v>
      </c>
      <c r="C31" s="39">
        <f>IF(ISERROR(B31*3.6/1000000/'E Balans VL '!Z11*100),0,B31*3.6/1000000/'E Balans VL '!Z11*100)</f>
        <v>0.18832594347586362</v>
      </c>
      <c r="D31" s="237" t="s">
        <v>708</v>
      </c>
    </row>
    <row r="32" spans="1:18">
      <c r="A32" s="231" t="s">
        <v>259</v>
      </c>
      <c r="B32" s="33">
        <f>IF(ISERROR(TER_rest_ele_kWh/1000),0,TER_rest_ele_kWh/1000)</f>
        <v>2532.6019959999999</v>
      </c>
      <c r="C32" s="39">
        <f>IF(ISERROR(B32*3.6/1000000/'E Balans VL '!Z8*100),0,B32*3.6/1000000/'E Balans VL '!Z8*100)</f>
        <v>2.0746559684357194E-2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6</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12096.850570999999</v>
      </c>
      <c r="C5" s="17">
        <f>IF(ISERROR('Eigen informatie GS &amp; warmtenet'!B61),0,'Eigen informatie GS &amp; warmtenet'!B61)</f>
        <v>0</v>
      </c>
      <c r="D5" s="30">
        <f>SUM(D6:D15)</f>
        <v>11602.109142734002</v>
      </c>
      <c r="E5" s="17">
        <f>SUM(E6:E15)</f>
        <v>1197.0861073034594</v>
      </c>
      <c r="F5" s="17">
        <f>SUM(F6:F15)</f>
        <v>3911.365847840575</v>
      </c>
      <c r="G5" s="18"/>
      <c r="H5" s="17"/>
      <c r="I5" s="17"/>
      <c r="J5" s="17">
        <f>SUM(J6:J15)</f>
        <v>182.73134799003009</v>
      </c>
      <c r="K5" s="17"/>
      <c r="L5" s="17"/>
      <c r="M5" s="17"/>
      <c r="N5" s="17">
        <f>SUM(N6:N15)</f>
        <v>541.08797718861842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832.15504899999996</v>
      </c>
      <c r="C8" s="33"/>
      <c r="D8" s="37">
        <f>IF( ISERROR(IND_metaal_Gas_kWH/1000),0,IND_metaal_Gas_kWH/1000)*0.902</f>
        <v>109.395602712</v>
      </c>
      <c r="E8" s="33">
        <f>C30*'E Balans VL '!I18/100/3.6*1000000</f>
        <v>6.0034146175355261</v>
      </c>
      <c r="F8" s="33">
        <f>C30*'E Balans VL '!L18/100/3.6*1000000+C30*'E Balans VL '!N18/100/3.6*1000000</f>
        <v>78.706523771137384</v>
      </c>
      <c r="G8" s="34"/>
      <c r="H8" s="33"/>
      <c r="I8" s="33"/>
      <c r="J8" s="40">
        <f>C30*'E Balans VL '!D18/100/3.6*1000000+C30*'E Balans VL '!E18/100/3.6*1000000</f>
        <v>0.83698638410205384</v>
      </c>
      <c r="K8" s="33"/>
      <c r="L8" s="33"/>
      <c r="M8" s="33"/>
      <c r="N8" s="33">
        <f>C30*'E Balans VL '!Y18/100/3.6*1000000</f>
        <v>10.520641484257091</v>
      </c>
      <c r="O8" s="33"/>
      <c r="P8" s="33"/>
      <c r="R8" s="32"/>
    </row>
    <row r="9" spans="1:18">
      <c r="A9" s="6" t="s">
        <v>32</v>
      </c>
      <c r="B9" s="37">
        <f t="shared" si="0"/>
        <v>3349.6290759999997</v>
      </c>
      <c r="C9" s="33"/>
      <c r="D9" s="37">
        <f>IF( ISERROR(IND_andere_gas_kWh/1000),0,IND_andere_gas_kWh/1000)*0.902</f>
        <v>4876.7765428580005</v>
      </c>
      <c r="E9" s="33">
        <f>C31*'E Balans VL '!I19/100/3.6*1000000</f>
        <v>928.22700711175605</v>
      </c>
      <c r="F9" s="33">
        <f>C31*'E Balans VL '!L19/100/3.6*1000000+C31*'E Balans VL '!N19/100/3.6*1000000</f>
        <v>2776.1798167930201</v>
      </c>
      <c r="G9" s="34"/>
      <c r="H9" s="33"/>
      <c r="I9" s="33"/>
      <c r="J9" s="40">
        <f>C31*'E Balans VL '!D19/100/3.6*1000000+C31*'E Balans VL '!E19/100/3.6*1000000</f>
        <v>0</v>
      </c>
      <c r="K9" s="33"/>
      <c r="L9" s="33"/>
      <c r="M9" s="33"/>
      <c r="N9" s="33">
        <f>C31*'E Balans VL '!Y19/100/3.6*1000000</f>
        <v>243.14210051861622</v>
      </c>
      <c r="O9" s="33"/>
      <c r="P9" s="33"/>
      <c r="R9" s="32"/>
    </row>
    <row r="10" spans="1:18">
      <c r="A10" s="6" t="s">
        <v>40</v>
      </c>
      <c r="B10" s="37">
        <f t="shared" si="0"/>
        <v>1097.6469970000001</v>
      </c>
      <c r="C10" s="33"/>
      <c r="D10" s="37">
        <f>IF( ISERROR(IND_voed_gas_kWh/1000),0,IND_voed_gas_kWh/1000)*0.902</f>
        <v>946.55235881800002</v>
      </c>
      <c r="E10" s="33">
        <f>C32*'E Balans VL '!I20/100/3.6*1000000</f>
        <v>1.9432069815648465</v>
      </c>
      <c r="F10" s="33">
        <f>C32*'E Balans VL '!L20/100/3.6*1000000+C32*'E Balans VL '!N20/100/3.6*1000000</f>
        <v>59.28266619606962</v>
      </c>
      <c r="G10" s="34"/>
      <c r="H10" s="33"/>
      <c r="I10" s="33"/>
      <c r="J10" s="40">
        <f>C32*'E Balans VL '!D20/100/3.6*1000000+C32*'E Balans VL '!E20/100/3.6*1000000</f>
        <v>0</v>
      </c>
      <c r="K10" s="33"/>
      <c r="L10" s="33"/>
      <c r="M10" s="33"/>
      <c r="N10" s="33">
        <f>C32*'E Balans VL '!Y20/100/3.6*1000000</f>
        <v>63.781673360273672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39.555774</v>
      </c>
      <c r="C12" s="33"/>
      <c r="D12" s="37">
        <f>IF( ISERROR(IND_min_gas_kWh/1000),0,IND_min_gas_kWh/1000)*0.902</f>
        <v>53.23866933</v>
      </c>
      <c r="E12" s="33">
        <f>C34*'E Balans VL '!I22/100/3.6*1000000</f>
        <v>1.7418951901698219</v>
      </c>
      <c r="F12" s="33">
        <f>C34*'E Balans VL '!L22/100/3.6*1000000+C34*'E Balans VL '!N22/100/3.6*1000000</f>
        <v>15.467905116067667</v>
      </c>
      <c r="G12" s="34"/>
      <c r="H12" s="33"/>
      <c r="I12" s="33"/>
      <c r="J12" s="40">
        <f>C34*'E Balans VL '!D22/100/3.6*1000000+C34*'E Balans VL '!E22/100/3.6*1000000</f>
        <v>1.20105386388415E-2</v>
      </c>
      <c r="K12" s="33"/>
      <c r="L12" s="33"/>
      <c r="M12" s="33"/>
      <c r="N12" s="33">
        <f>C34*'E Balans VL '!Y22/100/3.6*1000000</f>
        <v>9.7848997467048093</v>
      </c>
      <c r="O12" s="33"/>
      <c r="P12" s="33"/>
      <c r="R12" s="32"/>
    </row>
    <row r="13" spans="1:18">
      <c r="A13" s="6" t="s">
        <v>38</v>
      </c>
      <c r="B13" s="37">
        <f t="shared" si="0"/>
        <v>1251.6238410000001</v>
      </c>
      <c r="C13" s="33"/>
      <c r="D13" s="37">
        <f>IF( ISERROR(IND_papier_gas_kWh/1000),0,IND_papier_gas_kWh/1000)*0.902</f>
        <v>135.52738247400001</v>
      </c>
      <c r="E13" s="33">
        <f>C35*'E Balans VL '!I23/100/3.6*1000000</f>
        <v>1.841568452925914</v>
      </c>
      <c r="F13" s="33">
        <f>C35*'E Balans VL '!L23/100/3.6*1000000+C35*'E Balans VL '!N23/100/3.6*1000000</f>
        <v>13.401520122779985</v>
      </c>
      <c r="G13" s="34"/>
      <c r="H13" s="33"/>
      <c r="I13" s="33"/>
      <c r="J13" s="40">
        <f>C35*'E Balans VL '!D23/100/3.6*1000000+C35*'E Balans VL '!E23/100/3.6*1000000</f>
        <v>136.93466694461563</v>
      </c>
      <c r="K13" s="33"/>
      <c r="L13" s="33"/>
      <c r="M13" s="33"/>
      <c r="N13" s="33">
        <f>C35*'E Balans VL '!Y23/100/3.6*1000000</f>
        <v>0</v>
      </c>
      <c r="O13" s="33"/>
      <c r="P13" s="33"/>
      <c r="R13" s="32"/>
    </row>
    <row r="14" spans="1:18">
      <c r="A14" s="6" t="s">
        <v>33</v>
      </c>
      <c r="B14" s="37">
        <f t="shared" si="0"/>
        <v>85.430914000000001</v>
      </c>
      <c r="C14" s="33"/>
      <c r="D14" s="37">
        <f>IF( ISERROR(IND_chemie_gas_kWh/1000),0,IND_chemie_gas_kWh/1000)*0.902</f>
        <v>208.695526226</v>
      </c>
      <c r="E14" s="33">
        <f>C36*'E Balans VL '!I24/100/3.6*1000000</f>
        <v>0.19322752005439192</v>
      </c>
      <c r="F14" s="33">
        <f>C36*'E Balans VL '!L24/100/3.6*1000000+C36*'E Balans VL '!N24/100/3.6*1000000</f>
        <v>1.0086803417658909</v>
      </c>
      <c r="G14" s="34"/>
      <c r="H14" s="33"/>
      <c r="I14" s="33"/>
      <c r="J14" s="40">
        <f>C36*'E Balans VL '!D24/100/3.6*1000000+C36*'E Balans VL '!E24/100/3.6*1000000</f>
        <v>0</v>
      </c>
      <c r="K14" s="33"/>
      <c r="L14" s="33"/>
      <c r="M14" s="33"/>
      <c r="N14" s="33">
        <f>C36*'E Balans VL '!Y24/100/3.6*1000000</f>
        <v>4.6925922358804419E-2</v>
      </c>
      <c r="O14" s="33"/>
      <c r="P14" s="33"/>
      <c r="R14" s="32"/>
    </row>
    <row r="15" spans="1:18">
      <c r="A15" s="6" t="s">
        <v>269</v>
      </c>
      <c r="B15" s="37">
        <f t="shared" si="0"/>
        <v>5440.8089199999995</v>
      </c>
      <c r="C15" s="33"/>
      <c r="D15" s="37">
        <f>IF( ISERROR(IND_rest_gas_kWh/1000),0,IND_rest_gas_kWh/1000)*0.902</f>
        <v>5271.9230603160004</v>
      </c>
      <c r="E15" s="33">
        <f>C37*'E Balans VL '!I15/100/3.6*1000000</f>
        <v>257.13578742945299</v>
      </c>
      <c r="F15" s="33">
        <f>C37*'E Balans VL '!L15/100/3.6*1000000+C37*'E Balans VL '!N15/100/3.6*1000000</f>
        <v>967.31873549973454</v>
      </c>
      <c r="G15" s="34"/>
      <c r="H15" s="33"/>
      <c r="I15" s="33"/>
      <c r="J15" s="40">
        <f>C37*'E Balans VL '!D15/100/3.6*1000000+C37*'E Balans VL '!E15/100/3.6*1000000</f>
        <v>44.947684122673579</v>
      </c>
      <c r="K15" s="33"/>
      <c r="L15" s="33"/>
      <c r="M15" s="33"/>
      <c r="N15" s="33">
        <f>C37*'E Balans VL '!Y15/100/3.6*1000000</f>
        <v>213.81173615640782</v>
      </c>
      <c r="O15" s="33"/>
      <c r="P15" s="33"/>
      <c r="R15" s="32"/>
    </row>
    <row r="16" spans="1:18">
      <c r="A16" s="16" t="s">
        <v>478</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12096.850570999999</v>
      </c>
      <c r="C18" s="21">
        <f>C5+C16</f>
        <v>0</v>
      </c>
      <c r="D18" s="21">
        <f>MAX((D5+D16),0)</f>
        <v>11602.109142734002</v>
      </c>
      <c r="E18" s="21">
        <f>MAX((E5+E16),0)</f>
        <v>1197.0861073034594</v>
      </c>
      <c r="F18" s="21">
        <f>MAX((F5+F16),0)</f>
        <v>3911.365847840575</v>
      </c>
      <c r="G18" s="21"/>
      <c r="H18" s="21"/>
      <c r="I18" s="21"/>
      <c r="J18" s="21">
        <f>MAX((J5+J16),0)</f>
        <v>182.73134799003009</v>
      </c>
      <c r="K18" s="21"/>
      <c r="L18" s="21">
        <f>MAX((L5+L16),0)</f>
        <v>0</v>
      </c>
      <c r="M18" s="21"/>
      <c r="N18" s="21">
        <f>MAX((N5+N16),0)</f>
        <v>541.08797718861842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0.20903235264633788</v>
      </c>
      <c r="C20" s="25">
        <f ca="1">'EF ele_warmte'!B22</f>
        <v>0.2376444566565942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2528.6331344673254</v>
      </c>
      <c r="C22" s="23">
        <f ca="1">C18*C20</f>
        <v>0</v>
      </c>
      <c r="D22" s="23">
        <f>D18*D20</f>
        <v>2343.6260468322685</v>
      </c>
      <c r="E22" s="23">
        <f>E18*E20</f>
        <v>271.7385463578853</v>
      </c>
      <c r="F22" s="23">
        <f>F18*F20</f>
        <v>1044.3346813734336</v>
      </c>
      <c r="G22" s="23"/>
      <c r="H22" s="23"/>
      <c r="I22" s="23"/>
      <c r="J22" s="23">
        <f>J18*J20</f>
        <v>64.686897188470653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832.15504899999996</v>
      </c>
      <c r="C30" s="39">
        <f>IF(ISERROR(B30*3.6/1000000/'E Balans VL '!Z18*100),0,B30*3.6/1000000/'E Balans VL '!Z18*100)</f>
        <v>4.8039012527580048E-2</v>
      </c>
      <c r="D30" s="237" t="s">
        <v>708</v>
      </c>
    </row>
    <row r="31" spans="1:18">
      <c r="A31" s="6" t="s">
        <v>32</v>
      </c>
      <c r="B31" s="37">
        <f>IF( ISERROR(IND_ander_ele_kWh/1000),0,IND_ander_ele_kWh/1000)</f>
        <v>3349.6290759999997</v>
      </c>
      <c r="C31" s="39">
        <f>IF(ISERROR(B31*3.6/1000000/'E Balans VL '!Z19*100),0,B31*3.6/1000000/'E Balans VL '!Z19*100)</f>
        <v>0.16847548512055932</v>
      </c>
      <c r="D31" s="237" t="s">
        <v>708</v>
      </c>
    </row>
    <row r="32" spans="1:18">
      <c r="A32" s="171" t="s">
        <v>40</v>
      </c>
      <c r="B32" s="37">
        <f>IF( ISERROR(IND_voed_ele_kWh/1000),0,IND_voed_ele_kWh/1000)</f>
        <v>1097.6469970000001</v>
      </c>
      <c r="C32" s="39">
        <f>IF(ISERROR(B32*3.6/1000000/'E Balans VL '!Z20*100),0,B32*3.6/1000000/'E Balans VL '!Z20*100)</f>
        <v>3.6558163100278353E-2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39.555774</v>
      </c>
      <c r="C34" s="39">
        <f>IF(ISERROR(B34*3.6/1000000/'E Balans VL '!Z22*100),0,B34*3.6/1000000/'E Balans VL '!Z22*100)</f>
        <v>7.3784879009943889E-3</v>
      </c>
      <c r="D34" s="237" t="s">
        <v>708</v>
      </c>
    </row>
    <row r="35" spans="1:5">
      <c r="A35" s="171" t="s">
        <v>38</v>
      </c>
      <c r="B35" s="37">
        <f>IF( ISERROR(IND_papier_ele_kWh/1000),0,IND_papier_ele_kWh/1000)</f>
        <v>1251.6238410000001</v>
      </c>
      <c r="C35" s="39">
        <f>IF(ISERROR(B35*3.6/1000000/'E Balans VL '!Z22*100),0,B35*3.6/1000000/'E Balans VL '!Z22*100)</f>
        <v>0.23347012164177663</v>
      </c>
      <c r="D35" s="237" t="s">
        <v>708</v>
      </c>
    </row>
    <row r="36" spans="1:5">
      <c r="A36" s="171" t="s">
        <v>33</v>
      </c>
      <c r="B36" s="37">
        <f>IF( ISERROR(IND_chemie_ele_kWh/1000),0,IND_chemie_ele_kWh/1000)</f>
        <v>85.430914000000001</v>
      </c>
      <c r="C36" s="39">
        <f>IF(ISERROR(B36*3.6/1000000/'E Balans VL '!Z24*100),0,B36*3.6/1000000/'E Balans VL '!Z24*100)</f>
        <v>2.253345611467198E-3</v>
      </c>
      <c r="D36" s="237" t="s">
        <v>708</v>
      </c>
    </row>
    <row r="37" spans="1:5">
      <c r="A37" s="171" t="s">
        <v>269</v>
      </c>
      <c r="B37" s="37">
        <f>IF( ISERROR(IND_rest_ele_kWh/1000),0,IND_rest_ele_kWh/1000)</f>
        <v>5440.8089199999995</v>
      </c>
      <c r="C37" s="39">
        <f>IF(ISERROR(B37*3.6/1000000/'E Balans VL '!Z15*100),0,B37*3.6/1000000/'E Balans VL '!Z15*100)</f>
        <v>4.2453188181788379E-2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2368.5612639999999</v>
      </c>
      <c r="C5" s="17">
        <f>'Eigen informatie GS &amp; warmtenet'!B62</f>
        <v>0</v>
      </c>
      <c r="D5" s="30">
        <f>IF(ISERROR(SUM(LB_lb_gas_kWh,LB_rest_gas_kWh)/1000),0,SUM(LB_lb_gas_kWh,LB_rest_gas_kWh)/1000)*0.902</f>
        <v>70435.958628860011</v>
      </c>
      <c r="E5" s="17">
        <f>B17*'E Balans VL '!I25/3.6*1000000/100</f>
        <v>73.922015994292266</v>
      </c>
      <c r="F5" s="17">
        <f>B17*('E Balans VL '!L25/3.6*1000000+'E Balans VL '!N25/3.6*1000000)/100</f>
        <v>8370.7578891148078</v>
      </c>
      <c r="G5" s="18"/>
      <c r="H5" s="17"/>
      <c r="I5" s="17"/>
      <c r="J5" s="17">
        <f>('E Balans VL '!D25+'E Balans VL '!E25)/3.6*1000000*landbouw!B17/100</f>
        <v>652.55505406041095</v>
      </c>
      <c r="K5" s="17"/>
      <c r="L5" s="17">
        <f>L6*(-1)</f>
        <v>0</v>
      </c>
      <c r="M5" s="17"/>
      <c r="N5" s="17">
        <f>N6*(-1)</f>
        <v>0</v>
      </c>
      <c r="O5" s="17"/>
      <c r="P5" s="17"/>
      <c r="R5" s="32"/>
    </row>
    <row r="6" spans="1:18">
      <c r="A6" s="16" t="s">
        <v>478</v>
      </c>
      <c r="B6" s="17" t="s">
        <v>210</v>
      </c>
      <c r="C6" s="17">
        <f>'lokale energieproductie'!O42+'lokale energieproductie'!O35</f>
        <v>43315.032818532818</v>
      </c>
      <c r="D6" s="308">
        <f>('lokale energieproductie'!P35+'lokale energieproductie'!P42)*(-1)</f>
        <v>-86628.687258687263</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2368.5612639999999</v>
      </c>
      <c r="C8" s="21">
        <f>C5+C6</f>
        <v>43315.032818532818</v>
      </c>
      <c r="D8" s="21">
        <f>MAX((D5+D6),0)</f>
        <v>0</v>
      </c>
      <c r="E8" s="21">
        <f>MAX((E5+E6),0)</f>
        <v>73.922015994292266</v>
      </c>
      <c r="F8" s="21">
        <f>MAX((F5+F6),0)</f>
        <v>8370.7578891148078</v>
      </c>
      <c r="G8" s="21"/>
      <c r="H8" s="21"/>
      <c r="I8" s="21"/>
      <c r="J8" s="21">
        <f>MAX((J5+J6),0)</f>
        <v>652.55505406041095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0.20903235264633788</v>
      </c>
      <c r="C10" s="31">
        <f ca="1">'EF ele_warmte'!B22</f>
        <v>0.2376444566565942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495.10593340090378</v>
      </c>
      <c r="C12" s="23">
        <f ca="1">C8*C10</f>
        <v>10293.577439222778</v>
      </c>
      <c r="D12" s="23">
        <f>D8*D10</f>
        <v>0</v>
      </c>
      <c r="E12" s="23">
        <f>E8*E10</f>
        <v>16.780297630704347</v>
      </c>
      <c r="F12" s="23">
        <f>F8*F10</f>
        <v>2234.9923563936536</v>
      </c>
      <c r="G12" s="23"/>
      <c r="H12" s="23"/>
      <c r="I12" s="23"/>
      <c r="J12" s="23">
        <f>J8*J10</f>
        <v>231.00448913738546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0.35210361134907137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206.67462263647624</v>
      </c>
      <c r="C26" s="247">
        <f>B26*'GWP N2O_CH4'!B5</f>
        <v>4340.167075366001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39.605544355208536</v>
      </c>
      <c r="C27" s="247">
        <f>B27*'GWP N2O_CH4'!B5</f>
        <v>831.71643145937924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2.3550197861716287</v>
      </c>
      <c r="C28" s="247">
        <f>B28*'GWP N2O_CH4'!B4</f>
        <v>730.05613371320487</v>
      </c>
      <c r="D28" s="50"/>
    </row>
    <row r="29" spans="1:4">
      <c r="A29" s="41" t="s">
        <v>276</v>
      </c>
      <c r="B29" s="247">
        <f>B34*'ha_N2O bodem landbouw'!B4</f>
        <v>6.1683630074459392</v>
      </c>
      <c r="C29" s="247">
        <f>B29*'GWP N2O_CH4'!B4</f>
        <v>1912.1925323082412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1.3526109486540839E-3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6.7920521834338959E-4</v>
      </c>
      <c r="C5" s="437" t="s">
        <v>210</v>
      </c>
      <c r="D5" s="422">
        <f>SUM(D6:D11)</f>
        <v>2.3222809806497696E-3</v>
      </c>
      <c r="E5" s="422">
        <f>SUM(E6:E11)</f>
        <v>2.2245028908805249E-3</v>
      </c>
      <c r="F5" s="435" t="s">
        <v>210</v>
      </c>
      <c r="G5" s="422">
        <f>SUM(G6:G11)</f>
        <v>1.1999588542439232</v>
      </c>
      <c r="H5" s="422">
        <f>SUM(H6:H11)</f>
        <v>0.22193104289136842</v>
      </c>
      <c r="I5" s="437" t="s">
        <v>210</v>
      </c>
      <c r="J5" s="437" t="s">
        <v>210</v>
      </c>
      <c r="K5" s="437" t="s">
        <v>210</v>
      </c>
      <c r="L5" s="437" t="s">
        <v>210</v>
      </c>
      <c r="M5" s="422">
        <f>SUM(M6:M11)</f>
        <v>8.3861822405081929E-2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2.4921385689653E-4</v>
      </c>
      <c r="C6" s="423"/>
      <c r="D6" s="890">
        <f>vkm_GW_PW*SUMIFS(TableVerdeelsleutelVkm[CNG],TableVerdeelsleutelVkm[Voertuigtype],"Lichte voertuigen")*SUMIFS(TableECFTransport[EnergieConsumptieFactor (PJ per km)],TableECFTransport[Index],CONCATENATE($A6,"_CNG_CNG"))</f>
        <v>8.0281811784772676E-4</v>
      </c>
      <c r="E6" s="890">
        <f>vkm_GW_PW*SUMIFS(TableVerdeelsleutelVkm[LPG],TableVerdeelsleutelVkm[Voertuigtype],"Lichte voertuigen")*SUMIFS(TableECFTransport[EnergieConsumptieFactor (PJ per km)],TableECFTransport[Index],CONCATENATE($A6,"_LPG_LPG"))</f>
        <v>6.8655127437359945E-4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0.22179000426730722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7.5207630206265141E-2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1.7763928341755685E-2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0.25959667479362236</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3.7119993610609363E-6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1.4963777006161113E-2</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5.8778528213878099E-5</v>
      </c>
      <c r="C8" s="423"/>
      <c r="D8" s="425">
        <f>vkm_NGW_PW*SUMIFS(TableVerdeelsleutelVkm[CNG],TableVerdeelsleutelVkm[Voertuigtype],"Lichte voertuigen")*SUMIFS(TableECFTransport[EnergieConsumptieFactor (PJ per km)],TableECFTransport[Index],CONCATENATE($A8,"_CNG_CNG"))</f>
        <v>3.2081119994140897E-4</v>
      </c>
      <c r="E8" s="425">
        <f>vkm_NGW_PW*SUMIFS(TableVerdeelsleutelVkm[LPG],TableVerdeelsleutelVkm[Voertuigtype],"Lichte voertuigen")*SUMIFS(TableECFTransport[EnergieConsumptieFactor (PJ per km)],TableECFTransport[Index],CONCATENATE($A8,"_LPG_LPG"))</f>
        <v>2.6067798769217919E-4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7.8690893341033144E-2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2.9551152247853728E-2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6.4924914397007233E-3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5.3327697411832201E-2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9.6682352664292617E-7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3.0739503280808535E-3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3.7121283323298158E-4</v>
      </c>
      <c r="C10" s="423"/>
      <c r="D10" s="425">
        <f>vkm_SW_PW*SUMIFS(TableVerdeelsleutelVkm[CNG],TableVerdeelsleutelVkm[Voertuigtype],"Lichte voertuigen")*SUMIFS(TableECFTransport[EnergieConsumptieFactor (PJ per km)],TableECFTransport[Index],CONCATENATE($A10,"_CNG_CNG"))</f>
        <v>1.1986516628606338E-3</v>
      </c>
      <c r="E10" s="425">
        <f>vkm_SW_PW*SUMIFS(TableVerdeelsleutelVkm[LPG],TableVerdeelsleutelVkm[Voertuigtype],"Lichte voertuigen")*SUMIFS(TableECFTransport[EnergieConsumptieFactor (PJ per km)],TableECFTransport[Index],CONCATENATE($A10,"_LPG_LPG"))</f>
        <v>1.2772736288147464E-3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0.36764400888204507</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0.11716423697756584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2.8949186392114492E-2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0.21890957554808332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3.3446367959888626E-6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1.2618488897269067E-2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188.6681162064971</v>
      </c>
      <c r="C14" s="21"/>
      <c r="D14" s="21">
        <f t="shared" ref="D14:M14" si="0">((D5)*10^9/3600)+D12</f>
        <v>645.07805018049157</v>
      </c>
      <c r="E14" s="21">
        <f t="shared" si="0"/>
        <v>617.91746968903476</v>
      </c>
      <c r="F14" s="21"/>
      <c r="G14" s="21">
        <f t="shared" si="0"/>
        <v>333321.90395664534</v>
      </c>
      <c r="H14" s="21">
        <f t="shared" si="0"/>
        <v>61647.511914269002</v>
      </c>
      <c r="I14" s="21"/>
      <c r="J14" s="21"/>
      <c r="K14" s="21"/>
      <c r="L14" s="21"/>
      <c r="M14" s="21">
        <f t="shared" si="0"/>
        <v>23294.950668078312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0.20903235264633788</v>
      </c>
      <c r="C16" s="56">
        <f ca="1">'EF ele_warmte'!B22</f>
        <v>0.2376444566565942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39.43774019999676</v>
      </c>
      <c r="C18" s="23"/>
      <c r="D18" s="23">
        <f t="shared" ref="D18:M18" si="1">D14*D16</f>
        <v>130.30576613645931</v>
      </c>
      <c r="E18" s="23">
        <f t="shared" si="1"/>
        <v>140.26726561941089</v>
      </c>
      <c r="F18" s="23"/>
      <c r="G18" s="23">
        <f t="shared" si="1"/>
        <v>88996.948356424313</v>
      </c>
      <c r="H18" s="23">
        <f t="shared" si="1"/>
        <v>15350.230466652982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6.6381689030788798E-3</v>
      </c>
      <c r="H50" s="319">
        <f t="shared" si="2"/>
        <v>0</v>
      </c>
      <c r="I50" s="319">
        <f t="shared" si="2"/>
        <v>0</v>
      </c>
      <c r="J50" s="319">
        <f t="shared" si="2"/>
        <v>0</v>
      </c>
      <c r="K50" s="319">
        <f t="shared" si="2"/>
        <v>0</v>
      </c>
      <c r="L50" s="319">
        <f t="shared" si="2"/>
        <v>0</v>
      </c>
      <c r="M50" s="319">
        <f t="shared" si="2"/>
        <v>3.6889211531147522E-4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6.6381689030788798E-3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3.6889211531147522E-4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1843.9358064108001</v>
      </c>
      <c r="H54" s="21">
        <f t="shared" si="3"/>
        <v>0</v>
      </c>
      <c r="I54" s="21">
        <f t="shared" si="3"/>
        <v>0</v>
      </c>
      <c r="J54" s="21">
        <f t="shared" si="3"/>
        <v>0</v>
      </c>
      <c r="K54" s="21">
        <f t="shared" si="3"/>
        <v>0</v>
      </c>
      <c r="L54" s="21">
        <f t="shared" si="3"/>
        <v>0</v>
      </c>
      <c r="M54" s="21">
        <f t="shared" si="3"/>
        <v>102.47003203096534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0.20903235264633788</v>
      </c>
      <c r="C56" s="56">
        <f ca="1">'EF ele_warmte'!B22</f>
        <v>0.2376444566565942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492.33086031168364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55854.423992000004</v>
      </c>
      <c r="D10" s="686">
        <f ca="1">tertiair!C16</f>
        <v>18392.142857142859</v>
      </c>
      <c r="E10" s="686">
        <f ca="1">tertiair!D16</f>
        <v>22219.968441044279</v>
      </c>
      <c r="F10" s="686">
        <f>tertiair!E16</f>
        <v>695.97698141922581</v>
      </c>
      <c r="G10" s="686">
        <f ca="1">tertiair!F16</f>
        <v>4561.9145475832838</v>
      </c>
      <c r="H10" s="686">
        <f>tertiair!G16</f>
        <v>0</v>
      </c>
      <c r="I10" s="686">
        <f>tertiair!H16</f>
        <v>0</v>
      </c>
      <c r="J10" s="686">
        <f>tertiair!I16</f>
        <v>0</v>
      </c>
      <c r="K10" s="686">
        <f>tertiair!J16</f>
        <v>2.6632090628040599E-2</v>
      </c>
      <c r="L10" s="686">
        <f>tertiair!K16</f>
        <v>0</v>
      </c>
      <c r="M10" s="686">
        <f ca="1">tertiair!L16</f>
        <v>0</v>
      </c>
      <c r="N10" s="686">
        <f>tertiair!M16</f>
        <v>0</v>
      </c>
      <c r="O10" s="686">
        <f ca="1">tertiair!N16</f>
        <v>1066.7879578801442</v>
      </c>
      <c r="P10" s="686">
        <f>tertiair!O16</f>
        <v>0</v>
      </c>
      <c r="Q10" s="687">
        <f>tertiair!P16</f>
        <v>315.23482983897009</v>
      </c>
      <c r="R10" s="689">
        <f ca="1">SUM(C10:Q10)</f>
        <v>103106.47623899938</v>
      </c>
      <c r="S10" s="67"/>
    </row>
    <row r="11" spans="1:19" s="448" customFormat="1">
      <c r="A11" s="808" t="s">
        <v>224</v>
      </c>
      <c r="B11" s="813"/>
      <c r="C11" s="686">
        <f>huishoudens!B8</f>
        <v>35034.525890630081</v>
      </c>
      <c r="D11" s="686">
        <f>huishoudens!C8</f>
        <v>0</v>
      </c>
      <c r="E11" s="686">
        <f>huishoudens!D8</f>
        <v>100406.7652786</v>
      </c>
      <c r="F11" s="686">
        <f>huishoudens!E8</f>
        <v>2731.1667705302416</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8519.2413525157244</v>
      </c>
      <c r="P11" s="686">
        <f>huishoudens!O8</f>
        <v>357.1124794896657</v>
      </c>
      <c r="Q11" s="687">
        <f>huishoudens!P8</f>
        <v>674.17339569184151</v>
      </c>
      <c r="R11" s="689">
        <f>SUM(C11:Q11)</f>
        <v>147722.98516745758</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12096.850570999999</v>
      </c>
      <c r="D13" s="686">
        <f>industrie!C18</f>
        <v>0</v>
      </c>
      <c r="E13" s="686">
        <f>industrie!D18</f>
        <v>11602.109142734002</v>
      </c>
      <c r="F13" s="686">
        <f>industrie!E18</f>
        <v>1197.0861073034594</v>
      </c>
      <c r="G13" s="686">
        <f>industrie!F18</f>
        <v>3911.365847840575</v>
      </c>
      <c r="H13" s="686">
        <f>industrie!G18</f>
        <v>0</v>
      </c>
      <c r="I13" s="686">
        <f>industrie!H18</f>
        <v>0</v>
      </c>
      <c r="J13" s="686">
        <f>industrie!I18</f>
        <v>0</v>
      </c>
      <c r="K13" s="686">
        <f>industrie!J18</f>
        <v>182.73134799003009</v>
      </c>
      <c r="L13" s="686">
        <f>industrie!K18</f>
        <v>0</v>
      </c>
      <c r="M13" s="686">
        <f>industrie!L18</f>
        <v>0</v>
      </c>
      <c r="N13" s="686">
        <f>industrie!M18</f>
        <v>0</v>
      </c>
      <c r="O13" s="686">
        <f>industrie!N18</f>
        <v>541.08797718861842</v>
      </c>
      <c r="P13" s="686">
        <f>industrie!O18</f>
        <v>0</v>
      </c>
      <c r="Q13" s="687">
        <f>industrie!P18</f>
        <v>0</v>
      </c>
      <c r="R13" s="689">
        <f>SUM(C13:Q13)</f>
        <v>29531.230994056685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102985.80045363009</v>
      </c>
      <c r="D16" s="722">
        <f t="shared" ref="D16:R16" ca="1" si="0">SUM(D9:D15)</f>
        <v>18392.142857142859</v>
      </c>
      <c r="E16" s="722">
        <f t="shared" ca="1" si="0"/>
        <v>134228.84286237828</v>
      </c>
      <c r="F16" s="722">
        <f t="shared" si="0"/>
        <v>4624.2298592529269</v>
      </c>
      <c r="G16" s="722">
        <f t="shared" ca="1" si="0"/>
        <v>8473.2803954238589</v>
      </c>
      <c r="H16" s="722">
        <f t="shared" si="0"/>
        <v>0</v>
      </c>
      <c r="I16" s="722">
        <f t="shared" si="0"/>
        <v>0</v>
      </c>
      <c r="J16" s="722">
        <f t="shared" si="0"/>
        <v>0</v>
      </c>
      <c r="K16" s="722">
        <f t="shared" si="0"/>
        <v>182.75798008065811</v>
      </c>
      <c r="L16" s="722">
        <f t="shared" si="0"/>
        <v>0</v>
      </c>
      <c r="M16" s="722">
        <f t="shared" ca="1" si="0"/>
        <v>0</v>
      </c>
      <c r="N16" s="722">
        <f t="shared" si="0"/>
        <v>0</v>
      </c>
      <c r="O16" s="722">
        <f t="shared" ca="1" si="0"/>
        <v>10127.117287584486</v>
      </c>
      <c r="P16" s="722">
        <f t="shared" si="0"/>
        <v>357.1124794896657</v>
      </c>
      <c r="Q16" s="722">
        <f t="shared" si="0"/>
        <v>989.40822553081159</v>
      </c>
      <c r="R16" s="722">
        <f t="shared" ca="1" si="0"/>
        <v>280360.69240051362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1843.9358064108001</v>
      </c>
      <c r="I19" s="686">
        <f>transport!H54</f>
        <v>0</v>
      </c>
      <c r="J19" s="686">
        <f>transport!I54</f>
        <v>0</v>
      </c>
      <c r="K19" s="686">
        <f>transport!J54</f>
        <v>0</v>
      </c>
      <c r="L19" s="686">
        <f>transport!K54</f>
        <v>0</v>
      </c>
      <c r="M19" s="686">
        <f>transport!L54</f>
        <v>0</v>
      </c>
      <c r="N19" s="686">
        <f>transport!M54</f>
        <v>102.47003203096534</v>
      </c>
      <c r="O19" s="686">
        <f>transport!N54</f>
        <v>0</v>
      </c>
      <c r="P19" s="686">
        <f>transport!O54</f>
        <v>0</v>
      </c>
      <c r="Q19" s="687">
        <f>transport!P54</f>
        <v>0</v>
      </c>
      <c r="R19" s="689">
        <f>SUM(C19:Q19)</f>
        <v>1946.4058384417654</v>
      </c>
      <c r="S19" s="67"/>
    </row>
    <row r="20" spans="1:19" s="448" customFormat="1">
      <c r="A20" s="808" t="s">
        <v>306</v>
      </c>
      <c r="B20" s="813"/>
      <c r="C20" s="686">
        <f>transport!B14</f>
        <v>188.6681162064971</v>
      </c>
      <c r="D20" s="686">
        <f>transport!C14</f>
        <v>0</v>
      </c>
      <c r="E20" s="686">
        <f>transport!D14</f>
        <v>645.07805018049157</v>
      </c>
      <c r="F20" s="686">
        <f>transport!E14</f>
        <v>617.91746968903476</v>
      </c>
      <c r="G20" s="686">
        <f>transport!F14</f>
        <v>0</v>
      </c>
      <c r="H20" s="686">
        <f>transport!G14</f>
        <v>333321.90395664534</v>
      </c>
      <c r="I20" s="686">
        <f>transport!H14</f>
        <v>61647.511914269002</v>
      </c>
      <c r="J20" s="686">
        <f>transport!I14</f>
        <v>0</v>
      </c>
      <c r="K20" s="686">
        <f>transport!J14</f>
        <v>0</v>
      </c>
      <c r="L20" s="686">
        <f>transport!K14</f>
        <v>0</v>
      </c>
      <c r="M20" s="686">
        <f>transport!L14</f>
        <v>0</v>
      </c>
      <c r="N20" s="686">
        <f>transport!M14</f>
        <v>23294.950668078312</v>
      </c>
      <c r="O20" s="686">
        <f>transport!N14</f>
        <v>0</v>
      </c>
      <c r="P20" s="686">
        <f>transport!O14</f>
        <v>0</v>
      </c>
      <c r="Q20" s="687">
        <f>transport!P14</f>
        <v>0</v>
      </c>
      <c r="R20" s="689">
        <f>SUM(C20:Q20)</f>
        <v>419716.03017506871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188.6681162064971</v>
      </c>
      <c r="D22" s="811">
        <f t="shared" ref="D22:R22" si="1">SUM(D18:D21)</f>
        <v>0</v>
      </c>
      <c r="E22" s="811">
        <f t="shared" si="1"/>
        <v>645.07805018049157</v>
      </c>
      <c r="F22" s="811">
        <f t="shared" si="1"/>
        <v>617.91746968903476</v>
      </c>
      <c r="G22" s="811">
        <f t="shared" si="1"/>
        <v>0</v>
      </c>
      <c r="H22" s="811">
        <f t="shared" si="1"/>
        <v>335165.83976305614</v>
      </c>
      <c r="I22" s="811">
        <f t="shared" si="1"/>
        <v>61647.511914269002</v>
      </c>
      <c r="J22" s="811">
        <f t="shared" si="1"/>
        <v>0</v>
      </c>
      <c r="K22" s="811">
        <f t="shared" si="1"/>
        <v>0</v>
      </c>
      <c r="L22" s="811">
        <f t="shared" si="1"/>
        <v>0</v>
      </c>
      <c r="M22" s="811">
        <f t="shared" si="1"/>
        <v>0</v>
      </c>
      <c r="N22" s="811">
        <f t="shared" si="1"/>
        <v>23397.420700109276</v>
      </c>
      <c r="O22" s="811">
        <f t="shared" si="1"/>
        <v>0</v>
      </c>
      <c r="P22" s="811">
        <f t="shared" si="1"/>
        <v>0</v>
      </c>
      <c r="Q22" s="811">
        <f t="shared" si="1"/>
        <v>0</v>
      </c>
      <c r="R22" s="811">
        <f t="shared" si="1"/>
        <v>421662.43601351045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2368.5612639999999</v>
      </c>
      <c r="D24" s="686">
        <f>+landbouw!C8</f>
        <v>43315.032818532818</v>
      </c>
      <c r="E24" s="686">
        <f>+landbouw!D8</f>
        <v>0</v>
      </c>
      <c r="F24" s="686">
        <f>+landbouw!E8</f>
        <v>73.922015994292266</v>
      </c>
      <c r="G24" s="686">
        <f>+landbouw!F8</f>
        <v>8370.7578891148078</v>
      </c>
      <c r="H24" s="686">
        <f>+landbouw!G8</f>
        <v>0</v>
      </c>
      <c r="I24" s="686">
        <f>+landbouw!H8</f>
        <v>0</v>
      </c>
      <c r="J24" s="686">
        <f>+landbouw!I8</f>
        <v>0</v>
      </c>
      <c r="K24" s="686">
        <f>+landbouw!J8</f>
        <v>652.55505406041095</v>
      </c>
      <c r="L24" s="686">
        <f>+landbouw!K8</f>
        <v>0</v>
      </c>
      <c r="M24" s="686">
        <f>+landbouw!L8</f>
        <v>0</v>
      </c>
      <c r="N24" s="686">
        <f>+landbouw!M8</f>
        <v>0</v>
      </c>
      <c r="O24" s="686">
        <f>+landbouw!N8</f>
        <v>0</v>
      </c>
      <c r="P24" s="686">
        <f>+landbouw!O8</f>
        <v>0</v>
      </c>
      <c r="Q24" s="687">
        <f>+landbouw!P8</f>
        <v>0</v>
      </c>
      <c r="R24" s="689">
        <f>SUM(C24:Q24)</f>
        <v>54780.829041702324</v>
      </c>
      <c r="S24" s="67"/>
    </row>
    <row r="25" spans="1:19" s="448" customFormat="1" ht="15" thickBot="1">
      <c r="A25" s="830" t="s">
        <v>724</v>
      </c>
      <c r="B25" s="949"/>
      <c r="C25" s="950">
        <f>IF(Onbekend_ele_kWh="---",0,Onbekend_ele_kWh)/1000+IF(REST_rest_ele_kWh="---",0,REST_rest_ele_kWh)/1000</f>
        <v>1471.8216219999999</v>
      </c>
      <c r="D25" s="950"/>
      <c r="E25" s="950">
        <f>IF(onbekend_gas_kWh="---",0,onbekend_gas_kWh)/1000+IF(REST_rest_gas_kWh="---",0,REST_rest_gas_kWh)/1000</f>
        <v>3112.2360880000001</v>
      </c>
      <c r="F25" s="950"/>
      <c r="G25" s="950"/>
      <c r="H25" s="950"/>
      <c r="I25" s="950"/>
      <c r="J25" s="950"/>
      <c r="K25" s="950"/>
      <c r="L25" s="950"/>
      <c r="M25" s="950"/>
      <c r="N25" s="950"/>
      <c r="O25" s="950"/>
      <c r="P25" s="950"/>
      <c r="Q25" s="951"/>
      <c r="R25" s="689">
        <f>SUM(C25:Q25)</f>
        <v>4584.05771</v>
      </c>
      <c r="S25" s="67"/>
    </row>
    <row r="26" spans="1:19" s="448" customFormat="1" ht="15.75" thickBot="1">
      <c r="A26" s="694" t="s">
        <v>725</v>
      </c>
      <c r="B26" s="816"/>
      <c r="C26" s="811">
        <f>SUM(C24:C25)</f>
        <v>3840.3828859999999</v>
      </c>
      <c r="D26" s="811">
        <f t="shared" ref="D26:R26" si="2">SUM(D24:D25)</f>
        <v>43315.032818532818</v>
      </c>
      <c r="E26" s="811">
        <f t="shared" si="2"/>
        <v>3112.2360880000001</v>
      </c>
      <c r="F26" s="811">
        <f t="shared" si="2"/>
        <v>73.922015994292266</v>
      </c>
      <c r="G26" s="811">
        <f t="shared" si="2"/>
        <v>8370.7578891148078</v>
      </c>
      <c r="H26" s="811">
        <f t="shared" si="2"/>
        <v>0</v>
      </c>
      <c r="I26" s="811">
        <f t="shared" si="2"/>
        <v>0</v>
      </c>
      <c r="J26" s="811">
        <f t="shared" si="2"/>
        <v>0</v>
      </c>
      <c r="K26" s="811">
        <f t="shared" si="2"/>
        <v>652.55505406041095</v>
      </c>
      <c r="L26" s="811">
        <f t="shared" si="2"/>
        <v>0</v>
      </c>
      <c r="M26" s="811">
        <f t="shared" si="2"/>
        <v>0</v>
      </c>
      <c r="N26" s="811">
        <f t="shared" si="2"/>
        <v>0</v>
      </c>
      <c r="O26" s="811">
        <f t="shared" si="2"/>
        <v>0</v>
      </c>
      <c r="P26" s="811">
        <f t="shared" si="2"/>
        <v>0</v>
      </c>
      <c r="Q26" s="811">
        <f t="shared" si="2"/>
        <v>0</v>
      </c>
      <c r="R26" s="811">
        <f t="shared" si="2"/>
        <v>59364.886751702325</v>
      </c>
      <c r="S26" s="67"/>
    </row>
    <row r="27" spans="1:19" s="448" customFormat="1" ht="17.25" thickTop="1" thickBot="1">
      <c r="A27" s="695" t="s">
        <v>115</v>
      </c>
      <c r="B27" s="803"/>
      <c r="C27" s="696">
        <f ca="1">C22+C16+C26</f>
        <v>107014.85145583659</v>
      </c>
      <c r="D27" s="696">
        <f t="shared" ref="D27:R27" ca="1" si="3">D22+D16+D26</f>
        <v>61707.17567567568</v>
      </c>
      <c r="E27" s="696">
        <f t="shared" ca="1" si="3"/>
        <v>137986.15700055877</v>
      </c>
      <c r="F27" s="696">
        <f t="shared" si="3"/>
        <v>5316.0693449362543</v>
      </c>
      <c r="G27" s="696">
        <f t="shared" ca="1" si="3"/>
        <v>16844.038284538667</v>
      </c>
      <c r="H27" s="696">
        <f t="shared" si="3"/>
        <v>335165.83976305614</v>
      </c>
      <c r="I27" s="696">
        <f t="shared" si="3"/>
        <v>61647.511914269002</v>
      </c>
      <c r="J27" s="696">
        <f t="shared" si="3"/>
        <v>0</v>
      </c>
      <c r="K27" s="696">
        <f t="shared" si="3"/>
        <v>835.31303414106901</v>
      </c>
      <c r="L27" s="696">
        <f t="shared" si="3"/>
        <v>0</v>
      </c>
      <c r="M27" s="696">
        <f t="shared" ca="1" si="3"/>
        <v>0</v>
      </c>
      <c r="N27" s="696">
        <f t="shared" si="3"/>
        <v>23397.420700109276</v>
      </c>
      <c r="O27" s="696">
        <f t="shared" ca="1" si="3"/>
        <v>10127.117287584486</v>
      </c>
      <c r="P27" s="696">
        <f t="shared" si="3"/>
        <v>357.1124794896657</v>
      </c>
      <c r="Q27" s="696">
        <f t="shared" si="3"/>
        <v>989.40822553081159</v>
      </c>
      <c r="R27" s="696">
        <f t="shared" ca="1" si="3"/>
        <v>761388.01516572642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11675.38165275382</v>
      </c>
      <c r="D40" s="686">
        <f ca="1">tertiair!C20</f>
        <v>4370.7907960361745</v>
      </c>
      <c r="E40" s="686">
        <f ca="1">tertiair!D20</f>
        <v>4488.4336250909446</v>
      </c>
      <c r="F40" s="686">
        <f>tertiair!E20</f>
        <v>157.98677478216428</v>
      </c>
      <c r="G40" s="686">
        <f ca="1">tertiair!F20</f>
        <v>1218.0311842047367</v>
      </c>
      <c r="H40" s="686">
        <f>tertiair!G20</f>
        <v>0</v>
      </c>
      <c r="I40" s="686">
        <f>tertiair!H20</f>
        <v>0</v>
      </c>
      <c r="J40" s="686">
        <f>tertiair!I20</f>
        <v>0</v>
      </c>
      <c r="K40" s="686">
        <f>tertiair!J20</f>
        <v>9.4277600823263717E-3</v>
      </c>
      <c r="L40" s="686">
        <f>tertiair!K20</f>
        <v>0</v>
      </c>
      <c r="M40" s="686">
        <f ca="1">tertiair!L20</f>
        <v>0</v>
      </c>
      <c r="N40" s="686">
        <f>tertiair!M20</f>
        <v>0</v>
      </c>
      <c r="O40" s="686">
        <f ca="1">tertiair!N20</f>
        <v>0</v>
      </c>
      <c r="P40" s="686">
        <f>tertiair!O20</f>
        <v>0</v>
      </c>
      <c r="Q40" s="769">
        <f>tertiair!P20</f>
        <v>0</v>
      </c>
      <c r="R40" s="849">
        <f t="shared" ca="1" si="4"/>
        <v>21910.633460627923</v>
      </c>
    </row>
    <row r="41" spans="1:18">
      <c r="A41" s="821" t="s">
        <v>224</v>
      </c>
      <c r="B41" s="828"/>
      <c r="C41" s="686">
        <f ca="1">huishoudens!B12</f>
        <v>7323.3493707674415</v>
      </c>
      <c r="D41" s="686">
        <f ca="1">huishoudens!C12</f>
        <v>0</v>
      </c>
      <c r="E41" s="686">
        <f>huishoudens!D12</f>
        <v>20282.166586277199</v>
      </c>
      <c r="F41" s="686">
        <f>huishoudens!E12</f>
        <v>619.97485691036491</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28225.490813955006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2528.6331344673254</v>
      </c>
      <c r="D43" s="686">
        <f ca="1">industrie!C22</f>
        <v>0</v>
      </c>
      <c r="E43" s="686">
        <f>industrie!D22</f>
        <v>2343.6260468322685</v>
      </c>
      <c r="F43" s="686">
        <f>industrie!E22</f>
        <v>271.7385463578853</v>
      </c>
      <c r="G43" s="686">
        <f>industrie!F22</f>
        <v>1044.3346813734336</v>
      </c>
      <c r="H43" s="686">
        <f>industrie!G22</f>
        <v>0</v>
      </c>
      <c r="I43" s="686">
        <f>industrie!H22</f>
        <v>0</v>
      </c>
      <c r="J43" s="686">
        <f>industrie!I22</f>
        <v>0</v>
      </c>
      <c r="K43" s="686">
        <f>industrie!J22</f>
        <v>64.686897188470653</v>
      </c>
      <c r="L43" s="686">
        <f>industrie!K22</f>
        <v>0</v>
      </c>
      <c r="M43" s="686">
        <f>industrie!L22</f>
        <v>0</v>
      </c>
      <c r="N43" s="686">
        <f>industrie!M22</f>
        <v>0</v>
      </c>
      <c r="O43" s="686">
        <f>industrie!N22</f>
        <v>0</v>
      </c>
      <c r="P43" s="686">
        <f>industrie!O22</f>
        <v>0</v>
      </c>
      <c r="Q43" s="769">
        <f>industrie!P22</f>
        <v>0</v>
      </c>
      <c r="R43" s="848">
        <f t="shared" ca="1" si="4"/>
        <v>6253.019306219383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21527.364157988588</v>
      </c>
      <c r="D46" s="722">
        <f t="shared" ref="D46:Q46" ca="1" si="5">SUM(D39:D45)</f>
        <v>4370.7907960361745</v>
      </c>
      <c r="E46" s="722">
        <f t="shared" ca="1" si="5"/>
        <v>27114.226258200411</v>
      </c>
      <c r="F46" s="722">
        <f t="shared" si="5"/>
        <v>1049.7001780504145</v>
      </c>
      <c r="G46" s="722">
        <f t="shared" ca="1" si="5"/>
        <v>2262.3658655781701</v>
      </c>
      <c r="H46" s="722">
        <f t="shared" si="5"/>
        <v>0</v>
      </c>
      <c r="I46" s="722">
        <f t="shared" si="5"/>
        <v>0</v>
      </c>
      <c r="J46" s="722">
        <f t="shared" si="5"/>
        <v>0</v>
      </c>
      <c r="K46" s="722">
        <f t="shared" si="5"/>
        <v>64.696324948552984</v>
      </c>
      <c r="L46" s="722">
        <f t="shared" si="5"/>
        <v>0</v>
      </c>
      <c r="M46" s="722">
        <f t="shared" ca="1" si="5"/>
        <v>0</v>
      </c>
      <c r="N46" s="722">
        <f t="shared" si="5"/>
        <v>0</v>
      </c>
      <c r="O46" s="722">
        <f t="shared" ca="1" si="5"/>
        <v>0</v>
      </c>
      <c r="P46" s="722">
        <f t="shared" si="5"/>
        <v>0</v>
      </c>
      <c r="Q46" s="722">
        <f t="shared" si="5"/>
        <v>0</v>
      </c>
      <c r="R46" s="722">
        <f ca="1">SUM(R39:R45)</f>
        <v>56389.143580802309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492.33086031168364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492.33086031168364</v>
      </c>
    </row>
    <row r="50" spans="1:18">
      <c r="A50" s="824" t="s">
        <v>306</v>
      </c>
      <c r="B50" s="834"/>
      <c r="C50" s="692">
        <f ca="1">transport!B18</f>
        <v>39.43774019999676</v>
      </c>
      <c r="D50" s="692">
        <f>transport!C18</f>
        <v>0</v>
      </c>
      <c r="E50" s="692">
        <f>transport!D18</f>
        <v>130.30576613645931</v>
      </c>
      <c r="F50" s="692">
        <f>transport!E18</f>
        <v>140.26726561941089</v>
      </c>
      <c r="G50" s="692">
        <f>transport!F18</f>
        <v>0</v>
      </c>
      <c r="H50" s="692">
        <f>transport!G18</f>
        <v>88996.948356424313</v>
      </c>
      <c r="I50" s="692">
        <f>transport!H18</f>
        <v>15350.230466652982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104657.18959503317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39.43774019999676</v>
      </c>
      <c r="D52" s="722">
        <f t="shared" ref="D52:Q52" ca="1" si="6">SUM(D48:D51)</f>
        <v>0</v>
      </c>
      <c r="E52" s="722">
        <f t="shared" si="6"/>
        <v>130.30576613645931</v>
      </c>
      <c r="F52" s="722">
        <f t="shared" si="6"/>
        <v>140.26726561941089</v>
      </c>
      <c r="G52" s="722">
        <f t="shared" si="6"/>
        <v>0</v>
      </c>
      <c r="H52" s="722">
        <f t="shared" si="6"/>
        <v>89489.279216736002</v>
      </c>
      <c r="I52" s="722">
        <f t="shared" si="6"/>
        <v>15350.230466652982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105149.52045534486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495.10593340090378</v>
      </c>
      <c r="D54" s="692">
        <f ca="1">+landbouw!C12</f>
        <v>10293.577439222778</v>
      </c>
      <c r="E54" s="692">
        <f>+landbouw!D12</f>
        <v>0</v>
      </c>
      <c r="F54" s="692">
        <f>+landbouw!E12</f>
        <v>16.780297630704347</v>
      </c>
      <c r="G54" s="692">
        <f>+landbouw!F12</f>
        <v>2234.9923563936536</v>
      </c>
      <c r="H54" s="692">
        <f>+landbouw!G12</f>
        <v>0</v>
      </c>
      <c r="I54" s="692">
        <f>+landbouw!H12</f>
        <v>0</v>
      </c>
      <c r="J54" s="692">
        <f>+landbouw!I12</f>
        <v>0</v>
      </c>
      <c r="K54" s="692">
        <f>+landbouw!J12</f>
        <v>231.00448913738546</v>
      </c>
      <c r="L54" s="692">
        <f>+landbouw!K12</f>
        <v>0</v>
      </c>
      <c r="M54" s="692">
        <f>+landbouw!L12</f>
        <v>0</v>
      </c>
      <c r="N54" s="692">
        <f>+landbouw!M12</f>
        <v>0</v>
      </c>
      <c r="O54" s="692">
        <f>+landbouw!N12</f>
        <v>0</v>
      </c>
      <c r="P54" s="692">
        <f>+landbouw!O12</f>
        <v>0</v>
      </c>
      <c r="Q54" s="693">
        <f>+landbouw!P12</f>
        <v>0</v>
      </c>
      <c r="R54" s="721">
        <f ca="1">SUM(C54:Q54)</f>
        <v>13271.460515785426</v>
      </c>
    </row>
    <row r="55" spans="1:18" ht="15" thickBot="1">
      <c r="A55" s="824" t="s">
        <v>724</v>
      </c>
      <c r="B55" s="834"/>
      <c r="C55" s="692">
        <f ca="1">C25*'EF ele_warmte'!B12</f>
        <v>307.65833632240901</v>
      </c>
      <c r="D55" s="692"/>
      <c r="E55" s="692">
        <f>E25*EF_CO2_aardgas</f>
        <v>628.67168977600011</v>
      </c>
      <c r="F55" s="692"/>
      <c r="G55" s="692"/>
      <c r="H55" s="692"/>
      <c r="I55" s="692"/>
      <c r="J55" s="692"/>
      <c r="K55" s="692"/>
      <c r="L55" s="692"/>
      <c r="M55" s="692"/>
      <c r="N55" s="692"/>
      <c r="O55" s="692"/>
      <c r="P55" s="692"/>
      <c r="Q55" s="693"/>
      <c r="R55" s="721">
        <f ca="1">SUM(C55:Q55)</f>
        <v>936.33002609840912</v>
      </c>
    </row>
    <row r="56" spans="1:18" ht="15.75" thickBot="1">
      <c r="A56" s="822" t="s">
        <v>725</v>
      </c>
      <c r="B56" s="835"/>
      <c r="C56" s="722">
        <f ca="1">SUM(C54:C55)</f>
        <v>802.76426972331274</v>
      </c>
      <c r="D56" s="722">
        <f t="shared" ref="D56:Q56" ca="1" si="7">SUM(D54:D55)</f>
        <v>10293.577439222778</v>
      </c>
      <c r="E56" s="722">
        <f t="shared" si="7"/>
        <v>628.67168977600011</v>
      </c>
      <c r="F56" s="722">
        <f t="shared" si="7"/>
        <v>16.780297630704347</v>
      </c>
      <c r="G56" s="722">
        <f t="shared" si="7"/>
        <v>2234.9923563936536</v>
      </c>
      <c r="H56" s="722">
        <f t="shared" si="7"/>
        <v>0</v>
      </c>
      <c r="I56" s="722">
        <f t="shared" si="7"/>
        <v>0</v>
      </c>
      <c r="J56" s="722">
        <f t="shared" si="7"/>
        <v>0</v>
      </c>
      <c r="K56" s="722">
        <f t="shared" si="7"/>
        <v>231.00448913738546</v>
      </c>
      <c r="L56" s="722">
        <f t="shared" si="7"/>
        <v>0</v>
      </c>
      <c r="M56" s="722">
        <f t="shared" si="7"/>
        <v>0</v>
      </c>
      <c r="N56" s="722">
        <f t="shared" si="7"/>
        <v>0</v>
      </c>
      <c r="O56" s="722">
        <f t="shared" si="7"/>
        <v>0</v>
      </c>
      <c r="P56" s="722">
        <f t="shared" si="7"/>
        <v>0</v>
      </c>
      <c r="Q56" s="723">
        <f t="shared" si="7"/>
        <v>0</v>
      </c>
      <c r="R56" s="724">
        <f ca="1">SUM(R54:R55)</f>
        <v>14207.790541883835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22369.566167911897</v>
      </c>
      <c r="D61" s="730">
        <f t="shared" ref="D61:Q61" ca="1" si="8">D46+D52+D56</f>
        <v>14664.368235258953</v>
      </c>
      <c r="E61" s="730">
        <f t="shared" ca="1" si="8"/>
        <v>27873.203714112871</v>
      </c>
      <c r="F61" s="730">
        <f t="shared" si="8"/>
        <v>1206.7477413005297</v>
      </c>
      <c r="G61" s="730">
        <f t="shared" ca="1" si="8"/>
        <v>4497.3582219718237</v>
      </c>
      <c r="H61" s="730">
        <f t="shared" si="8"/>
        <v>89489.279216736002</v>
      </c>
      <c r="I61" s="730">
        <f t="shared" si="8"/>
        <v>15350.230466652982</v>
      </c>
      <c r="J61" s="730">
        <f t="shared" si="8"/>
        <v>0</v>
      </c>
      <c r="K61" s="730">
        <f t="shared" si="8"/>
        <v>295.70081408593842</v>
      </c>
      <c r="L61" s="730">
        <f t="shared" si="8"/>
        <v>0</v>
      </c>
      <c r="M61" s="730">
        <f t="shared" ca="1" si="8"/>
        <v>0</v>
      </c>
      <c r="N61" s="730">
        <f t="shared" si="8"/>
        <v>0</v>
      </c>
      <c r="O61" s="730">
        <f t="shared" ca="1" si="8"/>
        <v>0</v>
      </c>
      <c r="P61" s="730">
        <f t="shared" si="8"/>
        <v>0</v>
      </c>
      <c r="Q61" s="730">
        <f t="shared" si="8"/>
        <v>0</v>
      </c>
      <c r="R61" s="730">
        <f ca="1">R46+R52+R56</f>
        <v>175746.45457803103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0.20903235264633788</v>
      </c>
      <c r="D63" s="776">
        <f t="shared" ca="1" si="9"/>
        <v>0.2376444566565942</v>
      </c>
      <c r="E63" s="975">
        <f t="shared" ca="1" si="9"/>
        <v>0.20199999999999999</v>
      </c>
      <c r="F63" s="776">
        <f t="shared" si="9"/>
        <v>0.22700000000000001</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9048.2955163329243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43195</v>
      </c>
      <c r="D76" s="958">
        <f>'lokale energieproductie'!C8</f>
        <v>50817.090620205876</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10265.052305281588</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9048.2955163329243</v>
      </c>
      <c r="C78" s="748">
        <f>SUM(C72:C77)</f>
        <v>43195</v>
      </c>
      <c r="D78" s="749">
        <f t="shared" ref="D78:H78" si="10">SUM(D76:D77)</f>
        <v>50817.090620205876</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10265.052305281588</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61707.175675675673</v>
      </c>
      <c r="D87" s="772">
        <f>'lokale energieproductie'!C17</f>
        <v>72595.88235276709</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14664.368235258953</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61707.175675675673</v>
      </c>
      <c r="D90" s="748">
        <f t="shared" ref="D90:H90" si="12">SUM(D87:D89)</f>
        <v>72595.88235276709</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14664.368235258953</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9" zoomScale="65" zoomScaleNormal="65" workbookViewId="0">
      <selection activeCell="M31" sqref="M3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9048.2955163329243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N32</f>
        <v>43195</v>
      </c>
      <c r="C8" s="548">
        <f>B51</f>
        <v>50817.090620205876</v>
      </c>
      <c r="D8" s="549"/>
      <c r="E8" s="549">
        <f>E51</f>
        <v>0</v>
      </c>
      <c r="F8" s="550"/>
      <c r="G8" s="551"/>
      <c r="H8" s="549">
        <f>I51</f>
        <v>0</v>
      </c>
      <c r="I8" s="549">
        <f>G51+F51</f>
        <v>0</v>
      </c>
      <c r="J8" s="549">
        <f>H51+D51+C51</f>
        <v>0</v>
      </c>
      <c r="K8" s="549"/>
      <c r="L8" s="549"/>
      <c r="M8" s="549"/>
      <c r="N8" s="552"/>
      <c r="O8" s="553">
        <f>C8*$C$12+D8*$D$12+E8*$E$12+F8*$F$12+G8*$G$12+H8*$H$12+I8*$I$12+J8*$J$12</f>
        <v>10265.052305281588</v>
      </c>
      <c r="P8" s="1244"/>
      <c r="Q8" s="1245"/>
      <c r="S8" s="543"/>
      <c r="T8" s="1232"/>
      <c r="U8" s="1232"/>
    </row>
    <row r="9" spans="1:21" s="534" customFormat="1" ht="17.45" customHeight="1" thickBot="1">
      <c r="A9" s="554" t="s">
        <v>247</v>
      </c>
      <c r="B9" s="555">
        <f>N39+'Eigen informatie GS &amp; warmtenet'!B12</f>
        <v>0</v>
      </c>
      <c r="C9" s="556">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52243.295516332924</v>
      </c>
      <c r="C10" s="563">
        <f t="shared" ref="C10:L10" si="0">SUM(C8:C9)</f>
        <v>50817.090620205876</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10265.052305281588</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O32</f>
        <v>61707.175675675673</v>
      </c>
      <c r="C17" s="579">
        <f>B52</f>
        <v>72595.88235276709</v>
      </c>
      <c r="D17" s="580"/>
      <c r="E17" s="580">
        <f>E52</f>
        <v>0</v>
      </c>
      <c r="F17" s="581"/>
      <c r="G17" s="582"/>
      <c r="H17" s="579">
        <f>I52</f>
        <v>0</v>
      </c>
      <c r="I17" s="580">
        <f>G52+F52</f>
        <v>0</v>
      </c>
      <c r="J17" s="580">
        <f>H52+D52+C52</f>
        <v>0</v>
      </c>
      <c r="K17" s="580"/>
      <c r="L17" s="580"/>
      <c r="M17" s="580"/>
      <c r="N17" s="972"/>
      <c r="O17" s="583">
        <f>C17*$C$22+E17*$E$22+H17*$H$22+I17*$I$22+J17*$J$22+D17*$D$22+F17*$F$22+G17*$G$22+K17*$K$22+L17*$L$22</f>
        <v>14664.368235258953</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61707.175675675673</v>
      </c>
      <c r="C20" s="562">
        <f>SUM(C17:C19)</f>
        <v>72595.88235276709</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14664.368235258953</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11024</v>
      </c>
      <c r="C28" s="791">
        <v>2550</v>
      </c>
      <c r="D28" s="640" t="s">
        <v>888</v>
      </c>
      <c r="E28" s="639" t="s">
        <v>889</v>
      </c>
      <c r="F28" s="639" t="s">
        <v>890</v>
      </c>
      <c r="G28" s="639" t="s">
        <v>891</v>
      </c>
      <c r="H28" s="639" t="s">
        <v>892</v>
      </c>
      <c r="I28" s="639" t="s">
        <v>889</v>
      </c>
      <c r="J28" s="790">
        <v>39444</v>
      </c>
      <c r="K28" s="790">
        <v>39444</v>
      </c>
      <c r="L28" s="639" t="s">
        <v>893</v>
      </c>
      <c r="M28" s="639">
        <v>4008</v>
      </c>
      <c r="N28" s="639">
        <v>18036</v>
      </c>
      <c r="O28" s="639">
        <v>25765.714285714286</v>
      </c>
      <c r="P28" s="639">
        <v>51531.428571428572</v>
      </c>
      <c r="Q28" s="639">
        <v>0</v>
      </c>
      <c r="R28" s="639">
        <v>0</v>
      </c>
      <c r="S28" s="639">
        <v>0</v>
      </c>
      <c r="T28" s="639">
        <v>0</v>
      </c>
      <c r="U28" s="639">
        <v>0</v>
      </c>
      <c r="V28" s="639">
        <v>0</v>
      </c>
      <c r="W28" s="639">
        <v>0</v>
      </c>
      <c r="X28" s="639">
        <v>10</v>
      </c>
      <c r="Y28" s="639" t="s">
        <v>111</v>
      </c>
      <c r="Z28" s="641" t="s">
        <v>111</v>
      </c>
    </row>
    <row r="29" spans="1:26" s="593" customFormat="1" ht="63.75">
      <c r="A29" s="592"/>
      <c r="B29" s="791">
        <v>11024</v>
      </c>
      <c r="C29" s="791">
        <v>2550</v>
      </c>
      <c r="D29" s="640" t="s">
        <v>894</v>
      </c>
      <c r="E29" s="639" t="s">
        <v>895</v>
      </c>
      <c r="F29" s="639" t="s">
        <v>896</v>
      </c>
      <c r="G29" s="639" t="s">
        <v>891</v>
      </c>
      <c r="H29" s="639" t="s">
        <v>892</v>
      </c>
      <c r="I29" s="639" t="s">
        <v>897</v>
      </c>
      <c r="J29" s="790">
        <v>41991</v>
      </c>
      <c r="K29" s="790">
        <v>39583</v>
      </c>
      <c r="L29" s="639" t="s">
        <v>893</v>
      </c>
      <c r="M29" s="639">
        <v>2861</v>
      </c>
      <c r="N29" s="639">
        <v>12874.500000000002</v>
      </c>
      <c r="O29" s="639">
        <v>18392.142857142859</v>
      </c>
      <c r="P29" s="639">
        <v>36784.285714285725</v>
      </c>
      <c r="Q29" s="639">
        <v>0</v>
      </c>
      <c r="R29" s="639">
        <v>0</v>
      </c>
      <c r="S29" s="639">
        <v>0</v>
      </c>
      <c r="T29" s="639">
        <v>0</v>
      </c>
      <c r="U29" s="639">
        <v>0</v>
      </c>
      <c r="V29" s="639">
        <v>0</v>
      </c>
      <c r="W29" s="639">
        <v>0</v>
      </c>
      <c r="X29" s="639">
        <v>1600</v>
      </c>
      <c r="Y29" s="639" t="s">
        <v>49</v>
      </c>
      <c r="Z29" s="641" t="s">
        <v>155</v>
      </c>
    </row>
    <row r="30" spans="1:26" s="593" customFormat="1" ht="25.5">
      <c r="A30" s="592"/>
      <c r="B30" s="791">
        <v>11024</v>
      </c>
      <c r="C30" s="791">
        <v>2550</v>
      </c>
      <c r="D30" s="640" t="s">
        <v>898</v>
      </c>
      <c r="E30" s="639" t="s">
        <v>899</v>
      </c>
      <c r="F30" s="639" t="s">
        <v>900</v>
      </c>
      <c r="G30" s="639" t="s">
        <v>891</v>
      </c>
      <c r="H30" s="639" t="s">
        <v>892</v>
      </c>
      <c r="I30" s="639" t="s">
        <v>899</v>
      </c>
      <c r="J30" s="790">
        <v>40849</v>
      </c>
      <c r="K30" s="790">
        <v>39645</v>
      </c>
      <c r="L30" s="639" t="s">
        <v>893</v>
      </c>
      <c r="M30" s="639">
        <v>2728</v>
      </c>
      <c r="N30" s="639">
        <v>12276.000000000002</v>
      </c>
      <c r="O30" s="639">
        <v>17537.142857142859</v>
      </c>
      <c r="P30" s="639">
        <v>35074.285714285725</v>
      </c>
      <c r="Q30" s="639">
        <v>0</v>
      </c>
      <c r="R30" s="639">
        <v>0</v>
      </c>
      <c r="S30" s="639">
        <v>0</v>
      </c>
      <c r="T30" s="639">
        <v>0</v>
      </c>
      <c r="U30" s="639">
        <v>0</v>
      </c>
      <c r="V30" s="639">
        <v>0</v>
      </c>
      <c r="W30" s="639">
        <v>0</v>
      </c>
      <c r="X30" s="639">
        <v>10</v>
      </c>
      <c r="Y30" s="639" t="s">
        <v>111</v>
      </c>
      <c r="Z30" s="641" t="s">
        <v>111</v>
      </c>
    </row>
    <row r="31" spans="1:26" s="593" customFormat="1" ht="25.5">
      <c r="A31" s="592"/>
      <c r="B31" s="791">
        <v>11024</v>
      </c>
      <c r="C31" s="791">
        <v>2550</v>
      </c>
      <c r="D31" s="640"/>
      <c r="E31" s="639"/>
      <c r="F31" s="639" t="s">
        <v>901</v>
      </c>
      <c r="G31" s="639" t="s">
        <v>902</v>
      </c>
      <c r="H31" s="639" t="s">
        <v>902</v>
      </c>
      <c r="I31" s="639" t="s">
        <v>903</v>
      </c>
      <c r="J31" s="790">
        <v>42311</v>
      </c>
      <c r="K31" s="790">
        <v>42280</v>
      </c>
      <c r="L31" s="639" t="s">
        <v>893</v>
      </c>
      <c r="M31" s="639">
        <v>1.7</v>
      </c>
      <c r="N31" s="639">
        <v>8.5</v>
      </c>
      <c r="O31" s="639">
        <v>12.175675675675675</v>
      </c>
      <c r="P31" s="639">
        <v>22.972972972972972</v>
      </c>
      <c r="Q31" s="639">
        <v>0</v>
      </c>
      <c r="R31" s="639">
        <v>0</v>
      </c>
      <c r="S31" s="639">
        <v>0</v>
      </c>
      <c r="T31" s="639">
        <v>0</v>
      </c>
      <c r="U31" s="639">
        <v>0</v>
      </c>
      <c r="V31" s="639">
        <v>0</v>
      </c>
      <c r="W31" s="639">
        <v>0</v>
      </c>
      <c r="X31" s="639">
        <v>10</v>
      </c>
      <c r="Y31" s="639" t="s">
        <v>111</v>
      </c>
      <c r="Z31" s="641" t="s">
        <v>111</v>
      </c>
    </row>
    <row r="32" spans="1:26" s="573" customFormat="1">
      <c r="A32" s="595" t="s">
        <v>279</v>
      </c>
      <c r="B32" s="596"/>
      <c r="C32" s="596"/>
      <c r="D32" s="596"/>
      <c r="E32" s="596"/>
      <c r="F32" s="596"/>
      <c r="G32" s="596"/>
      <c r="H32" s="596"/>
      <c r="I32" s="596"/>
      <c r="J32" s="596"/>
      <c r="K32" s="596"/>
      <c r="L32" s="597"/>
      <c r="M32" s="597">
        <f>SUM(M28:M31)</f>
        <v>9598.7000000000007</v>
      </c>
      <c r="N32" s="597">
        <f>SUM(N28:N31)</f>
        <v>43195</v>
      </c>
      <c r="O32" s="597">
        <f>SUM(O28:O31)</f>
        <v>61707.175675675673</v>
      </c>
      <c r="P32" s="597">
        <f>SUM(P28:P31)</f>
        <v>123412.97297297299</v>
      </c>
      <c r="Q32" s="597">
        <f>SUM(Q28:Q31)</f>
        <v>0</v>
      </c>
      <c r="R32" s="597">
        <f>SUM(R28:R31)</f>
        <v>0</v>
      </c>
      <c r="S32" s="597">
        <f>SUM(S28:S31)</f>
        <v>0</v>
      </c>
      <c r="T32" s="597">
        <f>SUM(T28:T31)</f>
        <v>0</v>
      </c>
      <c r="U32" s="597">
        <f>SUM(U28:U31)</f>
        <v>0</v>
      </c>
      <c r="V32" s="597">
        <f>SUM(V28:V31)</f>
        <v>0</v>
      </c>
      <c r="W32" s="597">
        <f>SUM(W28:W31)</f>
        <v>0</v>
      </c>
      <c r="X32" s="598"/>
      <c r="Y32" s="598"/>
      <c r="Z32" s="599"/>
    </row>
    <row r="33" spans="1:27" s="573" customFormat="1">
      <c r="A33" s="595" t="s">
        <v>286</v>
      </c>
      <c r="B33" s="596"/>
      <c r="C33" s="596"/>
      <c r="D33" s="596"/>
      <c r="E33" s="596"/>
      <c r="F33" s="596"/>
      <c r="G33" s="596"/>
      <c r="H33" s="596"/>
      <c r="I33" s="596"/>
      <c r="J33" s="596"/>
      <c r="K33" s="596"/>
      <c r="L33" s="597"/>
      <c r="M33" s="597">
        <f>SUMIF($Z$28:$Z$31,"industrie",M28:M31)</f>
        <v>0</v>
      </c>
      <c r="N33" s="597">
        <f>SUMIF($Z$28:$Z$31,"industrie",N28:N31)</f>
        <v>0</v>
      </c>
      <c r="O33" s="597">
        <f>SUMIF($Z$28:$Z$31,"industrie",O28:O31)</f>
        <v>0</v>
      </c>
      <c r="P33" s="597">
        <f>SUMIF($Z$28:$Z$31,"industrie",P28:P31)</f>
        <v>0</v>
      </c>
      <c r="Q33" s="597">
        <f>SUMIF($Z$28:$Z$31,"industrie",Q28:Q31)</f>
        <v>0</v>
      </c>
      <c r="R33" s="597">
        <f>SUMIF($Z$28:$Z$31,"industrie",R28:R31)</f>
        <v>0</v>
      </c>
      <c r="S33" s="597">
        <f>SUMIF($Z$28:$Z$31,"industrie",S28:S31)</f>
        <v>0</v>
      </c>
      <c r="T33" s="597">
        <f>SUMIF($Z$28:$Z$31,"industrie",T28:T31)</f>
        <v>0</v>
      </c>
      <c r="U33" s="597">
        <f>SUMIF($Z$28:$Z$31,"industrie",U28:U31)</f>
        <v>0</v>
      </c>
      <c r="V33" s="597">
        <f>SUMIF($Z$28:$Z$31,"industrie",V28:V31)</f>
        <v>0</v>
      </c>
      <c r="W33" s="597">
        <f>SUMIF($Z$28:$Z$31,"industrie",W28:W31)</f>
        <v>0</v>
      </c>
      <c r="X33" s="598"/>
      <c r="Y33" s="598"/>
      <c r="Z33" s="599"/>
    </row>
    <row r="34" spans="1:27" s="573" customFormat="1">
      <c r="A34" s="595" t="s">
        <v>287</v>
      </c>
      <c r="B34" s="596"/>
      <c r="C34" s="596"/>
      <c r="D34" s="596"/>
      <c r="E34" s="596"/>
      <c r="F34" s="596"/>
      <c r="G34" s="596"/>
      <c r="H34" s="596"/>
      <c r="I34" s="596"/>
      <c r="J34" s="596"/>
      <c r="K34" s="596"/>
      <c r="L34" s="597"/>
      <c r="M34" s="597">
        <f ca="1">SUMIF($Z$28:AC31,"tertiair",M28:M31)</f>
        <v>2861</v>
      </c>
      <c r="N34" s="597">
        <f ca="1">SUMIF($Z$28:AD31,"tertiair",N28:N31)</f>
        <v>12874.500000000002</v>
      </c>
      <c r="O34" s="597">
        <f ca="1">SUMIF($Z$28:AE31,"tertiair",O28:O31)</f>
        <v>18392.142857142859</v>
      </c>
      <c r="P34" s="597">
        <f ca="1">SUMIF($Z$28:AF31,"tertiair",P28:P31)</f>
        <v>36784.285714285725</v>
      </c>
      <c r="Q34" s="597">
        <f ca="1">SUMIF($Z$28:AG31,"tertiair",Q28:Q31)</f>
        <v>0</v>
      </c>
      <c r="R34" s="597">
        <f ca="1">SUMIF($Z$28:AH31,"tertiair",R28:R31)</f>
        <v>0</v>
      </c>
      <c r="S34" s="597">
        <f ca="1">SUMIF($Z$28:AI31,"tertiair",S28:S31)</f>
        <v>0</v>
      </c>
      <c r="T34" s="597">
        <f ca="1">SUMIF($Z$28:AJ31,"tertiair",T28:T31)</f>
        <v>0</v>
      </c>
      <c r="U34" s="597">
        <f ca="1">SUMIF($Z$28:AK31,"tertiair",U28:U31)</f>
        <v>0</v>
      </c>
      <c r="V34" s="597">
        <f ca="1">SUMIF($Z$28:AL31,"tertiair",V28:V31)</f>
        <v>0</v>
      </c>
      <c r="W34" s="597">
        <f ca="1">SUMIF($Z$28:AM31,"tertiair",W28:W31)</f>
        <v>0</v>
      </c>
      <c r="X34" s="598"/>
      <c r="Y34" s="598"/>
      <c r="Z34" s="599"/>
    </row>
    <row r="35" spans="1:27" s="573" customFormat="1" ht="15.75" thickBot="1">
      <c r="A35" s="600" t="s">
        <v>288</v>
      </c>
      <c r="B35" s="601"/>
      <c r="C35" s="601"/>
      <c r="D35" s="601"/>
      <c r="E35" s="601"/>
      <c r="F35" s="601"/>
      <c r="G35" s="601"/>
      <c r="H35" s="601"/>
      <c r="I35" s="601"/>
      <c r="J35" s="601"/>
      <c r="K35" s="601"/>
      <c r="L35" s="602"/>
      <c r="M35" s="602">
        <f>SUMIF($Z$28:$Z$31,"landbouw",M28:M31)</f>
        <v>6737.7</v>
      </c>
      <c r="N35" s="602">
        <f>SUMIF($Z$28:$Z$31,"landbouw",N28:N31)</f>
        <v>30320.5</v>
      </c>
      <c r="O35" s="602">
        <f>SUMIF($Z$28:$Z$31,"landbouw",O28:O31)</f>
        <v>43315.032818532818</v>
      </c>
      <c r="P35" s="602">
        <f>SUMIF($Z$28:$Z$31,"landbouw",P28:P31)</f>
        <v>86628.687258687263</v>
      </c>
      <c r="Q35" s="602">
        <f>SUMIF($Z$28:$Z$31,"landbouw",Q28:Q31)</f>
        <v>0</v>
      </c>
      <c r="R35" s="602">
        <f>SUMIF($Z$28:$Z$31,"landbouw",R28:R31)</f>
        <v>0</v>
      </c>
      <c r="S35" s="602">
        <f>SUMIF($Z$28:$Z$31,"landbouw",S28:S31)</f>
        <v>0</v>
      </c>
      <c r="T35" s="602">
        <f>SUMIF($Z$28:$Z$31,"landbouw",T28:T31)</f>
        <v>0</v>
      </c>
      <c r="U35" s="602">
        <f>SUMIF($Z$28:$Z$31,"landbouw",U28:U31)</f>
        <v>0</v>
      </c>
      <c r="V35" s="602">
        <f>SUMIF($Z$28:$Z$31,"landbouw",V28:V31)</f>
        <v>0</v>
      </c>
      <c r="W35" s="602">
        <f>SUMIF($Z$28:$Z$31,"landbouw",W28:W31)</f>
        <v>0</v>
      </c>
      <c r="X35" s="603"/>
      <c r="Y35" s="603"/>
      <c r="Z35" s="604"/>
    </row>
    <row r="36" spans="1:27" s="534" customFormat="1" ht="15.75" thickBot="1">
      <c r="A36" s="605"/>
      <c r="B36" s="606"/>
      <c r="C36" s="606"/>
      <c r="D36" s="606"/>
      <c r="E36" s="606"/>
      <c r="F36" s="606"/>
      <c r="G36" s="606"/>
      <c r="H36" s="606"/>
      <c r="I36" s="606"/>
      <c r="J36" s="606"/>
      <c r="K36" s="606"/>
      <c r="L36" s="589"/>
      <c r="M36" s="589"/>
      <c r="N36" s="589"/>
      <c r="O36" s="590"/>
      <c r="P36" s="590"/>
    </row>
    <row r="37" spans="1:27" s="534" customFormat="1" ht="45">
      <c r="A37" s="607" t="s">
        <v>280</v>
      </c>
      <c r="B37" s="636" t="s">
        <v>89</v>
      </c>
      <c r="C37" s="636" t="s">
        <v>90</v>
      </c>
      <c r="D37" s="636" t="s">
        <v>91</v>
      </c>
      <c r="E37" s="636" t="s">
        <v>92</v>
      </c>
      <c r="F37" s="636" t="s">
        <v>93</v>
      </c>
      <c r="G37" s="636" t="s">
        <v>94</v>
      </c>
      <c r="H37" s="636" t="s">
        <v>95</v>
      </c>
      <c r="I37" s="636" t="s">
        <v>96</v>
      </c>
      <c r="J37" s="636" t="s">
        <v>97</v>
      </c>
      <c r="K37" s="636" t="s">
        <v>98</v>
      </c>
      <c r="L37" s="636" t="s">
        <v>99</v>
      </c>
      <c r="M37" s="637" t="s">
        <v>297</v>
      </c>
      <c r="N37" s="637" t="s">
        <v>100</v>
      </c>
      <c r="O37" s="637" t="s">
        <v>101</v>
      </c>
      <c r="P37" s="637" t="s">
        <v>524</v>
      </c>
      <c r="Q37" s="637" t="s">
        <v>102</v>
      </c>
      <c r="R37" s="637" t="s">
        <v>103</v>
      </c>
      <c r="S37" s="637" t="s">
        <v>104</v>
      </c>
      <c r="T37" s="637" t="s">
        <v>105</v>
      </c>
      <c r="U37" s="637" t="s">
        <v>106</v>
      </c>
      <c r="V37" s="637" t="s">
        <v>107</v>
      </c>
      <c r="W37" s="636" t="s">
        <v>108</v>
      </c>
      <c r="X37" s="636" t="s">
        <v>298</v>
      </c>
      <c r="Y37" s="636" t="s">
        <v>109</v>
      </c>
      <c r="Z37" s="638" t="s">
        <v>299</v>
      </c>
    </row>
    <row r="38" spans="1:27" s="608" customFormat="1" ht="12.75">
      <c r="A38" s="594"/>
      <c r="B38" s="791"/>
      <c r="C38" s="791"/>
      <c r="D38" s="642"/>
      <c r="E38" s="642"/>
      <c r="F38" s="642"/>
      <c r="G38" s="642"/>
      <c r="H38" s="642"/>
      <c r="I38" s="642"/>
      <c r="J38" s="790"/>
      <c r="K38" s="790"/>
      <c r="L38" s="642"/>
      <c r="M38" s="642"/>
      <c r="N38" s="642"/>
      <c r="O38" s="642"/>
      <c r="P38" s="642"/>
      <c r="Q38" s="642"/>
      <c r="R38" s="642"/>
      <c r="S38" s="642"/>
      <c r="T38" s="642"/>
      <c r="U38" s="642"/>
      <c r="V38" s="642"/>
      <c r="W38" s="642"/>
      <c r="X38" s="642"/>
      <c r="Y38" s="642"/>
      <c r="Z38" s="643"/>
    </row>
    <row r="39" spans="1:27" s="573" customFormat="1">
      <c r="A39" s="595" t="s">
        <v>279</v>
      </c>
      <c r="B39" s="596"/>
      <c r="C39" s="596"/>
      <c r="D39" s="596"/>
      <c r="E39" s="596"/>
      <c r="F39" s="596"/>
      <c r="G39" s="596"/>
      <c r="H39" s="596"/>
      <c r="I39" s="596"/>
      <c r="J39" s="596"/>
      <c r="K39" s="596"/>
      <c r="L39" s="597"/>
      <c r="M39" s="597">
        <f>SUM(M38:M38)</f>
        <v>0</v>
      </c>
      <c r="N39" s="597">
        <f>SUM(N38:N38)</f>
        <v>0</v>
      </c>
      <c r="O39" s="597">
        <f>SUM(O38:O38)</f>
        <v>0</v>
      </c>
      <c r="P39" s="597">
        <f>SUM(P38:P38)</f>
        <v>0</v>
      </c>
      <c r="Q39" s="597">
        <f>SUM(Q38:Q38)</f>
        <v>0</v>
      </c>
      <c r="R39" s="597">
        <f>SUM(R38:R38)</f>
        <v>0</v>
      </c>
      <c r="S39" s="597">
        <f>SUM(S38:S38)</f>
        <v>0</v>
      </c>
      <c r="T39" s="597">
        <f>SUM(T38:T38)</f>
        <v>0</v>
      </c>
      <c r="U39" s="597">
        <f>SUM(U38:U38)</f>
        <v>0</v>
      </c>
      <c r="V39" s="597">
        <f>SUM(V38:V38)</f>
        <v>0</v>
      </c>
      <c r="W39" s="597">
        <f>SUM(W38:W38)</f>
        <v>0</v>
      </c>
      <c r="X39" s="598"/>
      <c r="Y39" s="598"/>
      <c r="Z39" s="599"/>
    </row>
    <row r="40" spans="1:27" s="573" customFormat="1">
      <c r="A40" s="595" t="s">
        <v>286</v>
      </c>
      <c r="B40" s="596"/>
      <c r="C40" s="596"/>
      <c r="D40" s="596"/>
      <c r="E40" s="596"/>
      <c r="F40" s="596"/>
      <c r="G40" s="596"/>
      <c r="H40" s="596"/>
      <c r="I40" s="596"/>
      <c r="J40" s="596"/>
      <c r="K40" s="596"/>
      <c r="L40" s="597"/>
      <c r="M40" s="597">
        <f>SUMIF($Z$38:$Z$38,"industrie",M38:M38)</f>
        <v>0</v>
      </c>
      <c r="N40" s="597">
        <f>SUMIF($Z$38:$Z$38,"industrie",N38:N38)</f>
        <v>0</v>
      </c>
      <c r="O40" s="597">
        <f>SUMIF($Z$38:$Z$38,"industrie",O38:O38)</f>
        <v>0</v>
      </c>
      <c r="P40" s="597">
        <f>SUMIF($Z$38:$Z$38,"industrie",P38:P38)</f>
        <v>0</v>
      </c>
      <c r="Q40" s="597">
        <f>SUMIF($Z$38:$Z$38,"industrie",Q38:Q38)</f>
        <v>0</v>
      </c>
      <c r="R40" s="597">
        <f>SUMIF($Z$38:$Z$38,"industrie",R38:R38)</f>
        <v>0</v>
      </c>
      <c r="S40" s="597">
        <f>SUMIF($Z$38:$Z$38,"industrie",S38:S38)</f>
        <v>0</v>
      </c>
      <c r="T40" s="597">
        <f>SUMIF($Z$38:$Z$38,"industrie",T38:T38)</f>
        <v>0</v>
      </c>
      <c r="U40" s="597">
        <f>SUMIF($Z$38:$Z$38,"industrie",U38:U38)</f>
        <v>0</v>
      </c>
      <c r="V40" s="597">
        <f>SUMIF($Z$38:$Z$38,"industrie",V38:V38)</f>
        <v>0</v>
      </c>
      <c r="W40" s="597">
        <f>SUMIF($Z$38:$Z$38,"industrie",W38:W38)</f>
        <v>0</v>
      </c>
      <c r="X40" s="598"/>
      <c r="Y40" s="598"/>
      <c r="Z40" s="599"/>
    </row>
    <row r="41" spans="1:27" s="573" customFormat="1">
      <c r="A41" s="595" t="s">
        <v>287</v>
      </c>
      <c r="B41" s="596"/>
      <c r="C41" s="596"/>
      <c r="D41" s="596"/>
      <c r="E41" s="596"/>
      <c r="F41" s="596"/>
      <c r="G41" s="596"/>
      <c r="H41" s="596"/>
      <c r="I41" s="596"/>
      <c r="J41" s="596"/>
      <c r="K41" s="596"/>
      <c r="L41" s="597"/>
      <c r="M41" s="597">
        <f>SUMIF($Z$38:$Z$39,"tertiair",M38:M39)</f>
        <v>0</v>
      </c>
      <c r="N41" s="597">
        <f>SUMIF($Z$38:$Z$39,"tertiair",N38:N39)</f>
        <v>0</v>
      </c>
      <c r="O41" s="597">
        <f>SUMIF($Z$38:$Z$39,"tertiair",O38:O39)</f>
        <v>0</v>
      </c>
      <c r="P41" s="597">
        <f>SUMIF($Z$38:$Z$39,"tertiair",P38:P39)</f>
        <v>0</v>
      </c>
      <c r="Q41" s="597">
        <f>SUMIF($Z$38:$Z$39,"tertiair",Q38:Q39)</f>
        <v>0</v>
      </c>
      <c r="R41" s="597">
        <f>SUMIF($Z$38:$Z$39,"tertiair",R38:R39)</f>
        <v>0</v>
      </c>
      <c r="S41" s="597">
        <f>SUMIF($Z$38:$Z$39,"tertiair",S38:S39)</f>
        <v>0</v>
      </c>
      <c r="T41" s="597">
        <f>SUMIF($Z$38:$Z$39,"tertiair",T38:T39)</f>
        <v>0</v>
      </c>
      <c r="U41" s="597">
        <f>SUMIF($Z$38:$Z$39,"tertiair",U38:U39)</f>
        <v>0</v>
      </c>
      <c r="V41" s="597">
        <f>SUMIF($Z$38:$Z$39,"tertiair",V38:V39)</f>
        <v>0</v>
      </c>
      <c r="W41" s="597">
        <f>SUMIF($Z$38:$Z$39,"tertiair",W38:W39)</f>
        <v>0</v>
      </c>
      <c r="X41" s="598"/>
      <c r="Y41" s="598"/>
      <c r="Z41" s="599"/>
    </row>
    <row r="42" spans="1:27" s="573" customFormat="1" ht="15.75" thickBot="1">
      <c r="A42" s="600" t="s">
        <v>288</v>
      </c>
      <c r="B42" s="601"/>
      <c r="C42" s="601"/>
      <c r="D42" s="601"/>
      <c r="E42" s="601"/>
      <c r="F42" s="601"/>
      <c r="G42" s="601"/>
      <c r="H42" s="601"/>
      <c r="I42" s="601"/>
      <c r="J42" s="601"/>
      <c r="K42" s="601"/>
      <c r="L42" s="602"/>
      <c r="M42" s="602">
        <f>SUMIF($Z$38:$Z$40,"landbouw",M38:M40)</f>
        <v>0</v>
      </c>
      <c r="N42" s="602">
        <f>SUMIF($Z$38:$Z$40,"landbouw",N38:N40)</f>
        <v>0</v>
      </c>
      <c r="O42" s="602">
        <f>SUMIF($Z$38:$Z$40,"landbouw",O38:O40)</f>
        <v>0</v>
      </c>
      <c r="P42" s="602">
        <f>SUMIF($Z$38:$Z$40,"landbouw",P38:P40)</f>
        <v>0</v>
      </c>
      <c r="Q42" s="602">
        <f>SUMIF($Z$38:$Z$40,"landbouw",Q38:Q40)</f>
        <v>0</v>
      </c>
      <c r="R42" s="602">
        <f>SUMIF($Z$38:$Z$40,"landbouw",R38:R40)</f>
        <v>0</v>
      </c>
      <c r="S42" s="602">
        <f>SUMIF($Z$38:$Z$40,"landbouw",S38:S40)</f>
        <v>0</v>
      </c>
      <c r="T42" s="602">
        <f>SUMIF($Z$38:$Z$40,"landbouw",T38:T40)</f>
        <v>0</v>
      </c>
      <c r="U42" s="602">
        <f>SUMIF($Z$38:$Z$40,"landbouw",U38:U40)</f>
        <v>0</v>
      </c>
      <c r="V42" s="602">
        <f>SUMIF($Z$38:$Z$40,"landbouw",V38:V40)</f>
        <v>0</v>
      </c>
      <c r="W42" s="602">
        <f>SUMIF($Z$38:$Z$40,"landbouw",W38:W40)</f>
        <v>0</v>
      </c>
      <c r="X42" s="603"/>
      <c r="Y42" s="603"/>
      <c r="Z42" s="604"/>
    </row>
    <row r="43" spans="1:27" s="609" customForma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row>
    <row r="44" spans="1:27" s="609" customFormat="1" ht="15.75" thickBo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c r="Z44" s="589"/>
      <c r="AA44" s="589"/>
    </row>
    <row r="45" spans="1:27">
      <c r="A45" s="610" t="s">
        <v>281</v>
      </c>
      <c r="B45" s="611"/>
      <c r="C45" s="611"/>
      <c r="D45" s="611"/>
      <c r="E45" s="611"/>
      <c r="F45" s="611"/>
      <c r="G45" s="611"/>
      <c r="H45" s="611"/>
      <c r="I45" s="612"/>
      <c r="J45" s="613"/>
      <c r="K45" s="613"/>
      <c r="L45" s="614"/>
      <c r="M45" s="614"/>
      <c r="N45" s="614"/>
      <c r="O45" s="614"/>
      <c r="P45" s="614"/>
    </row>
    <row r="46" spans="1:27">
      <c r="A46" s="616"/>
      <c r="B46" s="606"/>
      <c r="C46" s="606"/>
      <c r="D46" s="606"/>
      <c r="E46" s="606"/>
      <c r="F46" s="606"/>
      <c r="G46" s="606"/>
      <c r="H46" s="606"/>
      <c r="I46" s="617"/>
      <c r="J46" s="606"/>
      <c r="K46" s="606"/>
      <c r="L46" s="614"/>
      <c r="M46" s="614"/>
      <c r="N46" s="614"/>
      <c r="O46" s="614"/>
      <c r="P46" s="614"/>
    </row>
    <row r="47" spans="1:27">
      <c r="A47" s="618"/>
      <c r="B47" s="619" t="s">
        <v>282</v>
      </c>
      <c r="C47" s="619" t="s">
        <v>283</v>
      </c>
      <c r="D47" s="619"/>
      <c r="E47" s="619"/>
      <c r="F47" s="619"/>
      <c r="G47" s="619"/>
      <c r="H47" s="619"/>
      <c r="I47" s="620"/>
      <c r="J47" s="619"/>
      <c r="K47" s="619"/>
      <c r="L47" s="619"/>
      <c r="M47" s="619"/>
      <c r="N47" s="619"/>
      <c r="O47" s="619"/>
      <c r="P47" s="614"/>
    </row>
    <row r="48" spans="1:27">
      <c r="A48" s="616" t="s">
        <v>279</v>
      </c>
      <c r="B48" s="621">
        <f>IF(ISERROR(O32/(O32+N32)),0,O32/(O32+N32))</f>
        <v>0.5882354229377923</v>
      </c>
      <c r="C48" s="622">
        <f>IF(ISERROR(N32/(O32+N32)),0,N32/(N32+O32))</f>
        <v>0.41176457706220759</v>
      </c>
      <c r="D48" s="589"/>
      <c r="E48" s="589"/>
      <c r="F48" s="589"/>
      <c r="G48" s="589"/>
      <c r="H48" s="589"/>
      <c r="I48" s="623"/>
      <c r="J48" s="589"/>
      <c r="K48" s="589"/>
      <c r="L48" s="624"/>
      <c r="M48" s="624"/>
      <c r="N48" s="624"/>
      <c r="O48" s="624"/>
      <c r="P48" s="614"/>
    </row>
    <row r="49" spans="1:16">
      <c r="A49" s="616"/>
      <c r="B49" s="625"/>
      <c r="C49" s="625"/>
      <c r="D49" s="625"/>
      <c r="E49" s="625"/>
      <c r="F49" s="625"/>
      <c r="G49" s="625"/>
      <c r="H49" s="625"/>
      <c r="I49" s="626"/>
      <c r="J49" s="625"/>
      <c r="K49" s="625"/>
      <c r="L49" s="627"/>
      <c r="M49" s="627"/>
      <c r="N49" s="627"/>
      <c r="O49" s="627"/>
      <c r="P49" s="614"/>
    </row>
    <row r="50" spans="1:16" ht="30">
      <c r="A50" s="628"/>
      <c r="B50" s="629" t="s">
        <v>524</v>
      </c>
      <c r="C50" s="629" t="s">
        <v>102</v>
      </c>
      <c r="D50" s="629" t="s">
        <v>103</v>
      </c>
      <c r="E50" s="629" t="s">
        <v>104</v>
      </c>
      <c r="F50" s="629" t="s">
        <v>105</v>
      </c>
      <c r="G50" s="629" t="s">
        <v>106</v>
      </c>
      <c r="H50" s="629" t="s">
        <v>107</v>
      </c>
      <c r="I50" s="630" t="s">
        <v>108</v>
      </c>
      <c r="J50" s="619"/>
      <c r="K50" s="619"/>
      <c r="L50" s="627"/>
      <c r="M50" s="627"/>
      <c r="N50" s="627"/>
      <c r="O50" s="614"/>
      <c r="P50" s="614"/>
    </row>
    <row r="51" spans="1:16">
      <c r="A51" s="618" t="s">
        <v>284</v>
      </c>
      <c r="B51" s="631">
        <f t="shared" ref="B51:I51" si="2">$C$48*P32</f>
        <v>50817.090620205876</v>
      </c>
      <c r="C51" s="631">
        <f t="shared" si="2"/>
        <v>0</v>
      </c>
      <c r="D51" s="631">
        <f t="shared" si="2"/>
        <v>0</v>
      </c>
      <c r="E51" s="631">
        <f t="shared" si="2"/>
        <v>0</v>
      </c>
      <c r="F51" s="631">
        <f t="shared" si="2"/>
        <v>0</v>
      </c>
      <c r="G51" s="631">
        <f t="shared" si="2"/>
        <v>0</v>
      </c>
      <c r="H51" s="631">
        <f t="shared" si="2"/>
        <v>0</v>
      </c>
      <c r="I51" s="632">
        <f t="shared" si="2"/>
        <v>0</v>
      </c>
      <c r="J51" s="589"/>
      <c r="K51" s="589"/>
      <c r="L51" s="627"/>
      <c r="M51" s="627"/>
      <c r="N51" s="627"/>
      <c r="O51" s="614"/>
      <c r="P51" s="614"/>
    </row>
    <row r="52" spans="1:16" ht="15.75" thickBot="1">
      <c r="A52" s="633" t="s">
        <v>285</v>
      </c>
      <c r="B52" s="634">
        <f t="shared" ref="B52:I52" si="3">$B$48*P32</f>
        <v>72595.88235276709</v>
      </c>
      <c r="C52" s="634">
        <f t="shared" si="3"/>
        <v>0</v>
      </c>
      <c r="D52" s="634">
        <f t="shared" si="3"/>
        <v>0</v>
      </c>
      <c r="E52" s="634">
        <f t="shared" si="3"/>
        <v>0</v>
      </c>
      <c r="F52" s="634">
        <f t="shared" si="3"/>
        <v>0</v>
      </c>
      <c r="G52" s="634">
        <f t="shared" si="3"/>
        <v>0</v>
      </c>
      <c r="H52" s="634">
        <f t="shared" si="3"/>
        <v>0</v>
      </c>
      <c r="I52" s="635">
        <f t="shared" si="3"/>
        <v>0</v>
      </c>
      <c r="J52" s="589"/>
      <c r="K52" s="589"/>
      <c r="L52" s="627"/>
      <c r="M52" s="627"/>
      <c r="N52" s="627"/>
      <c r="O52" s="614"/>
      <c r="P52" s="614"/>
    </row>
    <row r="53" spans="1:16">
      <c r="J53" s="569"/>
      <c r="K53" s="569"/>
      <c r="L53" s="569"/>
      <c r="M53" s="569"/>
      <c r="N53" s="569"/>
    </row>
    <row r="54" spans="1:16">
      <c r="J54" s="569"/>
      <c r="K54" s="569"/>
      <c r="L54" s="569"/>
      <c r="M54" s="569"/>
      <c r="N54"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35034.525890630081</v>
      </c>
      <c r="C4" s="452">
        <f>huishoudens!C8</f>
        <v>0</v>
      </c>
      <c r="D4" s="452">
        <f>huishoudens!D8</f>
        <v>100406.7652786</v>
      </c>
      <c r="E4" s="452">
        <f>huishoudens!E8</f>
        <v>2731.1667705302416</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8519.2413525157244</v>
      </c>
      <c r="O4" s="452">
        <f>huishoudens!O8</f>
        <v>357.1124794896657</v>
      </c>
      <c r="P4" s="453">
        <f>huishoudens!P8</f>
        <v>674.17339569184151</v>
      </c>
      <c r="Q4" s="454">
        <f>SUM(B4:P4)</f>
        <v>147722.98516745758</v>
      </c>
    </row>
    <row r="5" spans="1:17">
      <c r="A5" s="451" t="s">
        <v>155</v>
      </c>
      <c r="B5" s="452">
        <f ca="1">tertiair!B16</f>
        <v>54472.999992000005</v>
      </c>
      <c r="C5" s="452">
        <f ca="1">tertiair!C16</f>
        <v>18392.142857142859</v>
      </c>
      <c r="D5" s="452">
        <f ca="1">tertiair!D16</f>
        <v>22219.968441044279</v>
      </c>
      <c r="E5" s="452">
        <f>tertiair!E16</f>
        <v>695.97698141922581</v>
      </c>
      <c r="F5" s="452">
        <f ca="1">tertiair!F16</f>
        <v>4561.9145475832838</v>
      </c>
      <c r="G5" s="452">
        <f>tertiair!G16</f>
        <v>0</v>
      </c>
      <c r="H5" s="452">
        <f>tertiair!H16</f>
        <v>0</v>
      </c>
      <c r="I5" s="452">
        <f>tertiair!I16</f>
        <v>0</v>
      </c>
      <c r="J5" s="452">
        <f>tertiair!J16</f>
        <v>2.6632090628040599E-2</v>
      </c>
      <c r="K5" s="452">
        <f>tertiair!K16</f>
        <v>0</v>
      </c>
      <c r="L5" s="452">
        <f ca="1">tertiair!L16</f>
        <v>0</v>
      </c>
      <c r="M5" s="452">
        <f>tertiair!M16</f>
        <v>0</v>
      </c>
      <c r="N5" s="452">
        <f ca="1">tertiair!N16</f>
        <v>1066.7879578801442</v>
      </c>
      <c r="O5" s="452">
        <f>tertiair!O16</f>
        <v>0</v>
      </c>
      <c r="P5" s="453">
        <f>tertiair!P16</f>
        <v>315.23482983897009</v>
      </c>
      <c r="Q5" s="451">
        <f t="shared" ref="Q5:Q14" ca="1" si="0">SUM(B5:P5)</f>
        <v>101725.05223899939</v>
      </c>
    </row>
    <row r="6" spans="1:17">
      <c r="A6" s="451" t="s">
        <v>193</v>
      </c>
      <c r="B6" s="452">
        <f>'openbare verlichting'!B8</f>
        <v>1381.424</v>
      </c>
      <c r="C6" s="452"/>
      <c r="D6" s="452"/>
      <c r="E6" s="452"/>
      <c r="F6" s="452"/>
      <c r="G6" s="452"/>
      <c r="H6" s="452"/>
      <c r="I6" s="452"/>
      <c r="J6" s="452"/>
      <c r="K6" s="452"/>
      <c r="L6" s="452"/>
      <c r="M6" s="452"/>
      <c r="N6" s="452"/>
      <c r="O6" s="452"/>
      <c r="P6" s="453"/>
      <c r="Q6" s="451">
        <f t="shared" si="0"/>
        <v>1381.424</v>
      </c>
    </row>
    <row r="7" spans="1:17">
      <c r="A7" s="451" t="s">
        <v>111</v>
      </c>
      <c r="B7" s="452">
        <f>landbouw!B8</f>
        <v>2368.5612639999999</v>
      </c>
      <c r="C7" s="452">
        <f>landbouw!C8</f>
        <v>43315.032818532818</v>
      </c>
      <c r="D7" s="452">
        <f>landbouw!D8</f>
        <v>0</v>
      </c>
      <c r="E7" s="452">
        <f>landbouw!E8</f>
        <v>73.922015994292266</v>
      </c>
      <c r="F7" s="452">
        <f>landbouw!F8</f>
        <v>8370.7578891148078</v>
      </c>
      <c r="G7" s="452">
        <f>landbouw!G8</f>
        <v>0</v>
      </c>
      <c r="H7" s="452">
        <f>landbouw!H8</f>
        <v>0</v>
      </c>
      <c r="I7" s="452">
        <f>landbouw!I8</f>
        <v>0</v>
      </c>
      <c r="J7" s="452">
        <f>landbouw!J8</f>
        <v>652.55505406041095</v>
      </c>
      <c r="K7" s="452">
        <f>landbouw!K8</f>
        <v>0</v>
      </c>
      <c r="L7" s="452">
        <f>landbouw!L8</f>
        <v>0</v>
      </c>
      <c r="M7" s="452">
        <f>landbouw!M8</f>
        <v>0</v>
      </c>
      <c r="N7" s="452">
        <f>landbouw!N8</f>
        <v>0</v>
      </c>
      <c r="O7" s="452">
        <f>landbouw!O8</f>
        <v>0</v>
      </c>
      <c r="P7" s="453">
        <f>landbouw!P8</f>
        <v>0</v>
      </c>
      <c r="Q7" s="451">
        <f t="shared" si="0"/>
        <v>54780.829041702324</v>
      </c>
    </row>
    <row r="8" spans="1:17">
      <c r="A8" s="451" t="s">
        <v>625</v>
      </c>
      <c r="B8" s="452">
        <f>industrie!B18</f>
        <v>12096.850570999999</v>
      </c>
      <c r="C8" s="452">
        <f>industrie!C18</f>
        <v>0</v>
      </c>
      <c r="D8" s="452">
        <f>industrie!D18</f>
        <v>11602.109142734002</v>
      </c>
      <c r="E8" s="452">
        <f>industrie!E18</f>
        <v>1197.0861073034594</v>
      </c>
      <c r="F8" s="452">
        <f>industrie!F18</f>
        <v>3911.365847840575</v>
      </c>
      <c r="G8" s="452">
        <f>industrie!G18</f>
        <v>0</v>
      </c>
      <c r="H8" s="452">
        <f>industrie!H18</f>
        <v>0</v>
      </c>
      <c r="I8" s="452">
        <f>industrie!I18</f>
        <v>0</v>
      </c>
      <c r="J8" s="452">
        <f>industrie!J18</f>
        <v>182.73134799003009</v>
      </c>
      <c r="K8" s="452">
        <f>industrie!K18</f>
        <v>0</v>
      </c>
      <c r="L8" s="452">
        <f>industrie!L18</f>
        <v>0</v>
      </c>
      <c r="M8" s="452">
        <f>industrie!M18</f>
        <v>0</v>
      </c>
      <c r="N8" s="452">
        <f>industrie!N18</f>
        <v>541.08797718861842</v>
      </c>
      <c r="O8" s="452">
        <f>industrie!O18</f>
        <v>0</v>
      </c>
      <c r="P8" s="453">
        <f>industrie!P18</f>
        <v>0</v>
      </c>
      <c r="Q8" s="451">
        <f t="shared" si="0"/>
        <v>29531.230994056685</v>
      </c>
    </row>
    <row r="9" spans="1:17" s="457" customFormat="1">
      <c r="A9" s="455" t="s">
        <v>551</v>
      </c>
      <c r="B9" s="456">
        <f>transport!B14</f>
        <v>188.6681162064971</v>
      </c>
      <c r="C9" s="456">
        <f>transport!C14</f>
        <v>0</v>
      </c>
      <c r="D9" s="456">
        <f>transport!D14</f>
        <v>645.07805018049157</v>
      </c>
      <c r="E9" s="456">
        <f>transport!E14</f>
        <v>617.91746968903476</v>
      </c>
      <c r="F9" s="456">
        <f>transport!F14</f>
        <v>0</v>
      </c>
      <c r="G9" s="456">
        <f>transport!G14</f>
        <v>333321.90395664534</v>
      </c>
      <c r="H9" s="456">
        <f>transport!H14</f>
        <v>61647.511914269002</v>
      </c>
      <c r="I9" s="456">
        <f>transport!I14</f>
        <v>0</v>
      </c>
      <c r="J9" s="456">
        <f>transport!J14</f>
        <v>0</v>
      </c>
      <c r="K9" s="456">
        <f>transport!K14</f>
        <v>0</v>
      </c>
      <c r="L9" s="456">
        <f>transport!L14</f>
        <v>0</v>
      </c>
      <c r="M9" s="456">
        <f>transport!M14</f>
        <v>23294.950668078312</v>
      </c>
      <c r="N9" s="456">
        <f>transport!N14</f>
        <v>0</v>
      </c>
      <c r="O9" s="456">
        <f>transport!O14</f>
        <v>0</v>
      </c>
      <c r="P9" s="456">
        <f>transport!P14</f>
        <v>0</v>
      </c>
      <c r="Q9" s="455">
        <f>SUM(B9:P9)</f>
        <v>419716.03017506871</v>
      </c>
    </row>
    <row r="10" spans="1:17">
      <c r="A10" s="451" t="s">
        <v>541</v>
      </c>
      <c r="B10" s="452">
        <f>transport!B54</f>
        <v>0</v>
      </c>
      <c r="C10" s="452">
        <f>transport!C54</f>
        <v>0</v>
      </c>
      <c r="D10" s="452">
        <f>transport!D54</f>
        <v>0</v>
      </c>
      <c r="E10" s="452">
        <f>transport!E54</f>
        <v>0</v>
      </c>
      <c r="F10" s="452">
        <f>transport!F54</f>
        <v>0</v>
      </c>
      <c r="G10" s="452">
        <f>transport!G54</f>
        <v>1843.9358064108001</v>
      </c>
      <c r="H10" s="452">
        <f>transport!H54</f>
        <v>0</v>
      </c>
      <c r="I10" s="452">
        <f>transport!I54</f>
        <v>0</v>
      </c>
      <c r="J10" s="452">
        <f>transport!J54</f>
        <v>0</v>
      </c>
      <c r="K10" s="452">
        <f>transport!K54</f>
        <v>0</v>
      </c>
      <c r="L10" s="452">
        <f>transport!L54</f>
        <v>0</v>
      </c>
      <c r="M10" s="452">
        <f>transport!M54</f>
        <v>102.47003203096534</v>
      </c>
      <c r="N10" s="452">
        <f>transport!N54</f>
        <v>0</v>
      </c>
      <c r="O10" s="452">
        <f>transport!O54</f>
        <v>0</v>
      </c>
      <c r="P10" s="453">
        <f>transport!P54</f>
        <v>0</v>
      </c>
      <c r="Q10" s="451">
        <f t="shared" si="0"/>
        <v>1946.4058384417654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1471.8216219999999</v>
      </c>
      <c r="C14" s="459"/>
      <c r="D14" s="459">
        <f>'SEAP template'!E25</f>
        <v>3112.2360880000001</v>
      </c>
      <c r="E14" s="459"/>
      <c r="F14" s="459"/>
      <c r="G14" s="459"/>
      <c r="H14" s="459"/>
      <c r="I14" s="459"/>
      <c r="J14" s="459"/>
      <c r="K14" s="459"/>
      <c r="L14" s="459"/>
      <c r="M14" s="459"/>
      <c r="N14" s="459"/>
      <c r="O14" s="459"/>
      <c r="P14" s="460"/>
      <c r="Q14" s="451">
        <f t="shared" si="0"/>
        <v>4584.05771</v>
      </c>
    </row>
    <row r="15" spans="1:17" s="463" customFormat="1">
      <c r="A15" s="461" t="s">
        <v>545</v>
      </c>
      <c r="B15" s="462">
        <f ca="1">SUM(B4:B14)</f>
        <v>107014.85145583659</v>
      </c>
      <c r="C15" s="462">
        <f t="shared" ref="C15:Q15" ca="1" si="1">SUM(C4:C14)</f>
        <v>61707.17567567568</v>
      </c>
      <c r="D15" s="462">
        <f t="shared" ca="1" si="1"/>
        <v>137986.15700055877</v>
      </c>
      <c r="E15" s="462">
        <f t="shared" si="1"/>
        <v>5316.0693449362543</v>
      </c>
      <c r="F15" s="462">
        <f t="shared" ca="1" si="1"/>
        <v>16844.038284538667</v>
      </c>
      <c r="G15" s="462">
        <f t="shared" si="1"/>
        <v>335165.83976305614</v>
      </c>
      <c r="H15" s="462">
        <f t="shared" si="1"/>
        <v>61647.511914269002</v>
      </c>
      <c r="I15" s="462">
        <f t="shared" si="1"/>
        <v>0</v>
      </c>
      <c r="J15" s="462">
        <f t="shared" si="1"/>
        <v>835.31303414106901</v>
      </c>
      <c r="K15" s="462">
        <f t="shared" si="1"/>
        <v>0</v>
      </c>
      <c r="L15" s="462">
        <f t="shared" ca="1" si="1"/>
        <v>0</v>
      </c>
      <c r="M15" s="462">
        <f t="shared" si="1"/>
        <v>23397.420700109276</v>
      </c>
      <c r="N15" s="462">
        <f t="shared" ca="1" si="1"/>
        <v>10127.117287584486</v>
      </c>
      <c r="O15" s="462">
        <f t="shared" si="1"/>
        <v>357.1124794896657</v>
      </c>
      <c r="P15" s="462">
        <f t="shared" si="1"/>
        <v>989.40822553081159</v>
      </c>
      <c r="Q15" s="462">
        <f t="shared" ca="1" si="1"/>
        <v>761388.01516572642</v>
      </c>
    </row>
    <row r="17" spans="1:17">
      <c r="A17" s="464" t="s">
        <v>546</v>
      </c>
      <c r="B17" s="781">
        <f ca="1">huishoudens!B10</f>
        <v>0.20903235264633788</v>
      </c>
      <c r="C17" s="781">
        <f ca="1">huishoudens!C10</f>
        <v>0.2376444566565942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7323.3493707674415</v>
      </c>
      <c r="C22" s="452">
        <f t="shared" ref="C22:C32" ca="1" si="3">C4*$C$17</f>
        <v>0</v>
      </c>
      <c r="D22" s="452">
        <f t="shared" ref="D22:D32" si="4">D4*$D$17</f>
        <v>20282.166586277199</v>
      </c>
      <c r="E22" s="452">
        <f t="shared" ref="E22:E32" si="5">E4*$E$17</f>
        <v>619.97485691036491</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28225.490813955006</v>
      </c>
    </row>
    <row r="23" spans="1:17">
      <c r="A23" s="451" t="s">
        <v>155</v>
      </c>
      <c r="B23" s="452">
        <f t="shared" ca="1" si="2"/>
        <v>11386.619344031706</v>
      </c>
      <c r="C23" s="452">
        <f t="shared" ca="1" si="3"/>
        <v>4370.7907960361745</v>
      </c>
      <c r="D23" s="452">
        <f t="shared" ca="1" si="4"/>
        <v>4488.4336250909446</v>
      </c>
      <c r="E23" s="452">
        <f t="shared" si="5"/>
        <v>157.98677478216428</v>
      </c>
      <c r="F23" s="452">
        <f t="shared" ca="1" si="6"/>
        <v>1218.0311842047367</v>
      </c>
      <c r="G23" s="452">
        <f t="shared" si="7"/>
        <v>0</v>
      </c>
      <c r="H23" s="452">
        <f t="shared" si="8"/>
        <v>0</v>
      </c>
      <c r="I23" s="452">
        <f t="shared" si="9"/>
        <v>0</v>
      </c>
      <c r="J23" s="452">
        <f t="shared" si="10"/>
        <v>9.4277600823263717E-3</v>
      </c>
      <c r="K23" s="452">
        <f t="shared" si="11"/>
        <v>0</v>
      </c>
      <c r="L23" s="452">
        <f t="shared" ca="1" si="12"/>
        <v>0</v>
      </c>
      <c r="M23" s="452">
        <f t="shared" si="13"/>
        <v>0</v>
      </c>
      <c r="N23" s="452">
        <f t="shared" ca="1" si="14"/>
        <v>0</v>
      </c>
      <c r="O23" s="452">
        <f t="shared" si="15"/>
        <v>0</v>
      </c>
      <c r="P23" s="453">
        <f t="shared" si="16"/>
        <v>0</v>
      </c>
      <c r="Q23" s="451">
        <f t="shared" ref="Q23:Q31" ca="1" si="17">SUM(B23:P23)</f>
        <v>21621.871151905809</v>
      </c>
    </row>
    <row r="24" spans="1:17">
      <c r="A24" s="451" t="s">
        <v>193</v>
      </c>
      <c r="B24" s="452">
        <f t="shared" ca="1" si="2"/>
        <v>288.76230872211465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288.76230872211465</v>
      </c>
    </row>
    <row r="25" spans="1:17">
      <c r="A25" s="451" t="s">
        <v>111</v>
      </c>
      <c r="B25" s="452">
        <f t="shared" ca="1" si="2"/>
        <v>495.10593340090378</v>
      </c>
      <c r="C25" s="452">
        <f t="shared" ca="1" si="3"/>
        <v>10293.577439222778</v>
      </c>
      <c r="D25" s="452">
        <f t="shared" si="4"/>
        <v>0</v>
      </c>
      <c r="E25" s="452">
        <f t="shared" si="5"/>
        <v>16.780297630704347</v>
      </c>
      <c r="F25" s="452">
        <f t="shared" si="6"/>
        <v>2234.9923563936536</v>
      </c>
      <c r="G25" s="452">
        <f t="shared" si="7"/>
        <v>0</v>
      </c>
      <c r="H25" s="452">
        <f t="shared" si="8"/>
        <v>0</v>
      </c>
      <c r="I25" s="452">
        <f t="shared" si="9"/>
        <v>0</v>
      </c>
      <c r="J25" s="452">
        <f t="shared" si="10"/>
        <v>231.00448913738546</v>
      </c>
      <c r="K25" s="452">
        <f t="shared" si="11"/>
        <v>0</v>
      </c>
      <c r="L25" s="452">
        <f t="shared" si="12"/>
        <v>0</v>
      </c>
      <c r="M25" s="452">
        <f t="shared" si="13"/>
        <v>0</v>
      </c>
      <c r="N25" s="452">
        <f t="shared" si="14"/>
        <v>0</v>
      </c>
      <c r="O25" s="452">
        <f t="shared" si="15"/>
        <v>0</v>
      </c>
      <c r="P25" s="453">
        <f t="shared" si="16"/>
        <v>0</v>
      </c>
      <c r="Q25" s="451">
        <f t="shared" ca="1" si="17"/>
        <v>13271.460515785426</v>
      </c>
    </row>
    <row r="26" spans="1:17">
      <c r="A26" s="451" t="s">
        <v>625</v>
      </c>
      <c r="B26" s="452">
        <f t="shared" ca="1" si="2"/>
        <v>2528.6331344673254</v>
      </c>
      <c r="C26" s="452">
        <f t="shared" ca="1" si="3"/>
        <v>0</v>
      </c>
      <c r="D26" s="452">
        <f t="shared" si="4"/>
        <v>2343.6260468322685</v>
      </c>
      <c r="E26" s="452">
        <f t="shared" si="5"/>
        <v>271.7385463578853</v>
      </c>
      <c r="F26" s="452">
        <f t="shared" si="6"/>
        <v>1044.3346813734336</v>
      </c>
      <c r="G26" s="452">
        <f t="shared" si="7"/>
        <v>0</v>
      </c>
      <c r="H26" s="452">
        <f t="shared" si="8"/>
        <v>0</v>
      </c>
      <c r="I26" s="452">
        <f t="shared" si="9"/>
        <v>0</v>
      </c>
      <c r="J26" s="452">
        <f t="shared" si="10"/>
        <v>64.686897188470653</v>
      </c>
      <c r="K26" s="452">
        <f t="shared" si="11"/>
        <v>0</v>
      </c>
      <c r="L26" s="452">
        <f t="shared" si="12"/>
        <v>0</v>
      </c>
      <c r="M26" s="452">
        <f t="shared" si="13"/>
        <v>0</v>
      </c>
      <c r="N26" s="452">
        <f t="shared" si="14"/>
        <v>0</v>
      </c>
      <c r="O26" s="452">
        <f t="shared" si="15"/>
        <v>0</v>
      </c>
      <c r="P26" s="453">
        <f t="shared" si="16"/>
        <v>0</v>
      </c>
      <c r="Q26" s="451">
        <f t="shared" ca="1" si="17"/>
        <v>6253.019306219383</v>
      </c>
    </row>
    <row r="27" spans="1:17" s="457" customFormat="1">
      <c r="A27" s="455" t="s">
        <v>551</v>
      </c>
      <c r="B27" s="775">
        <f t="shared" ca="1" si="2"/>
        <v>39.43774019999676</v>
      </c>
      <c r="C27" s="456">
        <f t="shared" ca="1" si="3"/>
        <v>0</v>
      </c>
      <c r="D27" s="456">
        <f t="shared" si="4"/>
        <v>130.30576613645931</v>
      </c>
      <c r="E27" s="456">
        <f t="shared" si="5"/>
        <v>140.26726561941089</v>
      </c>
      <c r="F27" s="456">
        <f t="shared" si="6"/>
        <v>0</v>
      </c>
      <c r="G27" s="456">
        <f t="shared" si="7"/>
        <v>88996.948356424313</v>
      </c>
      <c r="H27" s="456">
        <f t="shared" si="8"/>
        <v>15350.230466652982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104657.18959503317</v>
      </c>
    </row>
    <row r="28" spans="1:17" ht="16.5" customHeight="1">
      <c r="A28" s="451" t="s">
        <v>541</v>
      </c>
      <c r="B28" s="452">
        <f t="shared" ca="1" si="2"/>
        <v>0</v>
      </c>
      <c r="C28" s="452">
        <f t="shared" ca="1" si="3"/>
        <v>0</v>
      </c>
      <c r="D28" s="452">
        <f t="shared" si="4"/>
        <v>0</v>
      </c>
      <c r="E28" s="452">
        <f t="shared" si="5"/>
        <v>0</v>
      </c>
      <c r="F28" s="452">
        <f t="shared" si="6"/>
        <v>0</v>
      </c>
      <c r="G28" s="452">
        <f t="shared" si="7"/>
        <v>492.33086031168364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492.33086031168364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307.65833632240901</v>
      </c>
      <c r="C32" s="452">
        <f t="shared" ca="1" si="3"/>
        <v>0</v>
      </c>
      <c r="D32" s="452">
        <f t="shared" si="4"/>
        <v>628.67168977600011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936.33002609840912</v>
      </c>
    </row>
    <row r="33" spans="1:17" s="463" customFormat="1">
      <c r="A33" s="461" t="s">
        <v>545</v>
      </c>
      <c r="B33" s="462">
        <f ca="1">SUM(B22:B32)</f>
        <v>22369.566167911897</v>
      </c>
      <c r="C33" s="462">
        <f t="shared" ref="C33:Q33" ca="1" si="19">SUM(C22:C32)</f>
        <v>14664.368235258953</v>
      </c>
      <c r="D33" s="462">
        <f t="shared" ca="1" si="19"/>
        <v>27873.203714112871</v>
      </c>
      <c r="E33" s="462">
        <f t="shared" si="19"/>
        <v>1206.7477413005297</v>
      </c>
      <c r="F33" s="462">
        <f t="shared" ca="1" si="19"/>
        <v>4497.3582219718237</v>
      </c>
      <c r="G33" s="462">
        <f t="shared" si="19"/>
        <v>89489.279216736002</v>
      </c>
      <c r="H33" s="462">
        <f t="shared" si="19"/>
        <v>15350.230466652982</v>
      </c>
      <c r="I33" s="462">
        <f t="shared" si="19"/>
        <v>0</v>
      </c>
      <c r="J33" s="462">
        <f t="shared" si="19"/>
        <v>295.70081408593842</v>
      </c>
      <c r="K33" s="462">
        <f t="shared" si="19"/>
        <v>0</v>
      </c>
      <c r="L33" s="462">
        <f t="shared" ca="1" si="19"/>
        <v>0</v>
      </c>
      <c r="M33" s="462">
        <f t="shared" si="19"/>
        <v>0</v>
      </c>
      <c r="N33" s="462">
        <f t="shared" ca="1" si="19"/>
        <v>0</v>
      </c>
      <c r="O33" s="462">
        <f t="shared" si="19"/>
        <v>0</v>
      </c>
      <c r="P33" s="462">
        <f t="shared" si="19"/>
        <v>0</v>
      </c>
      <c r="Q33" s="462">
        <f t="shared" ca="1" si="19"/>
        <v>175746.454578031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9048.2955163329243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43195</v>
      </c>
      <c r="D8" s="1029">
        <f>'SEAP template'!D76</f>
        <v>50817.090620205876</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10265.052305281588</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9048.2955163329243</v>
      </c>
      <c r="C10" s="1031">
        <f>SUM(C4:C9)</f>
        <v>43195</v>
      </c>
      <c r="D10" s="1031">
        <f t="shared" ref="D10:H10" si="0">SUM(D8:D9)</f>
        <v>50817.090620205876</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10265.052305281588</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0.20903235264633788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61707.175675675673</v>
      </c>
      <c r="D17" s="1030">
        <f>'SEAP template'!D87</f>
        <v>72595.88235276709</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14664.368235258953</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61707.175675675673</v>
      </c>
      <c r="D20" s="1031">
        <f t="shared" ref="D20:H20" si="2">SUM(D17:D19)</f>
        <v>72595.88235276709</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14664.368235258953</v>
      </c>
    </row>
    <row r="21" spans="1:16">
      <c r="B21" s="887"/>
    </row>
    <row r="22" spans="1:16">
      <c r="A22" s="464" t="s">
        <v>797</v>
      </c>
      <c r="B22" s="781" t="s">
        <v>795</v>
      </c>
      <c r="C22" s="781">
        <f ca="1">'EF ele_warmte'!B22</f>
        <v>0.2376444566565942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0.20903235264633788</v>
      </c>
      <c r="C17" s="501">
        <f ca="1">'EF ele_warmte'!B22</f>
        <v>0.2376444566565942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2020-06-20T15:28:03Z</dcterms:modified>
</cp:coreProperties>
</file>