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2" i="59"/>
  <c r="C56" i="22"/>
  <c r="C58" i="22" s="1"/>
  <c r="D49" i="14" s="1"/>
  <c r="D52" i="14" s="1"/>
  <c r="C20" i="16"/>
  <c r="C22" i="16" s="1"/>
  <c r="D43" i="14" s="1"/>
  <c r="C10" i="17"/>
  <c r="C12" i="17" s="1"/>
  <c r="D54" i="14" s="1"/>
  <c r="D56" i="14" s="1"/>
  <c r="C17" i="49"/>
  <c r="C18" i="15"/>
  <c r="C20" i="15" s="1"/>
  <c r="D40" i="14" s="1"/>
  <c r="C29" i="20"/>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<sst xmlns="http://schemas.openxmlformats.org/spreadsheetml/2006/main" count="2420" uniqueCount="897">
  <si>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</si>
  <si>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</si>
  <si>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</si>
  <si>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</si>
  <si>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</si>
  <si>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</si>
  <si>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</si>
  <si>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</si>
  <si>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</si>
  <si>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</si>
  <si>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</si>
  <si>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</si>
  <si>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</si>
  <si>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</si>
  <si>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</si>
  <si>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</si>
  <si>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</si>
  <si>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</si>
  <si>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</si>
  <si>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</si>
  <si>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</si>
  <si>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</si>
  <si>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</si>
  <si>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</si>
  <si>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</si>
  <si>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</si>
  <si>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</si>
  <si>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</si>
  <si>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</si>
  <si>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</si>
  <si>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</si>
  <si>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</si>
  <si>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</si>
  <si>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</si>
  <si>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</si>
  <si>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</si>
  <si>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</si>
  <si>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</si>
  <si>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</si>
  <si>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</si>
  <si>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</si>
  <si>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</si>
  <si>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</si>
  <si>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</si>
  <si>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</si>
  <si>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</si>
  <si>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</si>
  <si>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</si>
  <si>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</si>
  <si>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</si>
  <si>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</si>
  <si>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</si>
  <si>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</si>
  <si>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</si>
  <si>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</si>
  <si>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</si>
  <si>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</si>
  <si>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</si>
  <si>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</si>
  <si>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</si>
  <si>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</si>
  <si>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</si>
  <si>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</si>
  <si>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</si>
  <si>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</si>
  <si>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</si>
  <si>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</si>
  <si>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</si>
  <si>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</si>
  <si>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</si>
  <si>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</si>
  <si>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</si>
  <si>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</si>
  <si>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</si>
  <si>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</si>
  <si>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</si>
  <si>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</si>
  <si>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</si>
  <si>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</si>
  <si>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</si>
  <si>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</si>
  <si>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</si>
  <si>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</si>
  <si>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</si>
  <si>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</si>
  <si>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</si>
  <si>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</si>
  <si>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</si>
  <si>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</si>
  <si>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</si>
  <si>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</si>
  <si>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</si>
  <si>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</si>
  <si>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</si>
  <si>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</si>
  <si>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</si>
  <si>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</si>
  <si>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</si>
  <si>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</si>
  <si>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</si>
  <si>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</si>
  <si>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</si>
  <si>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</si>
  <si>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</si>
  <si>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</si>
  <si>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</si>
  <si>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</si>
  <si>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</si>
  <si>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</si>
  <si>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</si>
  <si>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</si>
  <si>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</si>
  <si>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</si>
  <si>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</si>
  <si>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</si>
  <si>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</si>
  <si>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</si>
  <si>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</si>
  <si>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</si>
  <si>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</si>
  <si>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</si>
  <si>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</si>
  <si>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</si>
  <si>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</si>
  <si>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</si>
  <si>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</si>
  <si>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</si>
  <si>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</si>
  <si>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</si>
  <si>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</si>
  <si>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</si>
  <si>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</si>
  <si>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</si>
  <si>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</si>
  <si>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</si>
  <si>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</si>
  <si>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</si>
  <si>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</si>
  <si>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</si>
  <si>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</si>
  <si>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</si>
  <si>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</si>
  <si>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</si>
  <si>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</si>
  <si>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</si>
  <si>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</si>
  <si>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</si>
  <si>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</si>
  <si>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</si>
  <si>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</si>
  <si>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</si>
  <si>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</si>
  <si>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</si>
  <si>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</si>
  <si>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</si>
  <si>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</si>
  <si>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</si>
  <si>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</si>
  <si>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</si>
  <si>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</si>
  <si>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</si>
  <si>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</si>
  <si>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</si>
  <si>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</si>
  <si>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</si>
  <si>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</si>
  <si>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</si>
  <si>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</si>
  <si>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</si>
  <si>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</si>
  <si>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</si>
  <si>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</si>
  <si>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</si>
  <si>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</si>
  <si>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</si>
  <si>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</si>
  <si>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</si>
  <si>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</si>
  <si>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</si>
  <si>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</si>
  <si>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</si>
  <si>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</si>
  <si>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</si>
  <si>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</si>
  <si>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</si>
  <si>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</si>
  <si>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</si>
  <si>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</si>
  <si>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</si>
  <si>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</si>
  <si>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</si>
  <si>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</si>
  <si>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</si>
  <si>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</si>
  <si>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</si>
  <si>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</si>
  <si>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</si>
  <si>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</si>
  <si>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</si>
  <si>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</si>
  <si>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</si>
  <si>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</si>
  <si>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</si>
  <si>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</si>
  <si>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</si>
  <si>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</si>
  <si>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</si>
  <si>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</si>
  <si>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</si>
  <si>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</si>
  <si>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</si>
  <si>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</si>
  <si>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</si>
  <si>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</si>
  <si>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</si>
  <si>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</si>
  <si>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</si>
  <si>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</si>
  <si>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</si>
  <si>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</si>
  <si>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</si>
  <si>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</si>
  <si>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</si>
  <si>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</si>
  <si>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</si>
  <si>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</si>
  <si>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</si>
  <si>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</si>
  <si>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</si>
  <si>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</si>
  <si>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</si>
  <si>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</si>
  <si>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</si>
  <si>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</si>
  <si>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</si>
  <si>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</si>
  <si>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</si>
  <si>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</si>
  <si>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</si>
  <si>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</si>
  <si>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</si>
  <si>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</si>
  <si>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</si>
  <si>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</si>
  <si>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</si>
  <si>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</si>
  <si>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</si>
  <si>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</si>
  <si>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</si>
  <si>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</si>
  <si>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</si>
  <si>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</si>
  <si>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</si>
  <si>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</si>
  <si>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</si>
  <si>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</si>
  <si>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</si>
  <si>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</si>
  <si>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</si>
  <si>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</si>
  <si>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</si>
  <si>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</si>
  <si>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</si>
  <si>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</si>
  <si>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</si>
  <si>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</si>
  <si>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</si>
  <si>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</si>
  <si>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</si>
  <si>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</si>
  <si>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</si>
  <si>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</si>
  <si>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</si>
  <si>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</si>
  <si>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</si>
  <si>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</si>
  <si>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</si>
  <si>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</si>
  <si>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</si>
  <si>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</si>
  <si>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</si>
  <si>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</si>
  <si>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</si>
  <si>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</si>
  <si>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</si>
  <si>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</si>
  <si>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</si>
  <si>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</si>
  <si>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</si>
  <si>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</si>
  <si>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</si>
  <si>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</si>
  <si>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</si>
  <si>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</si>
  <si>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</si>
  <si>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</si>
  <si>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</si>
  <si>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</si>
  <si>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</si>
  <si>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</si>
  <si>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</si>
  <si>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</si>
  <si>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</si>
  <si>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</si>
  <si>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</si>
  <si>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</si>
  <si>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</si>
  <si>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</si>
  <si>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</si>
  <si>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</si>
  <si>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</si>
  <si>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</si>
  <si>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</si>
  <si>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</si>
  <si>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</si>
  <si>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</si>
  <si>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</si>
  <si>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</si>
  <si>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</si>
  <si>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</si>
  <si>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</si>
  <si>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</si>
  <si>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</si>
  <si>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</si>
  <si>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</si>
  <si>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</si>
  <si>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</si>
  <si>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</si>
  <si>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</si>
  <si>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</si>
  <si>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</si>
  <si>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</si>
  <si>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</si>
  <si>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</si>
  <si>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</si>
  <si>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</si>
  <si>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</si>
  <si>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</si>
  <si>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</si>
  <si>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</si>
  <si>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</si>
  <si>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</si>
  <si>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</si>
  <si>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</si>
  <si>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</si>
  <si>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</si>
  <si>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</si>
  <si>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</si>
  <si>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</si>
  <si>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</si>
  <si>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</si>
  <si>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</si>
  <si>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</si>
  <si>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</si>
  <si>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</si>
  <si>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</si>
  <si>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</si>
  <si>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</si>
  <si>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</si>
  <si>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</si>
  <si>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</si>
  <si>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</si>
  <si>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</si>
  <si>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</si>
  <si>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</si>
  <si>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</si>
  <si>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</si>
  <si>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</si>
  <si>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</si>
  <si>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</si>
  <si>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</si>
  <si>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</si>
  <si>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</si>
  <si>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</si>
  <si>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</si>
  <si>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</si>
  <si>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</si>
  <si>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</si>
  <si>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</si>
  <si>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</si>
  <si>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</si>
  <si>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</si>
  <si>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</si>
  <si>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</si>
  <si>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</si>
  <si>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</si>
  <si>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</si>
  <si>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</si>
  <si>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</si>
  <si>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</si>
  <si>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</si>
  <si>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</si>
  <si>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</si>
  <si>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</si>
  <si>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</si>
  <si>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</si>
  <si>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</si>
  <si>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</si>
  <si>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</si>
  <si>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</si>
  <si>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</si>
  <si>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</si>
  <si>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</si>
  <si>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</si>
  <si>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</si>
  <si>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</si>
  <si>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</si>
  <si>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</si>
  <si>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</si>
  <si>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</si>
  <si>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</si>
  <si>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</si>
  <si>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</si>
  <si>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</si>
  <si>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</si>
  <si>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</si>
  <si>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</si>
  <si>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</si>
  <si>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</si>
  <si>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</si>
  <si>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</si>
  <si>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</si>
  <si>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</si>
  <si>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</si>
  <si>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</si>
  <si>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</si>
  <si>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</si>
  <si>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</si>
  <si>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</si>
  <si>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</si>
  <si>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</si>
  <si>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</si>
  <si>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</si>
  <si>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</si>
  <si>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</si>
  <si>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</si>
  <si>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</si>
  <si>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</si>
  <si>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</si>
  <si>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</si>
  <si>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</si>
  <si>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</si>
  <si>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</si>
  <si>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</si>
  <si>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</si>
  <si>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</si>
  <si>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</si>
  <si>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</si>
  <si>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</si>
  <si>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</si>
  <si>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</si>
  <si>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</si>
  <si>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</si>
  <si>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</si>
  <si>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</si>
  <si>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</si>
  <si>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</si>
  <si>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</si>
  <si>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</si>
  <si>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</si>
  <si>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</si>
  <si>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</si>
  <si>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</si>
  <si>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</si>
  <si>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</si>
  <si>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</si>
  <si>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</si>
  <si>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</si>
  <si>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</si>
  <si>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</si>
  <si>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</si>
  <si>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</si>
  <si>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</si>
  <si>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</si>
  <si>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</si>
  <si>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</si>
  <si>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</si>
  <si>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</si>
  <si>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</si>
  <si>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</si>
  <si>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</si>
  <si>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</si>
  <si>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</si>
  <si>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</si>
  <si>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</si>
  <si>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</si>
  <si>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</si>
  <si>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</si>
  <si>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</si>
  <si>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</si>
  <si>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</si>
  <si>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</si>
  <si>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</si>
  <si>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</si>
  <si>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</si>
  <si>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</si>
  <si>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</si>
  <si>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</si>
  <si>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</si>
  <si>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</si>
  <si>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</si>
  <si>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</si>
  <si>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</si>
  <si>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</si>
  <si>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</si>
  <si>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</si>
  <si>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</si>
  <si>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</si>
  <si>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</si>
  <si>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</si>
  <si>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</si>
  <si>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</si>
  <si>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</si>
  <si>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</si>
  <si>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</si>
  <si>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</si>
  <si>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</si>
  <si>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</si>
  <si>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</si>
  <si>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</si>
  <si>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</si>
  <si>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</si>
  <si>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</si>
  <si>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</si>
  <si>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</si>
  <si>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</si>
  <si>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</si>
  <si>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</si>
  <si>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</si>
  <si>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</si>
  <si>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</si>
  <si>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</si>
  <si>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</si>
  <si>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</si>
  <si>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</si>
  <si>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</si>
  <si>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</si>
  <si>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</si>
  <si>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</si>
  <si>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</si>
  <si>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</si>
  <si>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</si>
  <si>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</si>
  <si>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</si>
  <si>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</si>
  <si>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</si>
  <si>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</si>
  <si>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</si>
  <si>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</si>
  <si>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</si>
  <si>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</si>
  <si>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</si>
  <si>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</si>
  <si>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</si>
  <si>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</si>
  <si>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</si>
  <si>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</si>
  <si>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</si>
  <si>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</si>
  <si>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</si>
  <si>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</si>
  <si>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</si>
  <si>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</si>
  <si>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</si>
  <si>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</si>
  <si>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</si>
  <si>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</si>
  <si>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</si>
  <si>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</si>
  <si>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</si>
  <si>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</si>
  <si>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</si>
  <si>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</si>
  <si>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</si>
  <si>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</si>
  <si>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</si>
  <si>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</si>
  <si>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</si>
  <si>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</si>
  <si>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</si>
  <si>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</si>
  <si>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</si>
  <si>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</si>
  <si>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</si>
  <si>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</si>
  <si>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</si>
  <si>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</si>
  <si>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</si>
  <si>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</si>
  <si>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</si>
  <si>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</si>
  <si>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</si>
  <si>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</si>
  <si>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</si>
  <si>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</si>
  <si>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</si>
  <si>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</si>
  <si>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</si>
  <si>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</si>
  <si>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</si>
  <si>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</si>
  <si>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</si>
  <si>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</si>
  <si>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</si>
  <si>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</si>
  <si>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</si>
  <si>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</si>
  <si>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</si>
  <si>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</si>
  <si>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</si>
  <si>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</si>
  <si>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</si>
  <si>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</si>
  <si>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</si>
  <si>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</si>
  <si>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</si>
  <si>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</si>
  <si>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</si>
  <si>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</si>
  <si>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</si>
  <si>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</si>
  <si>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</si>
  <si>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</si>
  <si>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</si>
  <si>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</si>
  <si>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</si>
  <si>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</si>
  <si>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</si>
  <si>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</si>
  <si>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</si>
  <si>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</si>
  <si>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</si>
  <si>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</si>
  <si>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</si>
  <si>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</si>
  <si>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</si>
  <si>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</si>
  <si>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</si>
  <si>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</si>
  <si>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</si>
  <si>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</si>
  <si>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</si>
  <si>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</si>
  <si>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</si>
  <si>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</si>
  <si>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</si>
  <si>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</si>
  <si>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</si>
  <si>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</si>
  <si>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</si>
  <si>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</si>
  <si>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</si>
  <si>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</si>
  <si>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</si>
  <si>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</si>
  <si>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</si>
  <si>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</si>
  <si>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</si>
  <si>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</si>
  <si>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</si>
  <si>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</si>
  <si>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</si>
  <si>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</si>
  <si>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</si>
  <si>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</si>
  <si>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</si>
  <si>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</si>
  <si>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</si>
  <si>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</si>
  <si>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</si>
  <si>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</si>
  <si>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</si>
  <si>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</si>
  <si>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</si>
  <si>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</si>
  <si>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</si>
  <si>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</si>
  <si>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</si>
  <si>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</si>
  <si>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</si>
  <si>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</si>
  <si>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</si>
  <si>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</si>
  <si>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</si>
  <si>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</si>
  <si>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</si>
  <si>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</si>
  <si>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</si>
  <si>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</si>
  <si>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</si>
  <si>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</si>
  <si>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</si>
  <si>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</si>
  <si>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</si>
  <si>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</si>
  <si>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</si>
  <si>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</si>
  <si>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</si>
  <si>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</si>
  <si>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</si>
  <si>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</si>
  <si>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</si>
  <si>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</si>
  <si>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</si>
  <si>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</si>
  <si>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</si>
  <si>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</si>
  <si>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</si>
  <si>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</si>
  <si>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</si>
  <si>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</si>
  <si>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</si>
  <si>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</si>
  <si>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</si>
  <si>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</si>
  <si>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</si>
  <si>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</si>
  <si>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</si>
  <si>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</si>
  <si>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</si>
  <si>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</si>
  <si>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</si>
  <si>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</si>
  <si>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</si>
  <si>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</si>
  <si>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</si>
  <si>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</si>
  <si>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</si>
  <si>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</si>
  <si>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</si>
  <si>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</si>
  <si>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</si>
  <si>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</si>
  <si>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</si>
  <si>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</si>
  <si>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</si>
  <si>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</si>
  <si>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</si>
  <si>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</si>
  <si>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</si>
  <si>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</si>
  <si>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</si>
  <si>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</si>
  <si>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</si>
  <si>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</si>
  <si>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</si>
  <si>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</si>
  <si>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</si>
  <si>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</si>
  <si>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</si>
  <si>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</si>
  <si>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</si>
  <si>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</si>
  <si>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</si>
  <si>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</si>
  <si>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</si>
  <si>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</si>
  <si>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</si>
  <si>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</si>
  <si>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</si>
  <si>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</si>
  <si>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</si>
  <si>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</si>
  <si>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</si>
  <si>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</si>
  <si>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</si>
  <si>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</si>
  <si>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</si>
  <si>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</si>
  <si>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</si>
  <si>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</si>
  <si>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</si>
  <si>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</si>
  <si>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</si>
  <si>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</si>
  <si>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</si>
  <si>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</si>
  <si>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</si>
  <si>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</si>
  <si>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</si>
  <si>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</si>
  <si>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</si>
  <si>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</si>
  <si>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</si>
  <si>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</si>
  <si>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</si>
  <si>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</si>
  <si>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</si>
  <si>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</si>
  <si>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</si>
  <si>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</si>
  <si>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</si>
  <si>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</si>
  <si>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</si>
  <si>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</si>
  <si>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</si>
  <si>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</si>
  <si>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</si>
  <si>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</si>
  <si>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</si>
  <si>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</si>
  <si>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</si>
  <si>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</si>
  <si>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</si>
  <si>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</si>
  <si>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</si>
  <si>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</si>
  <si>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</si>
  <si>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</si>
  <si>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</si>
  <si>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</si>
  <si>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</si>
  <si>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</si>
  <si>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</si>
  <si>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</si>
  <si>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</si>
  <si>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</si>
  <si>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</si>
  <si>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</si>
  <si>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</si>
  <si>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</si>
  <si>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</si>
  <si>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</si>
  <si>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</si>
  <si>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</si>
  <si>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</si>
  <si>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</si>
  <si>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</si>
  <si>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</si>
  <si>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</si>
  <si>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</si>
  <si>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</si>
  <si>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</si>
  <si>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</si>
  <si>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</si>
  <si>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</si>
  <si>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</si>
  <si>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</si>
  <si>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</si>
  <si>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</si>
  <si>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</si>
  <si>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</si>
  <si>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</si>
  <si>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</si>
  <si>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</si>
  <si>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</si>
  <si>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</si>
  <si>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</si>
  <si>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</si>
  <si>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</si>
  <si>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</si>
  <si>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</si>
  <si>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</si>
  <si>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</si>
  <si>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</si>
  <si>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</si>
  <si>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</si>
  <si>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</si>
  <si>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</si>
  <si>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</si>
  <si>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</si>
  <si>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</si>
  <si>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</si>
  <si>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</si>
  <si>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</si>
  <si>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</si>
  <si>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</si>
  <si>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</si>
  <si>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</si>
  <si>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</si>
  <si>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</si>
  <si>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</si>
  <si>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</si>
  <si>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</si>
  <si>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</si>
  <si>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</si>
  <si>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</si>
  <si>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</si>
  <si>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</si>
  <si>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</si>
  <si>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</si>
  <si>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</si>
  <si>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</si>
  <si>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</si>
  <si>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</si>
  <si>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11021</t>
  </si>
  <si>
    <t>HOVE</t>
  </si>
  <si>
    <t>referentietaak LNE (2017); Jaarverslag De Lijn</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</si>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</sst>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61698.986346182108</c:v>
                </c:pt>
                <c:pt idx="1">
                  <c:v>19718.330899168326</c:v>
                </c:pt>
                <c:pt idx="2">
                  <c:v>618.12800000000004</c:v>
                </c:pt>
                <c:pt idx="3">
                  <c:v>1696.422635606255</c:v>
                </c:pt>
                <c:pt idx="4">
                  <c:v>2630.8833194448921</c:v>
                </c:pt>
                <c:pt idx="5">
                  <c:v>12995.121103104537</c:v>
                </c:pt>
                <c:pt idx="6">
                  <c:v>894.41104815187146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61698.986346182108</c:v>
                </c:pt>
                <c:pt idx="1">
                  <c:v>19718.330899168326</c:v>
                </c:pt>
                <c:pt idx="2">
                  <c:v>618.12800000000004</c:v>
                </c:pt>
                <c:pt idx="3">
                  <c:v>1696.422635606255</c:v>
                </c:pt>
                <c:pt idx="4">
                  <c:v>2630.8833194448921</c:v>
                </c:pt>
                <c:pt idx="5">
                  <c:v>12995.121103104537</c:v>
                </c:pt>
                <c:pt idx="6">
                  <c:v>894.41104815187146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12000.068877019139</c:v>
                </c:pt>
                <c:pt idx="1">
                  <c:v>4045.3589519388725</c:v>
                </c:pt>
                <c:pt idx="2">
                  <c:v>128.34656115051922</c:v>
                </c:pt>
                <c:pt idx="3">
                  <c:v>422.51346112052545</c:v>
                </c:pt>
                <c:pt idx="4">
                  <c:v>540.99023643301041</c:v>
                </c:pt>
                <c:pt idx="5">
                  <c:v>3220.3176618730686</c:v>
                </c:pt>
                <c:pt idx="6">
                  <c:v>226.23553223690166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12000.068877019139</c:v>
                </c:pt>
                <c:pt idx="1">
                  <c:v>4045.3589519388725</c:v>
                </c:pt>
                <c:pt idx="2">
                  <c:v>128.34656115051922</c:v>
                </c:pt>
                <c:pt idx="3">
                  <c:v>422.51346112052545</c:v>
                </c:pt>
                <c:pt idx="4">
                  <c:v>540.99023643301041</c:v>
                </c:pt>
                <c:pt idx="5">
                  <c:v>3220.3176618730686</c:v>
                </c:pt>
                <c:pt idx="6">
                  <c:v>226.23553223690166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11021</v>
      </c>
      <c r="B6" s="390"/>
      <c r="C6" s="391"/>
    </row>
    <row r="7" spans="1:7" s="388" customFormat="1" ht="15.75" customHeight="1">
      <c r="A7" s="392" t="str">
        <f>txtMunicipality</f>
        <v>HOVE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0.20763751383292653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0.20763751383292653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143.04</v>
      </c>
      <c r="C14" s="330"/>
      <c r="D14" s="330"/>
      <c r="E14" s="330"/>
      <c r="F14" s="330"/>
    </row>
    <row r="15" spans="1:6">
      <c r="A15" s="1298" t="s">
        <v>183</v>
      </c>
      <c r="B15" s="1299">
        <v>11</v>
      </c>
      <c r="C15" s="330"/>
      <c r="D15" s="330"/>
      <c r="E15" s="330"/>
      <c r="F15" s="330"/>
    </row>
    <row r="16" spans="1:6">
      <c r="A16" s="1298" t="s">
        <v>6</v>
      </c>
      <c r="B16" s="1299">
        <v>571</v>
      </c>
      <c r="C16" s="330"/>
      <c r="D16" s="330"/>
      <c r="E16" s="330"/>
      <c r="F16" s="330"/>
    </row>
    <row r="17" spans="1:6">
      <c r="A17" s="1298" t="s">
        <v>7</v>
      </c>
      <c r="B17" s="1299">
        <v>7</v>
      </c>
      <c r="C17" s="330"/>
      <c r="D17" s="330"/>
      <c r="E17" s="330"/>
      <c r="F17" s="330"/>
    </row>
    <row r="18" spans="1:6">
      <c r="A18" s="1298" t="s">
        <v>8</v>
      </c>
      <c r="B18" s="1299">
        <v>262</v>
      </c>
      <c r="C18" s="330"/>
      <c r="D18" s="330"/>
      <c r="E18" s="330"/>
      <c r="F18" s="330"/>
    </row>
    <row r="19" spans="1:6">
      <c r="A19" s="1298" t="s">
        <v>9</v>
      </c>
      <c r="B19" s="1299">
        <v>256</v>
      </c>
      <c r="C19" s="330"/>
      <c r="D19" s="330"/>
      <c r="E19" s="330"/>
      <c r="F19" s="330"/>
    </row>
    <row r="20" spans="1:6">
      <c r="A20" s="1298" t="s">
        <v>10</v>
      </c>
      <c r="B20" s="1299">
        <v>127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88</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3436.5729999999999</v>
      </c>
    </row>
    <row r="39" spans="1:6">
      <c r="A39" s="1298" t="s">
        <v>29</v>
      </c>
      <c r="B39" s="1298" t="s">
        <v>30</v>
      </c>
      <c r="C39" s="1299">
        <v>2656</v>
      </c>
      <c r="D39" s="1299">
        <v>49793124.590000004</v>
      </c>
      <c r="E39" s="1299">
        <v>3169</v>
      </c>
      <c r="F39" s="1299">
        <v>12274644.41</v>
      </c>
    </row>
    <row r="40" spans="1:6">
      <c r="A40" s="1298" t="s">
        <v>29</v>
      </c>
      <c r="B40" s="1298" t="s">
        <v>28</v>
      </c>
      <c r="C40" s="1299">
        <v>0</v>
      </c>
      <c r="D40" s="1299">
        <v>0</v>
      </c>
      <c r="E40" s="1299">
        <v>0</v>
      </c>
      <c r="F40" s="1299">
        <v>0</v>
      </c>
    </row>
    <row r="41" spans="1:6">
      <c r="A41" s="1298" t="s">
        <v>31</v>
      </c>
      <c r="B41" s="1298" t="s">
        <v>32</v>
      </c>
      <c r="C41" s="1299">
        <v>16</v>
      </c>
      <c r="D41" s="1299">
        <v>280810.59000000003</v>
      </c>
      <c r="E41" s="1299">
        <v>35</v>
      </c>
      <c r="F41" s="1299">
        <v>177941.85399999999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12</v>
      </c>
      <c r="D48" s="1299">
        <v>369582.25699999998</v>
      </c>
      <c r="E48" s="1299">
        <v>17</v>
      </c>
      <c r="F48" s="1299">
        <v>152794.39799999999</v>
      </c>
    </row>
    <row r="49" spans="1:6">
      <c r="A49" s="1298" t="s">
        <v>31</v>
      </c>
      <c r="B49" s="1298" t="s">
        <v>39</v>
      </c>
      <c r="C49" s="1299">
        <v>0</v>
      </c>
      <c r="D49" s="1299">
        <v>0</v>
      </c>
      <c r="E49" s="1299">
        <v>0</v>
      </c>
      <c r="F49" s="1299">
        <v>0</v>
      </c>
    </row>
    <row r="50" spans="1:6">
      <c r="A50" s="1298" t="s">
        <v>31</v>
      </c>
      <c r="B50" s="1298" t="s">
        <v>40</v>
      </c>
      <c r="C50" s="1299">
        <v>6</v>
      </c>
      <c r="D50" s="1299">
        <v>918634.44299999997</v>
      </c>
      <c r="E50" s="1299">
        <v>7</v>
      </c>
      <c r="F50" s="1299">
        <v>568752.79099999997</v>
      </c>
    </row>
    <row r="51" spans="1:6">
      <c r="A51" s="1298" t="s">
        <v>41</v>
      </c>
      <c r="B51" s="1298" t="s">
        <v>42</v>
      </c>
      <c r="C51" s="1299">
        <v>0</v>
      </c>
      <c r="D51" s="1299">
        <v>0</v>
      </c>
      <c r="E51" s="1299">
        <v>4</v>
      </c>
      <c r="F51" s="1299">
        <v>313673.35499999998</v>
      </c>
    </row>
    <row r="52" spans="1:6">
      <c r="A52" s="1298" t="s">
        <v>41</v>
      </c>
      <c r="B52" s="1298" t="s">
        <v>28</v>
      </c>
      <c r="C52" s="1299">
        <v>2</v>
      </c>
      <c r="D52" s="1299">
        <v>27281.737000000001</v>
      </c>
      <c r="E52" s="1299">
        <v>3</v>
      </c>
      <c r="F52" s="1299">
        <v>18802.323</v>
      </c>
    </row>
    <row r="53" spans="1:6">
      <c r="A53" s="1298" t="s">
        <v>43</v>
      </c>
      <c r="B53" s="1298" t="s">
        <v>44</v>
      </c>
      <c r="C53" s="1299">
        <v>55</v>
      </c>
      <c r="D53" s="1299">
        <v>983140.04500000004</v>
      </c>
      <c r="E53" s="1299">
        <v>98</v>
      </c>
      <c r="F53" s="1299">
        <v>373415.53899999999</v>
      </c>
    </row>
    <row r="54" spans="1:6">
      <c r="A54" s="1298" t="s">
        <v>45</v>
      </c>
      <c r="B54" s="1298" t="s">
        <v>46</v>
      </c>
      <c r="C54" s="1299">
        <v>0</v>
      </c>
      <c r="D54" s="1299">
        <v>0</v>
      </c>
      <c r="E54" s="1299">
        <v>1</v>
      </c>
      <c r="F54" s="1299">
        <v>618128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v>
      </c>
      <c r="D57" s="1299">
        <v>165325.709</v>
      </c>
      <c r="E57" s="1299">
        <v>15</v>
      </c>
      <c r="F57" s="1299">
        <v>87124.532999999996</v>
      </c>
    </row>
    <row r="58" spans="1:6">
      <c r="A58" s="1298" t="s">
        <v>48</v>
      </c>
      <c r="B58" s="1298" t="s">
        <v>50</v>
      </c>
      <c r="C58" s="1299">
        <v>30</v>
      </c>
      <c r="D58" s="1299">
        <v>1452161.1429999999</v>
      </c>
      <c r="E58" s="1299">
        <v>40</v>
      </c>
      <c r="F58" s="1299">
        <v>767031.68299999996</v>
      </c>
    </row>
    <row r="59" spans="1:6">
      <c r="A59" s="1298" t="s">
        <v>48</v>
      </c>
      <c r="B59" s="1298" t="s">
        <v>51</v>
      </c>
      <c r="C59" s="1299">
        <v>28</v>
      </c>
      <c r="D59" s="1299">
        <v>754124.054</v>
      </c>
      <c r="E59" s="1299">
        <v>48</v>
      </c>
      <c r="F59" s="1299">
        <v>993315.98699999996</v>
      </c>
    </row>
    <row r="60" spans="1:6">
      <c r="A60" s="1298" t="s">
        <v>48</v>
      </c>
      <c r="B60" s="1298" t="s">
        <v>52</v>
      </c>
      <c r="C60" s="1299">
        <v>17</v>
      </c>
      <c r="D60" s="1299">
        <v>707248.48400000005</v>
      </c>
      <c r="E60" s="1299">
        <v>19</v>
      </c>
      <c r="F60" s="1299">
        <v>647256.08900000004</v>
      </c>
    </row>
    <row r="61" spans="1:6">
      <c r="A61" s="1298" t="s">
        <v>48</v>
      </c>
      <c r="B61" s="1298" t="s">
        <v>53</v>
      </c>
      <c r="C61" s="1299">
        <v>133</v>
      </c>
      <c r="D61" s="1299">
        <v>4873977.4780000001</v>
      </c>
      <c r="E61" s="1299">
        <v>231</v>
      </c>
      <c r="F61" s="1299">
        <v>2667395.5389999999</v>
      </c>
    </row>
    <row r="62" spans="1:6">
      <c r="A62" s="1298" t="s">
        <v>48</v>
      </c>
      <c r="B62" s="1298" t="s">
        <v>54</v>
      </c>
      <c r="C62" s="1299">
        <v>0</v>
      </c>
      <c r="D62" s="1299">
        <v>0</v>
      </c>
      <c r="E62" s="1299">
        <v>0</v>
      </c>
      <c r="F62" s="1299">
        <v>0</v>
      </c>
    </row>
    <row r="63" spans="1:6">
      <c r="A63" s="1298" t="s">
        <v>48</v>
      </c>
      <c r="B63" s="1298" t="s">
        <v>28</v>
      </c>
      <c r="C63" s="1299">
        <v>90</v>
      </c>
      <c r="D63" s="1299">
        <v>4371414.5389999999</v>
      </c>
      <c r="E63" s="1299">
        <v>93</v>
      </c>
      <c r="F63" s="1299">
        <v>2289981.7760000001</v>
      </c>
    </row>
    <row r="64" spans="1:6">
      <c r="A64" s="1298" t="s">
        <v>55</v>
      </c>
      <c r="B64" s="1298" t="s">
        <v>56</v>
      </c>
      <c r="C64" s="1299">
        <v>0</v>
      </c>
      <c r="D64" s="1299">
        <v>0</v>
      </c>
      <c r="E64" s="1299">
        <v>0</v>
      </c>
      <c r="F64" s="1299">
        <v>0</v>
      </c>
    </row>
    <row r="65" spans="1:6">
      <c r="A65" s="1298" t="s">
        <v>55</v>
      </c>
      <c r="B65" s="1298" t="s">
        <v>28</v>
      </c>
      <c r="C65" s="1299">
        <v>2</v>
      </c>
      <c r="D65" s="1299">
        <v>81573.75</v>
      </c>
      <c r="E65" s="1299">
        <v>4</v>
      </c>
      <c r="F65" s="1299">
        <v>20970.758999999998</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13959550</v>
      </c>
      <c r="E73" s="450"/>
      <c r="F73" s="330"/>
    </row>
    <row r="74" spans="1:6">
      <c r="A74" s="1298" t="s">
        <v>63</v>
      </c>
      <c r="B74" s="1298" t="s">
        <v>647</v>
      </c>
      <c r="C74" s="1312" t="s">
        <v>649</v>
      </c>
      <c r="D74" s="1313">
        <v>426910.5</v>
      </c>
      <c r="E74" s="450"/>
      <c r="F74" s="330"/>
    </row>
    <row r="75" spans="1:6">
      <c r="A75" s="1298" t="s">
        <v>64</v>
      </c>
      <c r="B75" s="1298" t="s">
        <v>646</v>
      </c>
      <c r="C75" s="1312" t="s">
        <v>650</v>
      </c>
      <c r="D75" s="1313">
        <v>3521713</v>
      </c>
      <c r="E75" s="450"/>
      <c r="F75" s="330"/>
    </row>
    <row r="76" spans="1:6">
      <c r="A76" s="1298" t="s">
        <v>64</v>
      </c>
      <c r="B76" s="1298" t="s">
        <v>647</v>
      </c>
      <c r="C76" s="1312" t="s">
        <v>651</v>
      </c>
      <c r="D76" s="1313">
        <v>5427.6</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245523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1323.0350748364365</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2061</v>
      </c>
      <c r="C97" s="330"/>
      <c r="D97" s="330"/>
      <c r="E97" s="330"/>
      <c r="F97" s="330"/>
    </row>
    <row r="98" spans="1:6">
      <c r="A98" s="1298" t="s">
        <v>71</v>
      </c>
      <c r="B98" s="1299">
        <v>1</v>
      </c>
      <c r="C98" s="330"/>
      <c r="D98" s="330"/>
      <c r="E98" s="330"/>
      <c r="F98" s="330"/>
    </row>
    <row r="99" spans="1:6">
      <c r="A99" s="1298" t="s">
        <v>72</v>
      </c>
      <c r="B99" s="1299">
        <v>4</v>
      </c>
      <c r="C99" s="330"/>
      <c r="D99" s="330"/>
      <c r="E99" s="330"/>
      <c r="F99" s="330"/>
    </row>
    <row r="100" spans="1:6">
      <c r="A100" s="1298" t="s">
        <v>73</v>
      </c>
      <c r="B100" s="1299">
        <v>226</v>
      </c>
      <c r="C100" s="330"/>
      <c r="D100" s="330"/>
      <c r="E100" s="330"/>
      <c r="F100" s="330"/>
    </row>
    <row r="101" spans="1:6">
      <c r="A101" s="1298" t="s">
        <v>74</v>
      </c>
      <c r="B101" s="1299">
        <v>12</v>
      </c>
      <c r="C101" s="330"/>
      <c r="D101" s="330"/>
      <c r="E101" s="330"/>
      <c r="F101" s="330"/>
    </row>
    <row r="102" spans="1:6">
      <c r="A102" s="1298" t="s">
        <v>75</v>
      </c>
      <c r="B102" s="1299">
        <v>31</v>
      </c>
      <c r="C102" s="330"/>
      <c r="D102" s="330"/>
      <c r="E102" s="330"/>
      <c r="F102" s="330"/>
    </row>
    <row r="103" spans="1:6">
      <c r="A103" s="1298" t="s">
        <v>76</v>
      </c>
      <c r="B103" s="1299">
        <v>25</v>
      </c>
      <c r="C103" s="330"/>
      <c r="D103" s="330"/>
      <c r="E103" s="330"/>
      <c r="F103" s="330"/>
    </row>
    <row r="104" spans="1:6">
      <c r="A104" s="1298" t="s">
        <v>77</v>
      </c>
      <c r="B104" s="1299">
        <v>568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73</v>
      </c>
      <c r="C123" s="1299">
        <v>6</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63</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23325.303962287602</v>
      </c>
      <c r="C3" s="43" t="s">
        <v>169</v>
      </c>
      <c r="D3" s="43"/>
      <c r="E3" s="154"/>
      <c r="F3" s="43"/>
      <c r="G3" s="43"/>
      <c r="H3" s="43"/>
      <c r="I3" s="43"/>
      <c r="J3" s="43"/>
      <c r="K3" s="96"/>
    </row>
    <row r="4" spans="1:11">
      <c r="A4" s="358" t="s">
        <v>170</v>
      </c>
      <c r="B4" s="49">
        <f>IF(ISERROR('SEAP template'!B78+'SEAP template'!C78),0,'SEAP template'!B78+'SEAP template'!C78)</f>
        <v>1410.3350748364364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0.20763751383292653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618.12800000000004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618.12800000000004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0.20763751383292653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128.34656115051922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12274.644410000001</v>
      </c>
      <c r="C5" s="17">
        <f>IF(ISERROR('Eigen informatie GS &amp; warmtenet'!B59),0,'Eigen informatie GS &amp; warmtenet'!B59)</f>
        <v>0</v>
      </c>
      <c r="D5" s="30">
        <f>(SUM(HH_hh_gas_kWh,HH_rest_gas_kWh)/1000)*0.902</f>
        <v>44913.398380180006</v>
      </c>
      <c r="E5" s="17">
        <f>B46*B57</f>
        <v>458.91648499713489</v>
      </c>
      <c r="F5" s="17">
        <f>B51*B62</f>
        <v>0</v>
      </c>
      <c r="G5" s="18"/>
      <c r="H5" s="17"/>
      <c r="I5" s="17"/>
      <c r="J5" s="17">
        <f>B50*B61+C50*C61</f>
        <v>0</v>
      </c>
      <c r="K5" s="17"/>
      <c r="L5" s="17"/>
      <c r="M5" s="17"/>
      <c r="N5" s="17">
        <f>B48*B59+C48*C59</f>
        <v>1717.7802564929666</v>
      </c>
      <c r="O5" s="17">
        <f>B69*B70*B71</f>
        <v>136.89311713770519</v>
      </c>
      <c r="P5" s="17">
        <f>B77*B78*B79/1000-B77*B78*B79/1000/B80</f>
        <v>874.31862253785675</v>
      </c>
    </row>
    <row r="6" spans="1:16">
      <c r="A6" s="16" t="s">
        <v>611</v>
      </c>
      <c r="B6" s="783">
        <f>kWh_PV_kleiner_dan_10kW</f>
        <v>1323.0350748364365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13597.679484836437</v>
      </c>
      <c r="C8" s="21">
        <f>C5</f>
        <v>0</v>
      </c>
      <c r="D8" s="21">
        <f>D5</f>
        <v>44913.398380180006</v>
      </c>
      <c r="E8" s="21">
        <f>E5</f>
        <v>458.91648499713489</v>
      </c>
      <c r="F8" s="21">
        <f>F5</f>
        <v>0</v>
      </c>
      <c r="G8" s="21"/>
      <c r="H8" s="21"/>
      <c r="I8" s="21"/>
      <c r="J8" s="21">
        <f>J5</f>
        <v>0</v>
      </c>
      <c r="K8" s="21"/>
      <c r="L8" s="21">
        <f>L5</f>
        <v>0</v>
      </c>
      <c r="M8" s="21">
        <f>M5</f>
        <v>0</v>
      </c>
      <c r="N8" s="21">
        <f>N5</f>
        <v>1717.7802564929666</v>
      </c>
      <c r="O8" s="21">
        <f>O5</f>
        <v>136.89311713770519</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0.20763751383292653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2823.3883621284272</v>
      </c>
      <c r="C12" s="23">
        <f ca="1">C10*C8</f>
        <v>0</v>
      </c>
      <c r="D12" s="23">
        <f>D8*D10</f>
        <v>9072.5064727963618</v>
      </c>
      <c r="E12" s="23">
        <f>E10*E8</f>
        <v>104.17404209434962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2061</v>
      </c>
      <c r="C18" s="166" t="s">
        <v>110</v>
      </c>
      <c r="D18" s="228"/>
      <c r="E18" s="15"/>
    </row>
    <row r="19" spans="1:7">
      <c r="A19" s="171" t="s">
        <v>71</v>
      </c>
      <c r="B19" s="37">
        <f>aantalw2001_ander</f>
        <v>1</v>
      </c>
      <c r="C19" s="166" t="s">
        <v>110</v>
      </c>
      <c r="D19" s="229"/>
      <c r="E19" s="15"/>
    </row>
    <row r="20" spans="1:7">
      <c r="A20" s="171" t="s">
        <v>72</v>
      </c>
      <c r="B20" s="37">
        <f>aantalw2001_propaan</f>
        <v>4</v>
      </c>
      <c r="C20" s="167">
        <f>IF(ISERROR(B20/SUM($B$20,$B$21,$B$22)*100),0,B20/SUM($B$20,$B$21,$B$22)*100)</f>
        <v>1.6528925619834711</v>
      </c>
      <c r="D20" s="229"/>
      <c r="E20" s="15"/>
    </row>
    <row r="21" spans="1:7">
      <c r="A21" s="171" t="s">
        <v>73</v>
      </c>
      <c r="B21" s="37">
        <f>aantalw2001_elektriciteit</f>
        <v>226</v>
      </c>
      <c r="C21" s="167">
        <f>IF(ISERROR(B21/SUM($B$20,$B$21,$B$22)*100),0,B21/SUM($B$20,$B$21,$B$22)*100)</f>
        <v>93.388429752066116</v>
      </c>
      <c r="D21" s="229"/>
      <c r="E21" s="15"/>
    </row>
    <row r="22" spans="1:7">
      <c r="A22" s="171" t="s">
        <v>74</v>
      </c>
      <c r="B22" s="37">
        <f>aantalw2001_hout</f>
        <v>12</v>
      </c>
      <c r="C22" s="167">
        <f>IF(ISERROR(B22/SUM($B$20,$B$21,$B$22)*100),0,B22/SUM($B$20,$B$21,$B$22)*100)</f>
        <v>4.9586776859504136</v>
      </c>
      <c r="D22" s="229"/>
      <c r="E22" s="15"/>
    </row>
    <row r="23" spans="1:7">
      <c r="A23" s="171" t="s">
        <v>75</v>
      </c>
      <c r="B23" s="37">
        <f>aantalw2001_niet_gespec</f>
        <v>31</v>
      </c>
      <c r="C23" s="166" t="s">
        <v>110</v>
      </c>
      <c r="D23" s="228"/>
      <c r="E23" s="15"/>
    </row>
    <row r="24" spans="1:7">
      <c r="A24" s="171" t="s">
        <v>76</v>
      </c>
      <c r="B24" s="37">
        <f>aantalw2001_steenkool</f>
        <v>25</v>
      </c>
      <c r="C24" s="166" t="s">
        <v>110</v>
      </c>
      <c r="D24" s="229"/>
      <c r="E24" s="15"/>
    </row>
    <row r="25" spans="1:7">
      <c r="A25" s="171" t="s">
        <v>77</v>
      </c>
      <c r="B25" s="37">
        <f>aantalw2001_stookolie</f>
        <v>568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3250</v>
      </c>
      <c r="C28" s="36"/>
      <c r="D28" s="228"/>
    </row>
    <row r="29" spans="1:7" s="15" customFormat="1">
      <c r="A29" s="230" t="s">
        <v>819</v>
      </c>
      <c r="B29" s="37">
        <f>SUM(HH_hh_gas_aantal,HH_rest_gas_aantal)</f>
        <v>2656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2656</v>
      </c>
      <c r="C32" s="167">
        <f>IF(ISERROR(B32/SUM($B$32,$B$34,$B$35,$B$36,$B$38,$B$39)*100),0,B32/SUM($B$32,$B$34,$B$35,$B$36,$B$38,$B$39)*100)</f>
        <v>83.864856330912545</v>
      </c>
      <c r="D32" s="233"/>
      <c r="G32" s="15"/>
    </row>
    <row r="33" spans="1:7">
      <c r="A33" s="171" t="s">
        <v>71</v>
      </c>
      <c r="B33" s="34" t="s">
        <v>110</v>
      </c>
      <c r="C33" s="167"/>
      <c r="D33" s="233"/>
      <c r="G33" s="15"/>
    </row>
    <row r="34" spans="1:7">
      <c r="A34" s="171" t="s">
        <v>72</v>
      </c>
      <c r="B34" s="33">
        <f>IF((($B$28-$B$32-$B$39-$B$77-$B$38)*C20/100)&lt;0,0,($B$28-$B$32-$B$39-$B$77-$B$38)*C20/100)</f>
        <v>8.4462809917355379</v>
      </c>
      <c r="C34" s="167">
        <f>IF(ISERROR(B34/SUM($B$32,$B$34,$B$35,$B$36,$B$38,$B$39)*100),0,B34/SUM($B$32,$B$34,$B$35,$B$36,$B$38,$B$39)*100)</f>
        <v>0.26669658957169368</v>
      </c>
      <c r="D34" s="233"/>
      <c r="G34" s="15"/>
    </row>
    <row r="35" spans="1:7">
      <c r="A35" s="171" t="s">
        <v>73</v>
      </c>
      <c r="B35" s="33">
        <f>IF((($B$28-$B$32-$B$39-$B$77-$B$38)*C21/100)&lt;0,0,($B$28-$B$32-$B$39-$B$77-$B$38)*C21/100)</f>
        <v>477.21487603305786</v>
      </c>
      <c r="C35" s="167">
        <f>IF(ISERROR(B35/SUM($B$32,$B$34,$B$35,$B$36,$B$38,$B$39)*100),0,B35/SUM($B$32,$B$34,$B$35,$B$36,$B$38,$B$39)*100)</f>
        <v>15.068357310800689</v>
      </c>
      <c r="D35" s="233"/>
      <c r="G35" s="15"/>
    </row>
    <row r="36" spans="1:7">
      <c r="A36" s="171" t="s">
        <v>74</v>
      </c>
      <c r="B36" s="33">
        <f>IF((($B$28-$B$32-$B$39-$B$77-$B$38)*C22/100)&lt;0,0,($B$28-$B$32-$B$39-$B$77-$B$38)*C22/100)</f>
        <v>25.338842975206614</v>
      </c>
      <c r="C36" s="167">
        <f>IF(ISERROR(B36/SUM($B$32,$B$34,$B$35,$B$36,$B$38,$B$39)*100),0,B36/SUM($B$32,$B$34,$B$35,$B$36,$B$38,$B$39)*100)</f>
        <v>0.80008976871508097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2656</v>
      </c>
      <c r="C44" s="34" t="s">
        <v>110</v>
      </c>
      <c r="D44" s="174"/>
    </row>
    <row r="45" spans="1:7">
      <c r="A45" s="171" t="s">
        <v>71</v>
      </c>
      <c r="B45" s="33" t="str">
        <f t="shared" si="0"/>
        <v>-</v>
      </c>
      <c r="C45" s="34" t="s">
        <v>110</v>
      </c>
      <c r="D45" s="174"/>
    </row>
    <row r="46" spans="1:7">
      <c r="A46" s="171" t="s">
        <v>72</v>
      </c>
      <c r="B46" s="33">
        <f t="shared" si="0"/>
        <v>8.4462809917355379</v>
      </c>
      <c r="C46" s="34" t="s">
        <v>110</v>
      </c>
      <c r="D46" s="174"/>
    </row>
    <row r="47" spans="1:7">
      <c r="A47" s="171" t="s">
        <v>73</v>
      </c>
      <c r="B47" s="33">
        <f t="shared" si="0"/>
        <v>477.21487603305786</v>
      </c>
      <c r="C47" s="34" t="s">
        <v>110</v>
      </c>
      <c r="D47" s="174"/>
    </row>
    <row r="48" spans="1:7">
      <c r="A48" s="171" t="s">
        <v>74</v>
      </c>
      <c r="B48" s="33">
        <f t="shared" si="0"/>
        <v>25.338842975206614</v>
      </c>
      <c r="C48" s="33">
        <f>B48*10</f>
        <v>253.38842975206614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7452.1056069999995</v>
      </c>
      <c r="C5" s="17">
        <f>IF(ISERROR('Eigen informatie GS &amp; warmtenet'!B60),0,'Eigen informatie GS &amp; warmtenet'!B60)</f>
        <v>0</v>
      </c>
      <c r="D5" s="30">
        <f>SUM(D6:D12)</f>
        <v>11116.474769114</v>
      </c>
      <c r="E5" s="17">
        <f>SUM(E6:E12)</f>
        <v>86.203121020926403</v>
      </c>
      <c r="F5" s="17">
        <f>SUM(F6:F12)</f>
        <v>838.42997909305222</v>
      </c>
      <c r="G5" s="18"/>
      <c r="H5" s="17"/>
      <c r="I5" s="17"/>
      <c r="J5" s="17">
        <f>SUM(J6:J12)</f>
        <v>5.8676597457426411E-3</v>
      </c>
      <c r="K5" s="17"/>
      <c r="L5" s="17"/>
      <c r="M5" s="17"/>
      <c r="N5" s="17">
        <f>SUM(N6:N12)</f>
        <v>238.92143737190037</v>
      </c>
      <c r="O5" s="17">
        <f>B38*B39*B40</f>
        <v>4.8972607658411542</v>
      </c>
      <c r="P5" s="17">
        <f>B46*B47*B48/1000-B46*B47*B48/1000/B49</f>
        <v>0</v>
      </c>
      <c r="R5" s="32"/>
    </row>
    <row r="6" spans="1:18">
      <c r="A6" s="32" t="s">
        <v>53</v>
      </c>
      <c r="B6" s="37">
        <f>B26</f>
        <v>2667.3955390000001</v>
      </c>
      <c r="C6" s="33"/>
      <c r="D6" s="37">
        <f>IF(ISERROR(TER_kantoor_gas_kWh/1000),0,TER_kantoor_gas_kWh/1000)*0.902</f>
        <v>4396.3276851560004</v>
      </c>
      <c r="E6" s="33">
        <f>$C$26*'E Balans VL '!I12/100/3.6*1000000</f>
        <v>21.463676667945784</v>
      </c>
      <c r="F6" s="33">
        <f>$C$26*('E Balans VL '!L12+'E Balans VL '!N12)/100/3.6*1000000</f>
        <v>326.11716474545761</v>
      </c>
      <c r="G6" s="34"/>
      <c r="H6" s="33"/>
      <c r="I6" s="33"/>
      <c r="J6" s="33">
        <f>$C$26*('E Balans VL '!D12+'E Balans VL '!E12)/100/3.6*1000000</f>
        <v>0</v>
      </c>
      <c r="K6" s="33"/>
      <c r="L6" s="33"/>
      <c r="M6" s="33"/>
      <c r="N6" s="33">
        <f>$C$26*'E Balans VL '!Y12/100/3.6*1000000</f>
        <v>1.4335937471993481</v>
      </c>
      <c r="O6" s="33"/>
      <c r="P6" s="33"/>
      <c r="R6" s="32"/>
    </row>
    <row r="7" spans="1:18">
      <c r="A7" s="32" t="s">
        <v>52</v>
      </c>
      <c r="B7" s="37">
        <f t="shared" ref="B7:B12" si="0">B27</f>
        <v>647.25608900000009</v>
      </c>
      <c r="C7" s="33"/>
      <c r="D7" s="37">
        <f>IF(ISERROR(TER_horeca_gas_kWh/1000),0,TER_horeca_gas_kWh/1000)*0.902</f>
        <v>637.93813256800013</v>
      </c>
      <c r="E7" s="33">
        <f>$C$27*'E Balans VL '!I9/100/3.6*1000000</f>
        <v>6.9499410127745085</v>
      </c>
      <c r="F7" s="33">
        <f>$C$27*('E Balans VL '!L9+'E Balans VL '!N9)/100/3.6*1000000</f>
        <v>77.849212392696117</v>
      </c>
      <c r="G7" s="34"/>
      <c r="H7" s="33"/>
      <c r="I7" s="33"/>
      <c r="J7" s="33">
        <f>$C$27*('E Balans VL '!D9+'E Balans VL '!E9)/100/3.6*1000000</f>
        <v>0</v>
      </c>
      <c r="K7" s="33"/>
      <c r="L7" s="33"/>
      <c r="M7" s="33"/>
      <c r="N7" s="33">
        <f>$C$27*'E Balans VL '!Y9/100/3.6*1000000</f>
        <v>9.7036806099001935E-2</v>
      </c>
      <c r="O7" s="33"/>
      <c r="P7" s="33"/>
      <c r="R7" s="32"/>
    </row>
    <row r="8" spans="1:18">
      <c r="A8" s="6" t="s">
        <v>51</v>
      </c>
      <c r="B8" s="37">
        <f t="shared" si="0"/>
        <v>993.31598699999995</v>
      </c>
      <c r="C8" s="33"/>
      <c r="D8" s="37">
        <f>IF(ISERROR(TER_handel_gas_kWh/1000),0,TER_handel_gas_kWh/1000)*0.902</f>
        <v>680.21989670799996</v>
      </c>
      <c r="E8" s="33">
        <f>$C$28*'E Balans VL '!I13/100/3.6*1000000</f>
        <v>26.657560083685986</v>
      </c>
      <c r="F8" s="33">
        <f>$C$28*('E Balans VL '!L13+'E Balans VL '!N13)/100/3.6*1000000</f>
        <v>94.792959947914113</v>
      </c>
      <c r="G8" s="34"/>
      <c r="H8" s="33"/>
      <c r="I8" s="33"/>
      <c r="J8" s="33">
        <f>$C$28*('E Balans VL '!D13+'E Balans VL '!E13)/100/3.6*1000000</f>
        <v>0</v>
      </c>
      <c r="K8" s="33"/>
      <c r="L8" s="33"/>
      <c r="M8" s="33"/>
      <c r="N8" s="33">
        <f>$C$28*'E Balans VL '!Y13/100/3.6*1000000</f>
        <v>0.3937617516324764</v>
      </c>
      <c r="O8" s="33"/>
      <c r="P8" s="33"/>
      <c r="R8" s="32"/>
    </row>
    <row r="9" spans="1:18">
      <c r="A9" s="32" t="s">
        <v>50</v>
      </c>
      <c r="B9" s="37">
        <f t="shared" si="0"/>
        <v>767.03168299999993</v>
      </c>
      <c r="C9" s="33"/>
      <c r="D9" s="37">
        <f>IF(ISERROR(TER_gezond_gas_kWh/1000),0,TER_gezond_gas_kWh/1000)*0.902</f>
        <v>1309.8493509859998</v>
      </c>
      <c r="E9" s="33">
        <f>$C$29*'E Balans VL '!I10/100/3.6*1000000</f>
        <v>1.4376671303033546</v>
      </c>
      <c r="F9" s="33">
        <f>$C$29*('E Balans VL '!L10+'E Balans VL '!N10)/100/3.6*1000000</f>
        <v>63.057002967440127</v>
      </c>
      <c r="G9" s="34"/>
      <c r="H9" s="33"/>
      <c r="I9" s="33"/>
      <c r="J9" s="33">
        <f>$C$29*('E Balans VL '!D10+'E Balans VL '!E10)/100/3.6*1000000</f>
        <v>0</v>
      </c>
      <c r="K9" s="33"/>
      <c r="L9" s="33"/>
      <c r="M9" s="33"/>
      <c r="N9" s="33">
        <f>$C$29*'E Balans VL '!Y10/100/3.6*1000000</f>
        <v>5.9680787816058167</v>
      </c>
      <c r="O9" s="33"/>
      <c r="P9" s="33"/>
      <c r="R9" s="32"/>
    </row>
    <row r="10" spans="1:18">
      <c r="A10" s="32" t="s">
        <v>49</v>
      </c>
      <c r="B10" s="37">
        <f t="shared" si="0"/>
        <v>87.124533</v>
      </c>
      <c r="C10" s="33"/>
      <c r="D10" s="37">
        <f>IF(ISERROR(TER_ander_gas_kWh/1000),0,TER_ander_gas_kWh/1000)*0.902</f>
        <v>149.123789518</v>
      </c>
      <c r="E10" s="33">
        <f>$C$30*'E Balans VL '!I14/100/3.6*1000000</f>
        <v>0.13430335043875222</v>
      </c>
      <c r="F10" s="33">
        <f>$C$30*('E Balans VL '!L14+'E Balans VL '!N14)/100/3.6*1000000</f>
        <v>13.526107800299689</v>
      </c>
      <c r="G10" s="34"/>
      <c r="H10" s="33"/>
      <c r="I10" s="33"/>
      <c r="J10" s="33">
        <f>$C$30*('E Balans VL '!D14+'E Balans VL '!E14)/100/3.6*1000000</f>
        <v>1.4790308313681758E-3</v>
      </c>
      <c r="K10" s="33"/>
      <c r="L10" s="33"/>
      <c r="M10" s="33"/>
      <c r="N10" s="33">
        <f>$C$30*'E Balans VL '!Y14/100/3.6*1000000</f>
        <v>57.638798712477559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2289.9817760000001</v>
      </c>
      <c r="C12" s="33"/>
      <c r="D12" s="37">
        <f>IF(ISERROR(TER_rest_gas_kWh/1000),0,TER_rest_gas_kWh/1000)*0.902</f>
        <v>3943.0159141779995</v>
      </c>
      <c r="E12" s="33">
        <f>$C$32*'E Balans VL '!I8/100/3.6*1000000</f>
        <v>29.559972775778018</v>
      </c>
      <c r="F12" s="33">
        <f>$C$32*('E Balans VL '!L8+'E Balans VL '!N8)/100/3.6*1000000</f>
        <v>263.08753123924464</v>
      </c>
      <c r="G12" s="34"/>
      <c r="H12" s="33"/>
      <c r="I12" s="33"/>
      <c r="J12" s="33">
        <f>$C$32*('E Balans VL '!D8+'E Balans VL '!E8)/100/3.6*1000000</f>
        <v>4.3886289143744654E-3</v>
      </c>
      <c r="K12" s="33"/>
      <c r="L12" s="33"/>
      <c r="M12" s="33"/>
      <c r="N12" s="33">
        <f>$C$32*'E Balans VL '!Y8/100/3.6*1000000</f>
        <v>173.39016757288618</v>
      </c>
      <c r="O12" s="33"/>
      <c r="P12" s="33"/>
      <c r="R12" s="32"/>
    </row>
    <row r="13" spans="1:18">
      <c r="A13" s="16" t="s">
        <v>478</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7495.7556069999991</v>
      </c>
      <c r="C16" s="21">
        <f t="shared" ca="1" si="1"/>
        <v>62.357142857142847</v>
      </c>
      <c r="D16" s="21">
        <f t="shared" ca="1" si="1"/>
        <v>11116.474769114</v>
      </c>
      <c r="E16" s="21">
        <f t="shared" si="1"/>
        <v>86.203121020926403</v>
      </c>
      <c r="F16" s="21">
        <f t="shared" ca="1" si="1"/>
        <v>838.42997909305222</v>
      </c>
      <c r="G16" s="21">
        <f t="shared" si="1"/>
        <v>0</v>
      </c>
      <c r="H16" s="21">
        <f t="shared" si="1"/>
        <v>0</v>
      </c>
      <c r="I16" s="21">
        <f t="shared" si="1"/>
        <v>0</v>
      </c>
      <c r="J16" s="21">
        <f t="shared" si="1"/>
        <v>5.8676597457426411E-3</v>
      </c>
      <c r="K16" s="21">
        <f t="shared" si="1"/>
        <v>0</v>
      </c>
      <c r="L16" s="21">
        <f t="shared" ca="1" si="1"/>
        <v>0</v>
      </c>
      <c r="M16" s="21">
        <f t="shared" si="1"/>
        <v>0</v>
      </c>
      <c r="N16" s="21">
        <f t="shared" ca="1" si="1"/>
        <v>114.20715165761467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0.20763751383292653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1556.4000585366989</v>
      </c>
      <c r="C20" s="23">
        <f t="shared" ref="C20:P20" ca="1" si="2">C16*C18</f>
        <v>0</v>
      </c>
      <c r="D20" s="23">
        <f t="shared" ca="1" si="2"/>
        <v>2245.5279033610282</v>
      </c>
      <c r="E20" s="23">
        <f t="shared" si="2"/>
        <v>19.568108471750293</v>
      </c>
      <c r="F20" s="23">
        <f t="shared" ca="1" si="2"/>
        <v>223.86080441784495</v>
      </c>
      <c r="G20" s="23">
        <f t="shared" si="2"/>
        <v>0</v>
      </c>
      <c r="H20" s="23">
        <f t="shared" si="2"/>
        <v>0</v>
      </c>
      <c r="I20" s="23">
        <f t="shared" si="2"/>
        <v>0</v>
      </c>
      <c r="J20" s="23">
        <f t="shared" si="2"/>
        <v>2.0771515499928947E-3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2667.3955390000001</v>
      </c>
      <c r="C26" s="39">
        <f>IF(ISERROR(B26*3.6/1000000/'E Balans VL '!Z12*100),0,B26*3.6/1000000/'E Balans VL '!Z12*100)</f>
        <v>5.6586355973205368E-2</v>
      </c>
      <c r="D26" s="237" t="s">
        <v>708</v>
      </c>
      <c r="F26" s="6"/>
    </row>
    <row r="27" spans="1:18">
      <c r="A27" s="231" t="s">
        <v>52</v>
      </c>
      <c r="B27" s="33">
        <f>IF(ISERROR(TER_horeca_ele_kWh/1000),0,TER_horeca_ele_kWh/1000)</f>
        <v>647.25608900000009</v>
      </c>
      <c r="C27" s="39">
        <f>IF(ISERROR(B27*3.6/1000000/'E Balans VL '!Z9*100),0,B27*3.6/1000000/'E Balans VL '!Z9*100)</f>
        <v>4.874411722400885E-2</v>
      </c>
      <c r="D27" s="237" t="s">
        <v>708</v>
      </c>
      <c r="F27" s="6"/>
    </row>
    <row r="28" spans="1:18">
      <c r="A28" s="171" t="s">
        <v>51</v>
      </c>
      <c r="B28" s="33">
        <f>IF(ISERROR(TER_handel_ele_kWh/1000),0,TER_handel_ele_kWh/1000)</f>
        <v>993.31598699999995</v>
      </c>
      <c r="C28" s="39">
        <f>IF(ISERROR(B28*3.6/1000000/'E Balans VL '!Z13*100),0,B28*3.6/1000000/'E Balans VL '!Z13*100)</f>
        <v>2.8832443509463058E-2</v>
      </c>
      <c r="D28" s="237" t="s">
        <v>708</v>
      </c>
      <c r="F28" s="6"/>
    </row>
    <row r="29" spans="1:18">
      <c r="A29" s="231" t="s">
        <v>50</v>
      </c>
      <c r="B29" s="33">
        <f>IF(ISERROR(TER_gezond_ele_kWh/1000),0,TER_gezond_ele_kWh/1000)</f>
        <v>767.03168299999993</v>
      </c>
      <c r="C29" s="39">
        <f>IF(ISERROR(B29*3.6/1000000/'E Balans VL '!Z10*100),0,B29*3.6/1000000/'E Balans VL '!Z10*100)</f>
        <v>7.7356059953087808E-2</v>
      </c>
      <c r="D29" s="237" t="s">
        <v>708</v>
      </c>
      <c r="F29" s="6"/>
    </row>
    <row r="30" spans="1:18">
      <c r="A30" s="231" t="s">
        <v>49</v>
      </c>
      <c r="B30" s="33">
        <f>IF(ISERROR(TER_ander_ele_kWh/1000),0,TER_ander_ele_kWh/1000)</f>
        <v>87.124533</v>
      </c>
      <c r="C30" s="39">
        <f>IF(ISERROR(B30*3.6/1000000/'E Balans VL '!Z14*100),0,B30*3.6/1000000/'E Balans VL '!Z14*100)</f>
        <v>6.322073465715344E-3</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2289.9817760000001</v>
      </c>
      <c r="C32" s="39">
        <f>IF(ISERROR(B32*3.6/1000000/'E Balans VL '!Z8*100),0,B32*3.6/1000000/'E Balans VL '!Z8*100)</f>
        <v>1.8759064261542301E-2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899.48904300000004</v>
      </c>
      <c r="C5" s="17">
        <f>IF(ISERROR('Eigen informatie GS &amp; warmtenet'!B61),0,'Eigen informatie GS &amp; warmtenet'!B61)</f>
        <v>0</v>
      </c>
      <c r="D5" s="30">
        <f>SUM(D6:D15)</f>
        <v>1415.2626155799999</v>
      </c>
      <c r="E5" s="17">
        <f>SUM(E6:E15)</f>
        <v>57.538104145117494</v>
      </c>
      <c r="F5" s="17">
        <f>SUM(F6:F15)</f>
        <v>205.3615253461445</v>
      </c>
      <c r="G5" s="18"/>
      <c r="H5" s="17"/>
      <c r="I5" s="17"/>
      <c r="J5" s="17">
        <f>SUM(J6:J15)</f>
        <v>1.2622671440955633</v>
      </c>
      <c r="K5" s="17"/>
      <c r="L5" s="17"/>
      <c r="M5" s="17"/>
      <c r="N5" s="17">
        <f>SUM(N6:N15)</f>
        <v>51.96976422953486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177.94185399999998</v>
      </c>
      <c r="C9" s="33"/>
      <c r="D9" s="37">
        <f>IF( ISERROR(IND_andere_gas_kWh/1000),0,IND_andere_gas_kWh/1000)*0.902</f>
        <v>253.29115218000004</v>
      </c>
      <c r="E9" s="33">
        <f>C31*'E Balans VL '!I19/100/3.6*1000000</f>
        <v>49.310067124082089</v>
      </c>
      <c r="F9" s="33">
        <f>C31*'E Balans VL '!L19/100/3.6*1000000+C31*'E Balans VL '!N19/100/3.6*1000000</f>
        <v>147.47859313051006</v>
      </c>
      <c r="G9" s="34"/>
      <c r="H9" s="33"/>
      <c r="I9" s="33"/>
      <c r="J9" s="40">
        <f>C31*'E Balans VL '!D19/100/3.6*1000000+C31*'E Balans VL '!E19/100/3.6*1000000</f>
        <v>0</v>
      </c>
      <c r="K9" s="33"/>
      <c r="L9" s="33"/>
      <c r="M9" s="33"/>
      <c r="N9" s="33">
        <f>C31*'E Balans VL '!Y19/100/3.6*1000000</f>
        <v>12.916402135905312</v>
      </c>
      <c r="O9" s="33"/>
      <c r="P9" s="33"/>
      <c r="R9" s="32"/>
    </row>
    <row r="10" spans="1:18">
      <c r="A10" s="6" t="s">
        <v>40</v>
      </c>
      <c r="B10" s="37">
        <f t="shared" si="0"/>
        <v>568.752791</v>
      </c>
      <c r="C10" s="33"/>
      <c r="D10" s="37">
        <f>IF( ISERROR(IND_voed_gas_kWh/1000),0,IND_voed_gas_kWh/1000)*0.902</f>
        <v>828.6082675859999</v>
      </c>
      <c r="E10" s="33">
        <f>C32*'E Balans VL '!I20/100/3.6*1000000</f>
        <v>1.0068850889915859</v>
      </c>
      <c r="F10" s="33">
        <f>C32*'E Balans VL '!L20/100/3.6*1000000+C32*'E Balans VL '!N20/100/3.6*1000000</f>
        <v>30.717691524769819</v>
      </c>
      <c r="G10" s="34"/>
      <c r="H10" s="33"/>
      <c r="I10" s="33"/>
      <c r="J10" s="40">
        <f>C32*'E Balans VL '!D20/100/3.6*1000000+C32*'E Balans VL '!E20/100/3.6*1000000</f>
        <v>0</v>
      </c>
      <c r="K10" s="33"/>
      <c r="L10" s="33"/>
      <c r="M10" s="33"/>
      <c r="N10" s="33">
        <f>C32*'E Balans VL '!Y20/100/3.6*1000000</f>
        <v>33.048880776290225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152.79439799999997</v>
      </c>
      <c r="C15" s="33"/>
      <c r="D15" s="37">
        <f>IF( ISERROR(IND_rest_gas_kWh/1000),0,IND_rest_gas_kWh/1000)*0.902</f>
        <v>333.36319581399999</v>
      </c>
      <c r="E15" s="33">
        <f>C37*'E Balans VL '!I15/100/3.6*1000000</f>
        <v>7.2211519320438162</v>
      </c>
      <c r="F15" s="33">
        <f>C37*'E Balans VL '!L15/100/3.6*1000000+C37*'E Balans VL '!N15/100/3.6*1000000</f>
        <v>27.165240690864611</v>
      </c>
      <c r="G15" s="34"/>
      <c r="H15" s="33"/>
      <c r="I15" s="33"/>
      <c r="J15" s="40">
        <f>C37*'E Balans VL '!D15/100/3.6*1000000+C37*'E Balans VL '!E15/100/3.6*1000000</f>
        <v>1.2622671440955633</v>
      </c>
      <c r="K15" s="33"/>
      <c r="L15" s="33"/>
      <c r="M15" s="33"/>
      <c r="N15" s="33">
        <f>C37*'E Balans VL '!Y15/100/3.6*1000000</f>
        <v>6.0044813173393266</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899.48904300000004</v>
      </c>
      <c r="C18" s="21">
        <f>C5+C16</f>
        <v>0</v>
      </c>
      <c r="D18" s="21">
        <f>MAX((D5+D16),0)</f>
        <v>1415.2626155799999</v>
      </c>
      <c r="E18" s="21">
        <f>MAX((E5+E16),0)</f>
        <v>57.538104145117494</v>
      </c>
      <c r="F18" s="21">
        <f>MAX((F5+F16),0)</f>
        <v>205.3615253461445</v>
      </c>
      <c r="G18" s="21"/>
      <c r="H18" s="21"/>
      <c r="I18" s="21"/>
      <c r="J18" s="21">
        <f>MAX((J5+J16),0)</f>
        <v>1.2622671440955633</v>
      </c>
      <c r="K18" s="21"/>
      <c r="L18" s="21">
        <f>MAX((L5+L16),0)</f>
        <v>0</v>
      </c>
      <c r="M18" s="21"/>
      <c r="N18" s="21">
        <f>MAX((N5+N16),0)</f>
        <v>51.96976422953486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0.20763751383292653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186.76766860847835</v>
      </c>
      <c r="C22" s="23">
        <f ca="1">C18*C20</f>
        <v>0</v>
      </c>
      <c r="D22" s="23">
        <f>D18*D20</f>
        <v>285.88304834716001</v>
      </c>
      <c r="E22" s="23">
        <f>E18*E20</f>
        <v>13.061149640941672</v>
      </c>
      <c r="F22" s="23">
        <f>F18*F20</f>
        <v>54.831527267420583</v>
      </c>
      <c r="G22" s="23"/>
      <c r="H22" s="23"/>
      <c r="I22" s="23"/>
      <c r="J22" s="23">
        <f>J18*J20</f>
        <v>0.44684256900982938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177.94185399999998</v>
      </c>
      <c r="C31" s="39">
        <f>IF(ISERROR(B31*3.6/1000000/'E Balans VL '!Z19*100),0,B31*3.6/1000000/'E Balans VL '!Z19*100)</f>
        <v>8.9498984800135944E-3</v>
      </c>
      <c r="D31" s="237" t="s">
        <v>708</v>
      </c>
    </row>
    <row r="32" spans="1:18">
      <c r="A32" s="171" t="s">
        <v>40</v>
      </c>
      <c r="B32" s="37">
        <f>IF( ISERROR(IND_voed_ele_kWh/1000),0,IND_voed_ele_kWh/1000)</f>
        <v>568.752791</v>
      </c>
      <c r="C32" s="39">
        <f>IF(ISERROR(B32*3.6/1000000/'E Balans VL '!Z20*100),0,B32*3.6/1000000/'E Balans VL '!Z20*100)</f>
        <v>1.8942845335472205E-2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152.79439799999997</v>
      </c>
      <c r="C37" s="39">
        <f>IF(ISERROR(B37*3.6/1000000/'E Balans VL '!Z15*100),0,B37*3.6/1000000/'E Balans VL '!Z15*100)</f>
        <v>1.1922141407269028E-3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332.47567799999996</v>
      </c>
      <c r="C5" s="17">
        <f>'Eigen informatie GS &amp; warmtenet'!B62</f>
        <v>0</v>
      </c>
      <c r="D5" s="30">
        <f>IF(ISERROR(SUM(LB_lb_gas_kWh,LB_rest_gas_kWh)/1000),0,SUM(LB_lb_gas_kWh,LB_rest_gas_kWh)/1000)*0.902</f>
        <v>24.608126773999999</v>
      </c>
      <c r="E5" s="17">
        <f>B17*'E Balans VL '!I25/3.6*1000000/100</f>
        <v>10.376456273427074</v>
      </c>
      <c r="F5" s="17">
        <f>B17*('E Balans VL '!L25/3.6*1000000+'E Balans VL '!N25/3.6*1000000)/100</f>
        <v>1175.0058767140652</v>
      </c>
      <c r="G5" s="18"/>
      <c r="H5" s="17"/>
      <c r="I5" s="17"/>
      <c r="J5" s="17">
        <f>('E Balans VL '!D25+'E Balans VL '!E25)/3.6*1000000*landbouw!B17/100</f>
        <v>91.599354987619932</v>
      </c>
      <c r="K5" s="17"/>
      <c r="L5" s="17">
        <f>L6*(-1)</f>
        <v>0</v>
      </c>
      <c r="M5" s="17"/>
      <c r="N5" s="17">
        <f>N6*(-1)</f>
        <v>124.71428571428569</v>
      </c>
      <c r="O5" s="17"/>
      <c r="P5" s="17"/>
      <c r="R5" s="32"/>
    </row>
    <row r="6" spans="1:18">
      <c r="A6" s="16" t="s">
        <v>478</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332.47567799999996</v>
      </c>
      <c r="C8" s="21">
        <f>C5+C6</f>
        <v>62.357142857142847</v>
      </c>
      <c r="D8" s="21">
        <f>MAX((D5+D6),0)</f>
        <v>24.608126773999999</v>
      </c>
      <c r="E8" s="21">
        <f>MAX((E5+E6),0)</f>
        <v>10.376456273427074</v>
      </c>
      <c r="F8" s="21">
        <f>MAX((F5+F6),0)</f>
        <v>1175.0058767140652</v>
      </c>
      <c r="G8" s="21"/>
      <c r="H8" s="21"/>
      <c r="I8" s="21"/>
      <c r="J8" s="21">
        <f>MAX((J5+J6),0)</f>
        <v>91.599354987619932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0.20763751383292653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69.034423189836616</v>
      </c>
      <c r="C12" s="23">
        <f ca="1">C8*C10</f>
        <v>0</v>
      </c>
      <c r="D12" s="23">
        <f>D8*D10</f>
        <v>4.9708416083480005</v>
      </c>
      <c r="E12" s="23">
        <f>E8*E10</f>
        <v>2.3554555740679457</v>
      </c>
      <c r="F12" s="23">
        <f>F8*F10</f>
        <v>313.72656908265543</v>
      </c>
      <c r="G12" s="23"/>
      <c r="H12" s="23"/>
      <c r="I12" s="23"/>
      <c r="J12" s="23">
        <f>J8*J10</f>
        <v>32.426171665617453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4.9424892946121825E-2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116.59169289734798</v>
      </c>
      <c r="C26" s="247">
        <f>B26*'GWP N2O_CH4'!B5</f>
        <v>2448.4255508443075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24.170839986908263</v>
      </c>
      <c r="C27" s="247">
        <f>B27*'GWP N2O_CH4'!B5</f>
        <v>507.58763972507353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1.1299724146598902</v>
      </c>
      <c r="C28" s="247">
        <f>B28*'GWP N2O_CH4'!B4</f>
        <v>350.29144854456598</v>
      </c>
      <c r="D28" s="50"/>
    </row>
    <row r="29" spans="1:4">
      <c r="A29" s="41" t="s">
        <v>276</v>
      </c>
      <c r="B29" s="247">
        <f>B34*'ha_N2O bodem landbouw'!B4</f>
        <v>0.96578585847442711</v>
      </c>
      <c r="C29" s="247">
        <f>B29*'GWP N2O_CH4'!B4</f>
        <v>299.39361612707239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2.1177945018003913E-4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3.0098197624188351E-5</v>
      </c>
      <c r="C5" s="437" t="s">
        <v>210</v>
      </c>
      <c r="D5" s="422">
        <f>SUM(D6:D11)</f>
        <v>1.1051975438281962E-4</v>
      </c>
      <c r="E5" s="422">
        <f>SUM(E6:E11)</f>
        <v>9.3103506989103443E-5</v>
      </c>
      <c r="F5" s="435" t="s">
        <v>210</v>
      </c>
      <c r="G5" s="422">
        <f>SUM(G6:G11)</f>
        <v>3.3626649726435684E-2</v>
      </c>
      <c r="H5" s="422">
        <f>SUM(H6:H11)</f>
        <v>1.0301683150149898E-2</v>
      </c>
      <c r="I5" s="437" t="s">
        <v>210</v>
      </c>
      <c r="J5" s="437" t="s">
        <v>210</v>
      </c>
      <c r="K5" s="437" t="s">
        <v>210</v>
      </c>
      <c r="L5" s="437" t="s">
        <v>210</v>
      </c>
      <c r="M5" s="422">
        <f>SUM(M6:M11)</f>
        <v>2.62038163559464E-3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2.4034721898797502E-5</v>
      </c>
      <c r="C6" s="423"/>
      <c r="D6" s="890">
        <f>vkm_GW_PW*SUMIFS(TableVerdeelsleutelVkm[CNG],TableVerdeelsleutelVkm[Voertuigtype],"Lichte voertuigen")*SUMIFS(TableECFTransport[EnergieConsumptieFactor (PJ per km)],TableECFTransport[Index],CONCATENATE($A6,"_CNG_CNG"))</f>
        <v>7.7425510916904485E-5</v>
      </c>
      <c r="E6" s="890">
        <f>vkm_GW_PW*SUMIFS(TableVerdeelsleutelVkm[LPG],TableVerdeelsleutelVkm[Voertuigtype],"Lichte voertuigen")*SUMIFS(TableECFTransport[EnergieConsumptieFactor (PJ per km)],TableECFTransport[Index],CONCATENATE($A6,"_LPG_LPG"))</f>
        <v>6.6212485751486488E-5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2.1389906399590992E-2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7.2531860755466453E-3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1.7131915650321521E-3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4.0528176636535108E-3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5.7951653617821689E-8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2.3361416248399462E-4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6.0634757253908502E-6</v>
      </c>
      <c r="C8" s="423"/>
      <c r="D8" s="425">
        <f>vkm_NGW_PW*SUMIFS(TableVerdeelsleutelVkm[CNG],TableVerdeelsleutelVkm[Voertuigtype],"Lichte voertuigen")*SUMIFS(TableECFTransport[EnergieConsumptieFactor (PJ per km)],TableECFTransport[Index],CONCATENATE($A8,"_CNG_CNG"))</f>
        <v>3.3094243465915131E-5</v>
      </c>
      <c r="E8" s="425">
        <f>vkm_NGW_PW*SUMIFS(TableVerdeelsleutelVkm[LPG],TableVerdeelsleutelVkm[Voertuigtype],"Lichte voertuigen")*SUMIFS(TableECFTransport[EnergieConsumptieFactor (PJ per km)],TableECFTransport[Index],CONCATENATE($A8,"_LPG_LPG"))</f>
        <v>2.6891021237616955E-5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8.1175955928413004E-3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3.048437920394948E-3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6.6975246638853979E-4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6.6330070349878968E-5</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1.2025546882868884E-9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3.8234416899537248E-6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8.3606104511634314</v>
      </c>
      <c r="C14" s="21"/>
      <c r="D14" s="21">
        <f t="shared" ref="D14:M14" si="0">((D5)*10^9/3600)+D12</f>
        <v>30.699931773005449</v>
      </c>
      <c r="E14" s="21">
        <f t="shared" si="0"/>
        <v>25.862085274750953</v>
      </c>
      <c r="F14" s="21"/>
      <c r="G14" s="21">
        <f t="shared" si="0"/>
        <v>9340.7360351210227</v>
      </c>
      <c r="H14" s="21">
        <f t="shared" si="0"/>
        <v>2861.5786528194162</v>
      </c>
      <c r="I14" s="21"/>
      <c r="J14" s="21"/>
      <c r="K14" s="21"/>
      <c r="L14" s="21"/>
      <c r="M14" s="21">
        <f t="shared" si="0"/>
        <v>727.88378766517781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0.20763751383292653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1.735976368205157</v>
      </c>
      <c r="C18" s="23"/>
      <c r="D18" s="23">
        <f t="shared" ref="D18:M18" si="1">D14*D16</f>
        <v>6.2013862181471016</v>
      </c>
      <c r="E18" s="23">
        <f t="shared" si="1"/>
        <v>5.8706933573684665</v>
      </c>
      <c r="F18" s="23"/>
      <c r="G18" s="23">
        <f t="shared" si="1"/>
        <v>2493.976521377313</v>
      </c>
      <c r="H18" s="23">
        <f t="shared" si="1"/>
        <v>712.53308455203467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3.050366726789685E-3</v>
      </c>
      <c r="H50" s="319">
        <f t="shared" si="2"/>
        <v>0</v>
      </c>
      <c r="I50" s="319">
        <f t="shared" si="2"/>
        <v>0</v>
      </c>
      <c r="J50" s="319">
        <f t="shared" si="2"/>
        <v>0</v>
      </c>
      <c r="K50" s="319">
        <f t="shared" si="2"/>
        <v>0</v>
      </c>
      <c r="L50" s="319">
        <f t="shared" si="2"/>
        <v>0</v>
      </c>
      <c r="M50" s="319">
        <f t="shared" si="2"/>
        <v>1.6951304655705239E-4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3.050366726789685E-3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1.6951304655705239E-4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847.32409077491252</v>
      </c>
      <c r="H54" s="21">
        <f t="shared" si="3"/>
        <v>0</v>
      </c>
      <c r="I54" s="21">
        <f t="shared" si="3"/>
        <v>0</v>
      </c>
      <c r="J54" s="21">
        <f t="shared" si="3"/>
        <v>0</v>
      </c>
      <c r="K54" s="21">
        <f t="shared" si="3"/>
        <v>0</v>
      </c>
      <c r="L54" s="21">
        <f t="shared" si="3"/>
        <v>0</v>
      </c>
      <c r="M54" s="21">
        <f t="shared" si="3"/>
        <v>47.086957376958992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0.20763751383292653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226.23553223690166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8113.8836069999988</v>
      </c>
      <c r="D10" s="686">
        <f ca="1">tertiair!C16</f>
        <v>62.357142857142847</v>
      </c>
      <c r="E10" s="686">
        <f ca="1">tertiair!D16</f>
        <v>11116.474769114</v>
      </c>
      <c r="F10" s="686">
        <f>tertiair!E16</f>
        <v>86.203121020926403</v>
      </c>
      <c r="G10" s="686">
        <f ca="1">tertiair!F16</f>
        <v>838.42997909305222</v>
      </c>
      <c r="H10" s="686">
        <f>tertiair!G16</f>
        <v>0</v>
      </c>
      <c r="I10" s="686">
        <f>tertiair!H16</f>
        <v>0</v>
      </c>
      <c r="J10" s="686">
        <f>tertiair!I16</f>
        <v>0</v>
      </c>
      <c r="K10" s="686">
        <f>tertiair!J16</f>
        <v>5.8676597457426411E-3</v>
      </c>
      <c r="L10" s="686">
        <f>tertiair!K16</f>
        <v>0</v>
      </c>
      <c r="M10" s="686">
        <f ca="1">tertiair!L16</f>
        <v>0</v>
      </c>
      <c r="N10" s="686">
        <f>tertiair!M16</f>
        <v>0</v>
      </c>
      <c r="O10" s="686">
        <f ca="1">tertiair!N16</f>
        <v>114.20715165761467</v>
      </c>
      <c r="P10" s="686">
        <f>tertiair!O16</f>
        <v>4.8972607658411542</v>
      </c>
      <c r="Q10" s="687">
        <f>tertiair!P16</f>
        <v>0</v>
      </c>
      <c r="R10" s="689">
        <f ca="1">SUM(C10:Q10)</f>
        <v>20336.458899168323</v>
      </c>
      <c r="S10" s="67"/>
    </row>
    <row r="11" spans="1:19" s="448" customFormat="1">
      <c r="A11" s="808" t="s">
        <v>224</v>
      </c>
      <c r="B11" s="813"/>
      <c r="C11" s="686">
        <f>huishoudens!B8</f>
        <v>13597.679484836437</v>
      </c>
      <c r="D11" s="686">
        <f>huishoudens!C8</f>
        <v>0</v>
      </c>
      <c r="E11" s="686">
        <f>huishoudens!D8</f>
        <v>44913.398380180006</v>
      </c>
      <c r="F11" s="686">
        <f>huishoudens!E8</f>
        <v>458.91648499713489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1717.7802564929666</v>
      </c>
      <c r="P11" s="686">
        <f>huishoudens!O8</f>
        <v>136.89311713770519</v>
      </c>
      <c r="Q11" s="687">
        <f>huishoudens!P8</f>
        <v>874.31862253785675</v>
      </c>
      <c r="R11" s="689">
        <f>SUM(C11:Q11)</f>
        <v>61698.986346182108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899.48904300000004</v>
      </c>
      <c r="D13" s="686">
        <f>industrie!C18</f>
        <v>0</v>
      </c>
      <c r="E13" s="686">
        <f>industrie!D18</f>
        <v>1415.2626155799999</v>
      </c>
      <c r="F13" s="686">
        <f>industrie!E18</f>
        <v>57.538104145117494</v>
      </c>
      <c r="G13" s="686">
        <f>industrie!F18</f>
        <v>205.3615253461445</v>
      </c>
      <c r="H13" s="686">
        <f>industrie!G18</f>
        <v>0</v>
      </c>
      <c r="I13" s="686">
        <f>industrie!H18</f>
        <v>0</v>
      </c>
      <c r="J13" s="686">
        <f>industrie!I18</f>
        <v>0</v>
      </c>
      <c r="K13" s="686">
        <f>industrie!J18</f>
        <v>1.2622671440955633</v>
      </c>
      <c r="L13" s="686">
        <f>industrie!K18</f>
        <v>0</v>
      </c>
      <c r="M13" s="686">
        <f>industrie!L18</f>
        <v>0</v>
      </c>
      <c r="N13" s="686">
        <f>industrie!M18</f>
        <v>0</v>
      </c>
      <c r="O13" s="686">
        <f>industrie!N18</f>
        <v>51.96976422953486</v>
      </c>
      <c r="P13" s="686">
        <f>industrie!O18</f>
        <v>0</v>
      </c>
      <c r="Q13" s="687">
        <f>industrie!P18</f>
        <v>0</v>
      </c>
      <c r="R13" s="689">
        <f>SUM(C13:Q13)</f>
        <v>2630.8833194448921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22611.052134836438</v>
      </c>
      <c r="D16" s="722">
        <f t="shared" ref="D16:R16" ca="1" si="0">SUM(D9:D15)</f>
        <v>62.357142857142847</v>
      </c>
      <c r="E16" s="722">
        <f t="shared" ca="1" si="0"/>
        <v>57445.135764874009</v>
      </c>
      <c r="F16" s="722">
        <f t="shared" si="0"/>
        <v>602.65771016317876</v>
      </c>
      <c r="G16" s="722">
        <f t="shared" ca="1" si="0"/>
        <v>1043.7915044391966</v>
      </c>
      <c r="H16" s="722">
        <f t="shared" si="0"/>
        <v>0</v>
      </c>
      <c r="I16" s="722">
        <f t="shared" si="0"/>
        <v>0</v>
      </c>
      <c r="J16" s="722">
        <f t="shared" si="0"/>
        <v>0</v>
      </c>
      <c r="K16" s="722">
        <f t="shared" si="0"/>
        <v>1.2681348038413058</v>
      </c>
      <c r="L16" s="722">
        <f t="shared" si="0"/>
        <v>0</v>
      </c>
      <c r="M16" s="722">
        <f t="shared" ca="1" si="0"/>
        <v>0</v>
      </c>
      <c r="N16" s="722">
        <f t="shared" si="0"/>
        <v>0</v>
      </c>
      <c r="O16" s="722">
        <f t="shared" ca="1" si="0"/>
        <v>1883.9571723801162</v>
      </c>
      <c r="P16" s="722">
        <f t="shared" si="0"/>
        <v>141.79037790354636</v>
      </c>
      <c r="Q16" s="722">
        <f t="shared" si="0"/>
        <v>874.31862253785675</v>
      </c>
      <c r="R16" s="722">
        <f t="shared" ca="1" si="0"/>
        <v>84666.328564795331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847.32409077491252</v>
      </c>
      <c r="I19" s="686">
        <f>transport!H54</f>
        <v>0</v>
      </c>
      <c r="J19" s="686">
        <f>transport!I54</f>
        <v>0</v>
      </c>
      <c r="K19" s="686">
        <f>transport!J54</f>
        <v>0</v>
      </c>
      <c r="L19" s="686">
        <f>transport!K54</f>
        <v>0</v>
      </c>
      <c r="M19" s="686">
        <f>transport!L54</f>
        <v>0</v>
      </c>
      <c r="N19" s="686">
        <f>transport!M54</f>
        <v>47.086957376958992</v>
      </c>
      <c r="O19" s="686">
        <f>transport!N54</f>
        <v>0</v>
      </c>
      <c r="P19" s="686">
        <f>transport!O54</f>
        <v>0</v>
      </c>
      <c r="Q19" s="687">
        <f>transport!P54</f>
        <v>0</v>
      </c>
      <c r="R19" s="689">
        <f>SUM(C19:Q19)</f>
        <v>894.41104815187146</v>
      </c>
      <c r="S19" s="67"/>
    </row>
    <row r="20" spans="1:19" s="448" customFormat="1">
      <c r="A20" s="808" t="s">
        <v>306</v>
      </c>
      <c r="B20" s="813"/>
      <c r="C20" s="686">
        <f>transport!B14</f>
        <v>8.3606104511634314</v>
      </c>
      <c r="D20" s="686">
        <f>transport!C14</f>
        <v>0</v>
      </c>
      <c r="E20" s="686">
        <f>transport!D14</f>
        <v>30.699931773005449</v>
      </c>
      <c r="F20" s="686">
        <f>transport!E14</f>
        <v>25.862085274750953</v>
      </c>
      <c r="G20" s="686">
        <f>transport!F14</f>
        <v>0</v>
      </c>
      <c r="H20" s="686">
        <f>transport!G14</f>
        <v>9340.7360351210227</v>
      </c>
      <c r="I20" s="686">
        <f>transport!H14</f>
        <v>2861.5786528194162</v>
      </c>
      <c r="J20" s="686">
        <f>transport!I14</f>
        <v>0</v>
      </c>
      <c r="K20" s="686">
        <f>transport!J14</f>
        <v>0</v>
      </c>
      <c r="L20" s="686">
        <f>transport!K14</f>
        <v>0</v>
      </c>
      <c r="M20" s="686">
        <f>transport!L14</f>
        <v>0</v>
      </c>
      <c r="N20" s="686">
        <f>transport!M14</f>
        <v>727.88378766517781</v>
      </c>
      <c r="O20" s="686">
        <f>transport!N14</f>
        <v>0</v>
      </c>
      <c r="P20" s="686">
        <f>transport!O14</f>
        <v>0</v>
      </c>
      <c r="Q20" s="687">
        <f>transport!P14</f>
        <v>0</v>
      </c>
      <c r="R20" s="689">
        <f>SUM(C20:Q20)</f>
        <v>12995.121103104537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8.3606104511634314</v>
      </c>
      <c r="D22" s="811">
        <f t="shared" ref="D22:R22" si="1">SUM(D18:D21)</f>
        <v>0</v>
      </c>
      <c r="E22" s="811">
        <f t="shared" si="1"/>
        <v>30.699931773005449</v>
      </c>
      <c r="F22" s="811">
        <f t="shared" si="1"/>
        <v>25.862085274750953</v>
      </c>
      <c r="G22" s="811">
        <f t="shared" si="1"/>
        <v>0</v>
      </c>
      <c r="H22" s="811">
        <f t="shared" si="1"/>
        <v>10188.060125895936</v>
      </c>
      <c r="I22" s="811">
        <f t="shared" si="1"/>
        <v>2861.5786528194162</v>
      </c>
      <c r="J22" s="811">
        <f t="shared" si="1"/>
        <v>0</v>
      </c>
      <c r="K22" s="811">
        <f t="shared" si="1"/>
        <v>0</v>
      </c>
      <c r="L22" s="811">
        <f t="shared" si="1"/>
        <v>0</v>
      </c>
      <c r="M22" s="811">
        <f t="shared" si="1"/>
        <v>0</v>
      </c>
      <c r="N22" s="811">
        <f t="shared" si="1"/>
        <v>774.97074504213674</v>
      </c>
      <c r="O22" s="811">
        <f t="shared" si="1"/>
        <v>0</v>
      </c>
      <c r="P22" s="811">
        <f t="shared" si="1"/>
        <v>0</v>
      </c>
      <c r="Q22" s="811">
        <f t="shared" si="1"/>
        <v>0</v>
      </c>
      <c r="R22" s="811">
        <f t="shared" si="1"/>
        <v>13889.532151256408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332.47567799999996</v>
      </c>
      <c r="D24" s="686">
        <f>+landbouw!C8</f>
        <v>62.357142857142847</v>
      </c>
      <c r="E24" s="686">
        <f>+landbouw!D8</f>
        <v>24.608126773999999</v>
      </c>
      <c r="F24" s="686">
        <f>+landbouw!E8</f>
        <v>10.376456273427074</v>
      </c>
      <c r="G24" s="686">
        <f>+landbouw!F8</f>
        <v>1175.0058767140652</v>
      </c>
      <c r="H24" s="686">
        <f>+landbouw!G8</f>
        <v>0</v>
      </c>
      <c r="I24" s="686">
        <f>+landbouw!H8</f>
        <v>0</v>
      </c>
      <c r="J24" s="686">
        <f>+landbouw!I8</f>
        <v>0</v>
      </c>
      <c r="K24" s="686">
        <f>+landbouw!J8</f>
        <v>91.599354987619932</v>
      </c>
      <c r="L24" s="686">
        <f>+landbouw!K8</f>
        <v>0</v>
      </c>
      <c r="M24" s="686">
        <f>+landbouw!L8</f>
        <v>0</v>
      </c>
      <c r="N24" s="686">
        <f>+landbouw!M8</f>
        <v>0</v>
      </c>
      <c r="O24" s="686">
        <f>+landbouw!N8</f>
        <v>0</v>
      </c>
      <c r="P24" s="686">
        <f>+landbouw!O8</f>
        <v>0</v>
      </c>
      <c r="Q24" s="687">
        <f>+landbouw!P8</f>
        <v>0</v>
      </c>
      <c r="R24" s="689">
        <f>SUM(C24:Q24)</f>
        <v>1696.422635606255</v>
      </c>
      <c r="S24" s="67"/>
    </row>
    <row r="25" spans="1:19" s="448" customFormat="1" ht="15" thickBot="1">
      <c r="A25" s="830" t="s">
        <v>724</v>
      </c>
      <c r="B25" s="949"/>
      <c r="C25" s="950">
        <f>IF(Onbekend_ele_kWh="---",0,Onbekend_ele_kWh)/1000+IF(REST_rest_ele_kWh="---",0,REST_rest_ele_kWh)/1000</f>
        <v>373.41553899999997</v>
      </c>
      <c r="D25" s="950"/>
      <c r="E25" s="950">
        <f>IF(onbekend_gas_kWh="---",0,onbekend_gas_kWh)/1000+IF(REST_rest_gas_kWh="---",0,REST_rest_gas_kWh)/1000</f>
        <v>983.14004499999999</v>
      </c>
      <c r="F25" s="950"/>
      <c r="G25" s="950"/>
      <c r="H25" s="950"/>
      <c r="I25" s="950"/>
      <c r="J25" s="950"/>
      <c r="K25" s="950"/>
      <c r="L25" s="950"/>
      <c r="M25" s="950"/>
      <c r="N25" s="950"/>
      <c r="O25" s="950"/>
      <c r="P25" s="950"/>
      <c r="Q25" s="951"/>
      <c r="R25" s="689">
        <f>SUM(C25:Q25)</f>
        <v>1356.555584</v>
      </c>
      <c r="S25" s="67"/>
    </row>
    <row r="26" spans="1:19" s="448" customFormat="1" ht="15.75" thickBot="1">
      <c r="A26" s="694" t="s">
        <v>725</v>
      </c>
      <c r="B26" s="816"/>
      <c r="C26" s="811">
        <f>SUM(C24:C25)</f>
        <v>705.89121699999987</v>
      </c>
      <c r="D26" s="811">
        <f t="shared" ref="D26:R26" si="2">SUM(D24:D25)</f>
        <v>62.357142857142847</v>
      </c>
      <c r="E26" s="811">
        <f t="shared" si="2"/>
        <v>1007.748171774</v>
      </c>
      <c r="F26" s="811">
        <f t="shared" si="2"/>
        <v>10.376456273427074</v>
      </c>
      <c r="G26" s="811">
        <f t="shared" si="2"/>
        <v>1175.0058767140652</v>
      </c>
      <c r="H26" s="811">
        <f t="shared" si="2"/>
        <v>0</v>
      </c>
      <c r="I26" s="811">
        <f t="shared" si="2"/>
        <v>0</v>
      </c>
      <c r="J26" s="811">
        <f t="shared" si="2"/>
        <v>0</v>
      </c>
      <c r="K26" s="811">
        <f t="shared" si="2"/>
        <v>91.599354987619932</v>
      </c>
      <c r="L26" s="811">
        <f t="shared" si="2"/>
        <v>0</v>
      </c>
      <c r="M26" s="811">
        <f t="shared" si="2"/>
        <v>0</v>
      </c>
      <c r="N26" s="811">
        <f t="shared" si="2"/>
        <v>0</v>
      </c>
      <c r="O26" s="811">
        <f t="shared" si="2"/>
        <v>0</v>
      </c>
      <c r="P26" s="811">
        <f t="shared" si="2"/>
        <v>0</v>
      </c>
      <c r="Q26" s="811">
        <f t="shared" si="2"/>
        <v>0</v>
      </c>
      <c r="R26" s="811">
        <f t="shared" si="2"/>
        <v>3052.9782196062552</v>
      </c>
      <c r="S26" s="67"/>
    </row>
    <row r="27" spans="1:19" s="448" customFormat="1" ht="17.25" thickTop="1" thickBot="1">
      <c r="A27" s="695" t="s">
        <v>115</v>
      </c>
      <c r="B27" s="803"/>
      <c r="C27" s="696">
        <f ca="1">C22+C16+C26</f>
        <v>23325.303962287602</v>
      </c>
      <c r="D27" s="696">
        <f t="shared" ref="D27:R27" ca="1" si="3">D22+D16+D26</f>
        <v>124.71428571428569</v>
      </c>
      <c r="E27" s="696">
        <f t="shared" ca="1" si="3"/>
        <v>58483.583868421018</v>
      </c>
      <c r="F27" s="696">
        <f t="shared" si="3"/>
        <v>638.89625171135674</v>
      </c>
      <c r="G27" s="696">
        <f t="shared" ca="1" si="3"/>
        <v>2218.797381153262</v>
      </c>
      <c r="H27" s="696">
        <f t="shared" si="3"/>
        <v>10188.060125895936</v>
      </c>
      <c r="I27" s="696">
        <f t="shared" si="3"/>
        <v>2861.5786528194162</v>
      </c>
      <c r="J27" s="696">
        <f t="shared" si="3"/>
        <v>0</v>
      </c>
      <c r="K27" s="696">
        <f t="shared" si="3"/>
        <v>92.867489791461239</v>
      </c>
      <c r="L27" s="696">
        <f t="shared" si="3"/>
        <v>0</v>
      </c>
      <c r="M27" s="696">
        <f t="shared" ca="1" si="3"/>
        <v>0</v>
      </c>
      <c r="N27" s="696">
        <f t="shared" si="3"/>
        <v>774.97074504213674</v>
      </c>
      <c r="O27" s="696">
        <f t="shared" ca="1" si="3"/>
        <v>1883.9571723801162</v>
      </c>
      <c r="P27" s="696">
        <f t="shared" si="3"/>
        <v>141.79037790354636</v>
      </c>
      <c r="Q27" s="696">
        <f t="shared" si="3"/>
        <v>874.31862253785675</v>
      </c>
      <c r="R27" s="696">
        <f t="shared" ca="1" si="3"/>
        <v>101608.838935658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1684.7466196872181</v>
      </c>
      <c r="D40" s="686">
        <f ca="1">tertiair!C20</f>
        <v>0</v>
      </c>
      <c r="E40" s="686">
        <f ca="1">tertiair!D20</f>
        <v>2245.5279033610282</v>
      </c>
      <c r="F40" s="686">
        <f>tertiair!E20</f>
        <v>19.568108471750293</v>
      </c>
      <c r="G40" s="686">
        <f ca="1">tertiair!F20</f>
        <v>223.86080441784495</v>
      </c>
      <c r="H40" s="686">
        <f>tertiair!G20</f>
        <v>0</v>
      </c>
      <c r="I40" s="686">
        <f>tertiair!H20</f>
        <v>0</v>
      </c>
      <c r="J40" s="686">
        <f>tertiair!I20</f>
        <v>0</v>
      </c>
      <c r="K40" s="686">
        <f>tertiair!J20</f>
        <v>2.0771515499928947E-3</v>
      </c>
      <c r="L40" s="686">
        <f>tertiair!K20</f>
        <v>0</v>
      </c>
      <c r="M40" s="686">
        <f ca="1">tertiair!L20</f>
        <v>0</v>
      </c>
      <c r="N40" s="686">
        <f>tertiair!M20</f>
        <v>0</v>
      </c>
      <c r="O40" s="686">
        <f ca="1">tertiair!N20</f>
        <v>0</v>
      </c>
      <c r="P40" s="686">
        <f>tertiair!O20</f>
        <v>0</v>
      </c>
      <c r="Q40" s="769">
        <f>tertiair!P20</f>
        <v>0</v>
      </c>
      <c r="R40" s="849">
        <f t="shared" ca="1" si="4"/>
        <v>4173.7055130893914</v>
      </c>
    </row>
    <row r="41" spans="1:18">
      <c r="A41" s="821" t="s">
        <v>224</v>
      </c>
      <c r="B41" s="828"/>
      <c r="C41" s="686">
        <f ca="1">huishoudens!B12</f>
        <v>2823.3883621284272</v>
      </c>
      <c r="D41" s="686">
        <f ca="1">huishoudens!C12</f>
        <v>0</v>
      </c>
      <c r="E41" s="686">
        <f>huishoudens!D12</f>
        <v>9072.5064727963618</v>
      </c>
      <c r="F41" s="686">
        <f>huishoudens!E12</f>
        <v>104.17404209434962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12000.068877019139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186.76766860847835</v>
      </c>
      <c r="D43" s="686">
        <f ca="1">industrie!C22</f>
        <v>0</v>
      </c>
      <c r="E43" s="686">
        <f>industrie!D22</f>
        <v>285.88304834716001</v>
      </c>
      <c r="F43" s="686">
        <f>industrie!E22</f>
        <v>13.061149640941672</v>
      </c>
      <c r="G43" s="686">
        <f>industrie!F22</f>
        <v>54.831527267420583</v>
      </c>
      <c r="H43" s="686">
        <f>industrie!G22</f>
        <v>0</v>
      </c>
      <c r="I43" s="686">
        <f>industrie!H22</f>
        <v>0</v>
      </c>
      <c r="J43" s="686">
        <f>industrie!I22</f>
        <v>0</v>
      </c>
      <c r="K43" s="686">
        <f>industrie!J22</f>
        <v>0.44684256900982938</v>
      </c>
      <c r="L43" s="686">
        <f>industrie!K22</f>
        <v>0</v>
      </c>
      <c r="M43" s="686">
        <f>industrie!L22</f>
        <v>0</v>
      </c>
      <c r="N43" s="686">
        <f>industrie!M22</f>
        <v>0</v>
      </c>
      <c r="O43" s="686">
        <f>industrie!N22</f>
        <v>0</v>
      </c>
      <c r="P43" s="686">
        <f>industrie!O22</f>
        <v>0</v>
      </c>
      <c r="Q43" s="769">
        <f>industrie!P22</f>
        <v>0</v>
      </c>
      <c r="R43" s="848">
        <f t="shared" ca="1" si="4"/>
        <v>540.99023643301041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4694.9026504241237</v>
      </c>
      <c r="D46" s="722">
        <f t="shared" ref="D46:Q46" ca="1" si="5">SUM(D39:D45)</f>
        <v>0</v>
      </c>
      <c r="E46" s="722">
        <f t="shared" ca="1" si="5"/>
        <v>11603.917424504549</v>
      </c>
      <c r="F46" s="722">
        <f t="shared" si="5"/>
        <v>136.80330020704159</v>
      </c>
      <c r="G46" s="722">
        <f t="shared" ca="1" si="5"/>
        <v>278.69233168526551</v>
      </c>
      <c r="H46" s="722">
        <f t="shared" si="5"/>
        <v>0</v>
      </c>
      <c r="I46" s="722">
        <f t="shared" si="5"/>
        <v>0</v>
      </c>
      <c r="J46" s="722">
        <f t="shared" si="5"/>
        <v>0</v>
      </c>
      <c r="K46" s="722">
        <f t="shared" si="5"/>
        <v>0.44891972055982227</v>
      </c>
      <c r="L46" s="722">
        <f t="shared" si="5"/>
        <v>0</v>
      </c>
      <c r="M46" s="722">
        <f t="shared" ca="1" si="5"/>
        <v>0</v>
      </c>
      <c r="N46" s="722">
        <f t="shared" si="5"/>
        <v>0</v>
      </c>
      <c r="O46" s="722">
        <f t="shared" ca="1" si="5"/>
        <v>0</v>
      </c>
      <c r="P46" s="722">
        <f t="shared" si="5"/>
        <v>0</v>
      </c>
      <c r="Q46" s="722">
        <f t="shared" si="5"/>
        <v>0</v>
      </c>
      <c r="R46" s="722">
        <f ca="1">SUM(R39:R45)</f>
        <v>16714.764626541542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226.23553223690166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226.23553223690166</v>
      </c>
    </row>
    <row r="50" spans="1:18">
      <c r="A50" s="824" t="s">
        <v>306</v>
      </c>
      <c r="B50" s="834"/>
      <c r="C50" s="692">
        <f ca="1">transport!B18</f>
        <v>1.735976368205157</v>
      </c>
      <c r="D50" s="692">
        <f>transport!C18</f>
        <v>0</v>
      </c>
      <c r="E50" s="692">
        <f>transport!D18</f>
        <v>6.2013862181471016</v>
      </c>
      <c r="F50" s="692">
        <f>transport!E18</f>
        <v>5.8706933573684665</v>
      </c>
      <c r="G50" s="692">
        <f>transport!F18</f>
        <v>0</v>
      </c>
      <c r="H50" s="692">
        <f>transport!G18</f>
        <v>2493.976521377313</v>
      </c>
      <c r="I50" s="692">
        <f>transport!H18</f>
        <v>712.53308455203467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3220.3176618730686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1.735976368205157</v>
      </c>
      <c r="D52" s="722">
        <f t="shared" ref="D52:Q52" ca="1" si="6">SUM(D48:D51)</f>
        <v>0</v>
      </c>
      <c r="E52" s="722">
        <f t="shared" si="6"/>
        <v>6.2013862181471016</v>
      </c>
      <c r="F52" s="722">
        <f t="shared" si="6"/>
        <v>5.8706933573684665</v>
      </c>
      <c r="G52" s="722">
        <f t="shared" si="6"/>
        <v>0</v>
      </c>
      <c r="H52" s="722">
        <f t="shared" si="6"/>
        <v>2720.2120536142147</v>
      </c>
      <c r="I52" s="722">
        <f t="shared" si="6"/>
        <v>712.53308455203467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3446.5531941099703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69.034423189836616</v>
      </c>
      <c r="D54" s="692">
        <f ca="1">+landbouw!C12</f>
        <v>0</v>
      </c>
      <c r="E54" s="692">
        <f>+landbouw!D12</f>
        <v>4.9708416083480005</v>
      </c>
      <c r="F54" s="692">
        <f>+landbouw!E12</f>
        <v>2.3554555740679457</v>
      </c>
      <c r="G54" s="692">
        <f>+landbouw!F12</f>
        <v>313.72656908265543</v>
      </c>
      <c r="H54" s="692">
        <f>+landbouw!G12</f>
        <v>0</v>
      </c>
      <c r="I54" s="692">
        <f>+landbouw!H12</f>
        <v>0</v>
      </c>
      <c r="J54" s="692">
        <f>+landbouw!I12</f>
        <v>0</v>
      </c>
      <c r="K54" s="692">
        <f>+landbouw!J12</f>
        <v>32.426171665617453</v>
      </c>
      <c r="L54" s="692">
        <f>+landbouw!K12</f>
        <v>0</v>
      </c>
      <c r="M54" s="692">
        <f>+landbouw!L12</f>
        <v>0</v>
      </c>
      <c r="N54" s="692">
        <f>+landbouw!M12</f>
        <v>0</v>
      </c>
      <c r="O54" s="692">
        <f>+landbouw!N12</f>
        <v>0</v>
      </c>
      <c r="P54" s="692">
        <f>+landbouw!O12</f>
        <v>0</v>
      </c>
      <c r="Q54" s="693">
        <f>+landbouw!P12</f>
        <v>0</v>
      </c>
      <c r="R54" s="721">
        <f ca="1">SUM(C54:Q54)</f>
        <v>422.51346112052545</v>
      </c>
    </row>
    <row r="55" spans="1:18" ht="15" thickBot="1">
      <c r="A55" s="824" t="s">
        <v>724</v>
      </c>
      <c r="B55" s="834"/>
      <c r="C55" s="692">
        <f ca="1">C25*'EF ele_warmte'!B12</f>
        <v>77.535074144542207</v>
      </c>
      <c r="D55" s="692"/>
      <c r="E55" s="692">
        <f>E25*EF_CO2_aardgas</f>
        <v>198.59428909000002</v>
      </c>
      <c r="F55" s="692"/>
      <c r="G55" s="692"/>
      <c r="H55" s="692"/>
      <c r="I55" s="692"/>
      <c r="J55" s="692"/>
      <c r="K55" s="692"/>
      <c r="L55" s="692"/>
      <c r="M55" s="692"/>
      <c r="N55" s="692"/>
      <c r="O55" s="692"/>
      <c r="P55" s="692"/>
      <c r="Q55" s="693"/>
      <c r="R55" s="721">
        <f ca="1">SUM(C55:Q55)</f>
        <v>276.12936323454221</v>
      </c>
    </row>
    <row r="56" spans="1:18" ht="15.75" thickBot="1">
      <c r="A56" s="822" t="s">
        <v>725</v>
      </c>
      <c r="B56" s="835"/>
      <c r="C56" s="722">
        <f ca="1">SUM(C54:C55)</f>
        <v>146.56949733437881</v>
      </c>
      <c r="D56" s="722">
        <f t="shared" ref="D56:Q56" ca="1" si="7">SUM(D54:D55)</f>
        <v>0</v>
      </c>
      <c r="E56" s="722">
        <f t="shared" si="7"/>
        <v>203.56513069834801</v>
      </c>
      <c r="F56" s="722">
        <f t="shared" si="7"/>
        <v>2.3554555740679457</v>
      </c>
      <c r="G56" s="722">
        <f t="shared" si="7"/>
        <v>313.72656908265543</v>
      </c>
      <c r="H56" s="722">
        <f t="shared" si="7"/>
        <v>0</v>
      </c>
      <c r="I56" s="722">
        <f t="shared" si="7"/>
        <v>0</v>
      </c>
      <c r="J56" s="722">
        <f t="shared" si="7"/>
        <v>0</v>
      </c>
      <c r="K56" s="722">
        <f t="shared" si="7"/>
        <v>32.426171665617453</v>
      </c>
      <c r="L56" s="722">
        <f t="shared" si="7"/>
        <v>0</v>
      </c>
      <c r="M56" s="722">
        <f t="shared" si="7"/>
        <v>0</v>
      </c>
      <c r="N56" s="722">
        <f t="shared" si="7"/>
        <v>0</v>
      </c>
      <c r="O56" s="722">
        <f t="shared" si="7"/>
        <v>0</v>
      </c>
      <c r="P56" s="722">
        <f t="shared" si="7"/>
        <v>0</v>
      </c>
      <c r="Q56" s="723">
        <f t="shared" si="7"/>
        <v>0</v>
      </c>
      <c r="R56" s="724">
        <f ca="1">SUM(R54:R55)</f>
        <v>698.64282435506766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4843.2081241267078</v>
      </c>
      <c r="D61" s="730">
        <f t="shared" ref="D61:Q61" ca="1" si="8">D46+D52+D56</f>
        <v>0</v>
      </c>
      <c r="E61" s="730">
        <f t="shared" ca="1" si="8"/>
        <v>11813.683941421043</v>
      </c>
      <c r="F61" s="730">
        <f t="shared" si="8"/>
        <v>145.02944913847801</v>
      </c>
      <c r="G61" s="730">
        <f t="shared" ca="1" si="8"/>
        <v>592.41890076792095</v>
      </c>
      <c r="H61" s="730">
        <f t="shared" si="8"/>
        <v>2720.2120536142147</v>
      </c>
      <c r="I61" s="730">
        <f t="shared" si="8"/>
        <v>712.53308455203467</v>
      </c>
      <c r="J61" s="730">
        <f t="shared" si="8"/>
        <v>0</v>
      </c>
      <c r="K61" s="730">
        <f t="shared" si="8"/>
        <v>32.875091386177274</v>
      </c>
      <c r="L61" s="730">
        <f t="shared" si="8"/>
        <v>0</v>
      </c>
      <c r="M61" s="730">
        <f t="shared" ca="1" si="8"/>
        <v>0</v>
      </c>
      <c r="N61" s="730">
        <f t="shared" si="8"/>
        <v>0</v>
      </c>
      <c r="O61" s="730">
        <f t="shared" ca="1" si="8"/>
        <v>0</v>
      </c>
      <c r="P61" s="730">
        <f t="shared" si="8"/>
        <v>0</v>
      </c>
      <c r="Q61" s="730">
        <f t="shared" si="8"/>
        <v>0</v>
      </c>
      <c r="R61" s="730">
        <f ca="1">R46+R52+R56</f>
        <v>20859.96064500658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0.20763751383292653</v>
      </c>
      <c r="D63" s="776">
        <f t="shared" ca="1" si="9"/>
        <v>0</v>
      </c>
      <c r="E63" s="975">
        <f t="shared" ca="1" si="9"/>
        <v>0.20199999999999996</v>
      </c>
      <c r="F63" s="776">
        <f t="shared" si="9"/>
        <v>0.22700000000000006</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1323.0350748364365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87.299999999999983</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102.70588235294116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1410.3350748364364</v>
      </c>
      <c r="C78" s="748">
        <f>SUM(C72:C77)</f>
        <v>0</v>
      </c>
      <c r="D78" s="749">
        <f t="shared" ref="D78:H78" si="10">SUM(D76:D77)</f>
        <v>0</v>
      </c>
      <c r="E78" s="749">
        <f t="shared" si="10"/>
        <v>0</v>
      </c>
      <c r="F78" s="749">
        <f t="shared" si="10"/>
        <v>0</v>
      </c>
      <c r="G78" s="749">
        <f t="shared" si="10"/>
        <v>0</v>
      </c>
      <c r="H78" s="749">
        <f t="shared" si="10"/>
        <v>0</v>
      </c>
      <c r="I78" s="749">
        <f>SUM(I76:I77)</f>
        <v>0</v>
      </c>
      <c r="J78" s="749">
        <f>SUM(J76:J77)</f>
        <v>102.70588235294116</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124.71428571428569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146.72268907563023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124.71428571428569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146.72268907563023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1323.0350748364365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87.299999999999983</v>
      </c>
      <c r="C8" s="548">
        <f>B49</f>
        <v>0</v>
      </c>
      <c r="D8" s="549"/>
      <c r="E8" s="549">
        <f>E49</f>
        <v>0</v>
      </c>
      <c r="F8" s="550"/>
      <c r="G8" s="551"/>
      <c r="H8" s="549">
        <f>I49</f>
        <v>0</v>
      </c>
      <c r="I8" s="549">
        <f>G49+F49</f>
        <v>0</v>
      </c>
      <c r="J8" s="549">
        <f>H49+D49+C49</f>
        <v>102.70588235294116</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1410.3350748364364</v>
      </c>
      <c r="C10" s="563">
        <f t="shared" ref="C10:L10" si="0">SUM(C8:C9)</f>
        <v>0</v>
      </c>
      <c r="D10" s="563">
        <f t="shared" si="0"/>
        <v>0</v>
      </c>
      <c r="E10" s="563">
        <f t="shared" si="0"/>
        <v>0</v>
      </c>
      <c r="F10" s="563">
        <f t="shared" si="0"/>
        <v>0</v>
      </c>
      <c r="G10" s="563">
        <f t="shared" si="0"/>
        <v>0</v>
      </c>
      <c r="H10" s="563">
        <f t="shared" si="0"/>
        <v>0</v>
      </c>
      <c r="I10" s="563">
        <f t="shared" si="0"/>
        <v>0</v>
      </c>
      <c r="J10" s="563">
        <f t="shared" si="0"/>
        <v>102.70588235294116</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124.71428571428569</v>
      </c>
      <c r="C17" s="579">
        <f>B50</f>
        <v>0</v>
      </c>
      <c r="D17" s="580"/>
      <c r="E17" s="580">
        <f>E50</f>
        <v>0</v>
      </c>
      <c r="F17" s="581"/>
      <c r="G17" s="582"/>
      <c r="H17" s="579">
        <f>I50</f>
        <v>0</v>
      </c>
      <c r="I17" s="580">
        <f>G50+F50</f>
        <v>0</v>
      </c>
      <c r="J17" s="580">
        <f>H50+D50+C50</f>
        <v>146.72268907563023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124.71428571428569</v>
      </c>
      <c r="C20" s="562">
        <f>SUM(C17:C19)</f>
        <v>0</v>
      </c>
      <c r="D20" s="562">
        <f t="shared" ref="D20:L20" si="1">SUM(D17:D19)</f>
        <v>0</v>
      </c>
      <c r="E20" s="562">
        <f t="shared" si="1"/>
        <v>0</v>
      </c>
      <c r="F20" s="562">
        <f t="shared" si="1"/>
        <v>0</v>
      </c>
      <c r="G20" s="562">
        <f t="shared" si="1"/>
        <v>0</v>
      </c>
      <c r="H20" s="562">
        <f t="shared" si="1"/>
        <v>0</v>
      </c>
      <c r="I20" s="562">
        <f t="shared" si="1"/>
        <v>0</v>
      </c>
      <c r="J20" s="562">
        <f t="shared" si="1"/>
        <v>146.72268907563023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11021</v>
      </c>
      <c r="C28" s="791">
        <v>2540</v>
      </c>
      <c r="D28" s="640" t="s">
        <v>888</v>
      </c>
      <c r="E28" s="639" t="s">
        <v>889</v>
      </c>
      <c r="F28" s="639" t="s">
        <v>890</v>
      </c>
      <c r="G28" s="639" t="s">
        <v>891</v>
      </c>
      <c r="H28" s="639" t="s">
        <v>892</v>
      </c>
      <c r="I28" s="639" t="s">
        <v>893</v>
      </c>
      <c r="J28" s="790">
        <v>40545</v>
      </c>
      <c r="K28" s="790">
        <v>40634</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1600</v>
      </c>
      <c r="Y28" s="639" t="s">
        <v>49</v>
      </c>
      <c r="Z28" s="641" t="s">
        <v>155</v>
      </c>
    </row>
    <row r="29" spans="1:26" s="593" customFormat="1" ht="25.5">
      <c r="A29" s="592"/>
      <c r="B29" s="791">
        <v>11021</v>
      </c>
      <c r="C29" s="791">
        <v>2540</v>
      </c>
      <c r="D29" s="640" t="s">
        <v>888</v>
      </c>
      <c r="E29" s="639" t="s">
        <v>889</v>
      </c>
      <c r="F29" s="639" t="s">
        <v>895</v>
      </c>
      <c r="G29" s="639" t="s">
        <v>891</v>
      </c>
      <c r="H29" s="639" t="s">
        <v>892</v>
      </c>
      <c r="I29" s="639" t="s">
        <v>896</v>
      </c>
      <c r="J29" s="790">
        <v>41071</v>
      </c>
      <c r="K29" s="790">
        <v>41214</v>
      </c>
      <c r="L29" s="639" t="s">
        <v>894</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19.399999999999999</v>
      </c>
      <c r="N30" s="597">
        <f>SUM(N28:N29)</f>
        <v>87.299999999999983</v>
      </c>
      <c r="O30" s="597">
        <f>SUM(O28:O29)</f>
        <v>124.71428571428569</v>
      </c>
      <c r="P30" s="597">
        <f>SUM(P28:P29)</f>
        <v>0</v>
      </c>
      <c r="Q30" s="597">
        <f>SUM(Q28:Q29)</f>
        <v>249.42857142857139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9.6999999999999993</v>
      </c>
      <c r="N32" s="597">
        <f ca="1">SUMIF($Z$28:AD29,"tertiair",N28:N29)</f>
        <v>43.649999999999991</v>
      </c>
      <c r="O32" s="597">
        <f ca="1">SUMIF($Z$28:AE29,"tertiair",O28:O29)</f>
        <v>62.357142857142847</v>
      </c>
      <c r="P32" s="597">
        <f ca="1">SUMIF($Z$28:AF29,"tertiair",P28:P29)</f>
        <v>0</v>
      </c>
      <c r="Q32" s="597">
        <f ca="1">SUMIF($Z$28:AG29,"tertiair",Q28:Q29)</f>
        <v>124.71428571428569</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102.70588235294116</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146.72268907563023</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13597.679484836437</v>
      </c>
      <c r="C4" s="452">
        <f>huishoudens!C8</f>
        <v>0</v>
      </c>
      <c r="D4" s="452">
        <f>huishoudens!D8</f>
        <v>44913.398380180006</v>
      </c>
      <c r="E4" s="452">
        <f>huishoudens!E8</f>
        <v>458.91648499713489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1717.7802564929666</v>
      </c>
      <c r="O4" s="452">
        <f>huishoudens!O8</f>
        <v>136.89311713770519</v>
      </c>
      <c r="P4" s="453">
        <f>huishoudens!P8</f>
        <v>874.31862253785675</v>
      </c>
      <c r="Q4" s="454">
        <f>SUM(B4:P4)</f>
        <v>61698.986346182108</v>
      </c>
    </row>
    <row r="5" spans="1:17">
      <c r="A5" s="451" t="s">
        <v>155</v>
      </c>
      <c r="B5" s="452">
        <f ca="1">tertiair!B16</f>
        <v>7495.7556069999991</v>
      </c>
      <c r="C5" s="452">
        <f ca="1">tertiair!C16</f>
        <v>62.357142857142847</v>
      </c>
      <c r="D5" s="452">
        <f ca="1">tertiair!D16</f>
        <v>11116.474769114</v>
      </c>
      <c r="E5" s="452">
        <f>tertiair!E16</f>
        <v>86.203121020926403</v>
      </c>
      <c r="F5" s="452">
        <f ca="1">tertiair!F16</f>
        <v>838.42997909305222</v>
      </c>
      <c r="G5" s="452">
        <f>tertiair!G16</f>
        <v>0</v>
      </c>
      <c r="H5" s="452">
        <f>tertiair!H16</f>
        <v>0</v>
      </c>
      <c r="I5" s="452">
        <f>tertiair!I16</f>
        <v>0</v>
      </c>
      <c r="J5" s="452">
        <f>tertiair!J16</f>
        <v>5.8676597457426411E-3</v>
      </c>
      <c r="K5" s="452">
        <f>tertiair!K16</f>
        <v>0</v>
      </c>
      <c r="L5" s="452">
        <f ca="1">tertiair!L16</f>
        <v>0</v>
      </c>
      <c r="M5" s="452">
        <f>tertiair!M16</f>
        <v>0</v>
      </c>
      <c r="N5" s="452">
        <f ca="1">tertiair!N16</f>
        <v>114.20715165761467</v>
      </c>
      <c r="O5" s="452">
        <f>tertiair!O16</f>
        <v>4.8972607658411542</v>
      </c>
      <c r="P5" s="453">
        <f>tertiair!P16</f>
        <v>0</v>
      </c>
      <c r="Q5" s="451">
        <f t="shared" ref="Q5:Q14" ca="1" si="0">SUM(B5:P5)</f>
        <v>19718.330899168326</v>
      </c>
    </row>
    <row r="6" spans="1:17">
      <c r="A6" s="451" t="s">
        <v>193</v>
      </c>
      <c r="B6" s="452">
        <f>'openbare verlichting'!B8</f>
        <v>618.12800000000004</v>
      </c>
      <c r="C6" s="452"/>
      <c r="D6" s="452"/>
      <c r="E6" s="452"/>
      <c r="F6" s="452"/>
      <c r="G6" s="452"/>
      <c r="H6" s="452"/>
      <c r="I6" s="452"/>
      <c r="J6" s="452"/>
      <c r="K6" s="452"/>
      <c r="L6" s="452"/>
      <c r="M6" s="452"/>
      <c r="N6" s="452"/>
      <c r="O6" s="452"/>
      <c r="P6" s="453"/>
      <c r="Q6" s="451">
        <f t="shared" si="0"/>
        <v>618.12800000000004</v>
      </c>
    </row>
    <row r="7" spans="1:17">
      <c r="A7" s="451" t="s">
        <v>111</v>
      </c>
      <c r="B7" s="452">
        <f>landbouw!B8</f>
        <v>332.47567799999996</v>
      </c>
      <c r="C7" s="452">
        <f>landbouw!C8</f>
        <v>62.357142857142847</v>
      </c>
      <c r="D7" s="452">
        <f>landbouw!D8</f>
        <v>24.608126773999999</v>
      </c>
      <c r="E7" s="452">
        <f>landbouw!E8</f>
        <v>10.376456273427074</v>
      </c>
      <c r="F7" s="452">
        <f>landbouw!F8</f>
        <v>1175.0058767140652</v>
      </c>
      <c r="G7" s="452">
        <f>landbouw!G8</f>
        <v>0</v>
      </c>
      <c r="H7" s="452">
        <f>landbouw!H8</f>
        <v>0</v>
      </c>
      <c r="I7" s="452">
        <f>landbouw!I8</f>
        <v>0</v>
      </c>
      <c r="J7" s="452">
        <f>landbouw!J8</f>
        <v>91.599354987619932</v>
      </c>
      <c r="K7" s="452">
        <f>landbouw!K8</f>
        <v>0</v>
      </c>
      <c r="L7" s="452">
        <f>landbouw!L8</f>
        <v>0</v>
      </c>
      <c r="M7" s="452">
        <f>landbouw!M8</f>
        <v>0</v>
      </c>
      <c r="N7" s="452">
        <f>landbouw!N8</f>
        <v>0</v>
      </c>
      <c r="O7" s="452">
        <f>landbouw!O8</f>
        <v>0</v>
      </c>
      <c r="P7" s="453">
        <f>landbouw!P8</f>
        <v>0</v>
      </c>
      <c r="Q7" s="451">
        <f t="shared" si="0"/>
        <v>1696.422635606255</v>
      </c>
    </row>
    <row r="8" spans="1:17">
      <c r="A8" s="451" t="s">
        <v>625</v>
      </c>
      <c r="B8" s="452">
        <f>industrie!B18</f>
        <v>899.48904300000004</v>
      </c>
      <c r="C8" s="452">
        <f>industrie!C18</f>
        <v>0</v>
      </c>
      <c r="D8" s="452">
        <f>industrie!D18</f>
        <v>1415.2626155799999</v>
      </c>
      <c r="E8" s="452">
        <f>industrie!E18</f>
        <v>57.538104145117494</v>
      </c>
      <c r="F8" s="452">
        <f>industrie!F18</f>
        <v>205.3615253461445</v>
      </c>
      <c r="G8" s="452">
        <f>industrie!G18</f>
        <v>0</v>
      </c>
      <c r="H8" s="452">
        <f>industrie!H18</f>
        <v>0</v>
      </c>
      <c r="I8" s="452">
        <f>industrie!I18</f>
        <v>0</v>
      </c>
      <c r="J8" s="452">
        <f>industrie!J18</f>
        <v>1.2622671440955633</v>
      </c>
      <c r="K8" s="452">
        <f>industrie!K18</f>
        <v>0</v>
      </c>
      <c r="L8" s="452">
        <f>industrie!L18</f>
        <v>0</v>
      </c>
      <c r="M8" s="452">
        <f>industrie!M18</f>
        <v>0</v>
      </c>
      <c r="N8" s="452">
        <f>industrie!N18</f>
        <v>51.96976422953486</v>
      </c>
      <c r="O8" s="452">
        <f>industrie!O18</f>
        <v>0</v>
      </c>
      <c r="P8" s="453">
        <f>industrie!P18</f>
        <v>0</v>
      </c>
      <c r="Q8" s="451">
        <f t="shared" si="0"/>
        <v>2630.8833194448921</v>
      </c>
    </row>
    <row r="9" spans="1:17" s="457" customFormat="1">
      <c r="A9" s="455" t="s">
        <v>551</v>
      </c>
      <c r="B9" s="456">
        <f>transport!B14</f>
        <v>8.3606104511634314</v>
      </c>
      <c r="C9" s="456">
        <f>transport!C14</f>
        <v>0</v>
      </c>
      <c r="D9" s="456">
        <f>transport!D14</f>
        <v>30.699931773005449</v>
      </c>
      <c r="E9" s="456">
        <f>transport!E14</f>
        <v>25.862085274750953</v>
      </c>
      <c r="F9" s="456">
        <f>transport!F14</f>
        <v>0</v>
      </c>
      <c r="G9" s="456">
        <f>transport!G14</f>
        <v>9340.7360351210227</v>
      </c>
      <c r="H9" s="456">
        <f>transport!H14</f>
        <v>2861.5786528194162</v>
      </c>
      <c r="I9" s="456">
        <f>transport!I14</f>
        <v>0</v>
      </c>
      <c r="J9" s="456">
        <f>transport!J14</f>
        <v>0</v>
      </c>
      <c r="K9" s="456">
        <f>transport!K14</f>
        <v>0</v>
      </c>
      <c r="L9" s="456">
        <f>transport!L14</f>
        <v>0</v>
      </c>
      <c r="M9" s="456">
        <f>transport!M14</f>
        <v>727.88378766517781</v>
      </c>
      <c r="N9" s="456">
        <f>transport!N14</f>
        <v>0</v>
      </c>
      <c r="O9" s="456">
        <f>transport!O14</f>
        <v>0</v>
      </c>
      <c r="P9" s="456">
        <f>transport!P14</f>
        <v>0</v>
      </c>
      <c r="Q9" s="455">
        <f>SUM(B9:P9)</f>
        <v>12995.121103104537</v>
      </c>
    </row>
    <row r="10" spans="1:17">
      <c r="A10" s="451" t="s">
        <v>541</v>
      </c>
      <c r="B10" s="452">
        <f>transport!B54</f>
        <v>0</v>
      </c>
      <c r="C10" s="452">
        <f>transport!C54</f>
        <v>0</v>
      </c>
      <c r="D10" s="452">
        <f>transport!D54</f>
        <v>0</v>
      </c>
      <c r="E10" s="452">
        <f>transport!E54</f>
        <v>0</v>
      </c>
      <c r="F10" s="452">
        <f>transport!F54</f>
        <v>0</v>
      </c>
      <c r="G10" s="452">
        <f>transport!G54</f>
        <v>847.32409077491252</v>
      </c>
      <c r="H10" s="452">
        <f>transport!H54</f>
        <v>0</v>
      </c>
      <c r="I10" s="452">
        <f>transport!I54</f>
        <v>0</v>
      </c>
      <c r="J10" s="452">
        <f>transport!J54</f>
        <v>0</v>
      </c>
      <c r="K10" s="452">
        <f>transport!K54</f>
        <v>0</v>
      </c>
      <c r="L10" s="452">
        <f>transport!L54</f>
        <v>0</v>
      </c>
      <c r="M10" s="452">
        <f>transport!M54</f>
        <v>47.086957376958992</v>
      </c>
      <c r="N10" s="452">
        <f>transport!N54</f>
        <v>0</v>
      </c>
      <c r="O10" s="452">
        <f>transport!O54</f>
        <v>0</v>
      </c>
      <c r="P10" s="453">
        <f>transport!P54</f>
        <v>0</v>
      </c>
      <c r="Q10" s="451">
        <f t="shared" si="0"/>
        <v>894.41104815187146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373.41553899999997</v>
      </c>
      <c r="C14" s="459"/>
      <c r="D14" s="459">
        <f>'SEAP template'!E25</f>
        <v>983.14004499999999</v>
      </c>
      <c r="E14" s="459"/>
      <c r="F14" s="459"/>
      <c r="G14" s="459"/>
      <c r="H14" s="459"/>
      <c r="I14" s="459"/>
      <c r="J14" s="459"/>
      <c r="K14" s="459"/>
      <c r="L14" s="459"/>
      <c r="M14" s="459"/>
      <c r="N14" s="459"/>
      <c r="O14" s="459"/>
      <c r="P14" s="460"/>
      <c r="Q14" s="451">
        <f t="shared" si="0"/>
        <v>1356.555584</v>
      </c>
    </row>
    <row r="15" spans="1:17" s="463" customFormat="1">
      <c r="A15" s="461" t="s">
        <v>545</v>
      </c>
      <c r="B15" s="462">
        <f ca="1">SUM(B4:B14)</f>
        <v>23325.303962287602</v>
      </c>
      <c r="C15" s="462">
        <f t="shared" ref="C15:Q15" ca="1" si="1">SUM(C4:C14)</f>
        <v>124.71428571428569</v>
      </c>
      <c r="D15" s="462">
        <f t="shared" ca="1" si="1"/>
        <v>58483.583868421018</v>
      </c>
      <c r="E15" s="462">
        <f t="shared" si="1"/>
        <v>638.89625171135674</v>
      </c>
      <c r="F15" s="462">
        <f t="shared" ca="1" si="1"/>
        <v>2218.797381153262</v>
      </c>
      <c r="G15" s="462">
        <f t="shared" si="1"/>
        <v>10188.060125895936</v>
      </c>
      <c r="H15" s="462">
        <f t="shared" si="1"/>
        <v>2861.5786528194162</v>
      </c>
      <c r="I15" s="462">
        <f t="shared" si="1"/>
        <v>0</v>
      </c>
      <c r="J15" s="462">
        <f t="shared" si="1"/>
        <v>92.867489791461239</v>
      </c>
      <c r="K15" s="462">
        <f t="shared" si="1"/>
        <v>0</v>
      </c>
      <c r="L15" s="462">
        <f t="shared" ca="1" si="1"/>
        <v>0</v>
      </c>
      <c r="M15" s="462">
        <f t="shared" si="1"/>
        <v>774.97074504213674</v>
      </c>
      <c r="N15" s="462">
        <f t="shared" ca="1" si="1"/>
        <v>1883.9571723801162</v>
      </c>
      <c r="O15" s="462">
        <f t="shared" si="1"/>
        <v>141.79037790354636</v>
      </c>
      <c r="P15" s="462">
        <f t="shared" si="1"/>
        <v>874.31862253785675</v>
      </c>
      <c r="Q15" s="462">
        <f t="shared" ca="1" si="1"/>
        <v>101608.838935658</v>
      </c>
    </row>
    <row r="17" spans="1:17">
      <c r="A17" s="464" t="s">
        <v>546</v>
      </c>
      <c r="B17" s="781">
        <f ca="1">huishoudens!B10</f>
        <v>0.20763751383292653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2823.3883621284272</v>
      </c>
      <c r="C22" s="452">
        <f t="shared" ref="C22:C32" ca="1" si="3">C4*$C$17</f>
        <v>0</v>
      </c>
      <c r="D22" s="452">
        <f t="shared" ref="D22:D32" si="4">D4*$D$17</f>
        <v>9072.5064727963618</v>
      </c>
      <c r="E22" s="452">
        <f t="shared" ref="E22:E32" si="5">E4*$E$17</f>
        <v>104.17404209434962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12000.068877019139</v>
      </c>
    </row>
    <row r="23" spans="1:17">
      <c r="A23" s="451" t="s">
        <v>155</v>
      </c>
      <c r="B23" s="452">
        <f t="shared" ca="1" si="2"/>
        <v>1556.4000585366989</v>
      </c>
      <c r="C23" s="452">
        <f t="shared" ca="1" si="3"/>
        <v>0</v>
      </c>
      <c r="D23" s="452">
        <f t="shared" ca="1" si="4"/>
        <v>2245.5279033610282</v>
      </c>
      <c r="E23" s="452">
        <f t="shared" si="5"/>
        <v>19.568108471750293</v>
      </c>
      <c r="F23" s="452">
        <f t="shared" ca="1" si="6"/>
        <v>223.86080441784495</v>
      </c>
      <c r="G23" s="452">
        <f t="shared" si="7"/>
        <v>0</v>
      </c>
      <c r="H23" s="452">
        <f t="shared" si="8"/>
        <v>0</v>
      </c>
      <c r="I23" s="452">
        <f t="shared" si="9"/>
        <v>0</v>
      </c>
      <c r="J23" s="452">
        <f t="shared" si="10"/>
        <v>2.0771515499928947E-3</v>
      </c>
      <c r="K23" s="452">
        <f t="shared" si="11"/>
        <v>0</v>
      </c>
      <c r="L23" s="452">
        <f t="shared" ca="1" si="12"/>
        <v>0</v>
      </c>
      <c r="M23" s="452">
        <f t="shared" si="13"/>
        <v>0</v>
      </c>
      <c r="N23" s="452">
        <f t="shared" ca="1" si="14"/>
        <v>0</v>
      </c>
      <c r="O23" s="452">
        <f t="shared" si="15"/>
        <v>0</v>
      </c>
      <c r="P23" s="453">
        <f t="shared" si="16"/>
        <v>0</v>
      </c>
      <c r="Q23" s="451">
        <f t="shared" ref="Q23:Q31" ca="1" si="17">SUM(B23:P23)</f>
        <v>4045.3589519388725</v>
      </c>
    </row>
    <row r="24" spans="1:17">
      <c r="A24" s="451" t="s">
        <v>193</v>
      </c>
      <c r="B24" s="452">
        <f t="shared" ca="1" si="2"/>
        <v>128.34656115051922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128.34656115051922</v>
      </c>
    </row>
    <row r="25" spans="1:17">
      <c r="A25" s="451" t="s">
        <v>111</v>
      </c>
      <c r="B25" s="452">
        <f t="shared" ca="1" si="2"/>
        <v>69.034423189836616</v>
      </c>
      <c r="C25" s="452">
        <f t="shared" ca="1" si="3"/>
        <v>0</v>
      </c>
      <c r="D25" s="452">
        <f t="shared" si="4"/>
        <v>4.9708416083480005</v>
      </c>
      <c r="E25" s="452">
        <f t="shared" si="5"/>
        <v>2.3554555740679457</v>
      </c>
      <c r="F25" s="452">
        <f t="shared" si="6"/>
        <v>313.72656908265543</v>
      </c>
      <c r="G25" s="452">
        <f t="shared" si="7"/>
        <v>0</v>
      </c>
      <c r="H25" s="452">
        <f t="shared" si="8"/>
        <v>0</v>
      </c>
      <c r="I25" s="452">
        <f t="shared" si="9"/>
        <v>0</v>
      </c>
      <c r="J25" s="452">
        <f t="shared" si="10"/>
        <v>32.426171665617453</v>
      </c>
      <c r="K25" s="452">
        <f t="shared" si="11"/>
        <v>0</v>
      </c>
      <c r="L25" s="452">
        <f t="shared" si="12"/>
        <v>0</v>
      </c>
      <c r="M25" s="452">
        <f t="shared" si="13"/>
        <v>0</v>
      </c>
      <c r="N25" s="452">
        <f t="shared" si="14"/>
        <v>0</v>
      </c>
      <c r="O25" s="452">
        <f t="shared" si="15"/>
        <v>0</v>
      </c>
      <c r="P25" s="453">
        <f t="shared" si="16"/>
        <v>0</v>
      </c>
      <c r="Q25" s="451">
        <f t="shared" ca="1" si="17"/>
        <v>422.51346112052545</v>
      </c>
    </row>
    <row r="26" spans="1:17">
      <c r="A26" s="451" t="s">
        <v>625</v>
      </c>
      <c r="B26" s="452">
        <f t="shared" ca="1" si="2"/>
        <v>186.76766860847835</v>
      </c>
      <c r="C26" s="452">
        <f t="shared" ca="1" si="3"/>
        <v>0</v>
      </c>
      <c r="D26" s="452">
        <f t="shared" si="4"/>
        <v>285.88304834716001</v>
      </c>
      <c r="E26" s="452">
        <f t="shared" si="5"/>
        <v>13.061149640941672</v>
      </c>
      <c r="F26" s="452">
        <f t="shared" si="6"/>
        <v>54.831527267420583</v>
      </c>
      <c r="G26" s="452">
        <f t="shared" si="7"/>
        <v>0</v>
      </c>
      <c r="H26" s="452">
        <f t="shared" si="8"/>
        <v>0</v>
      </c>
      <c r="I26" s="452">
        <f t="shared" si="9"/>
        <v>0</v>
      </c>
      <c r="J26" s="452">
        <f t="shared" si="10"/>
        <v>0.44684256900982938</v>
      </c>
      <c r="K26" s="452">
        <f t="shared" si="11"/>
        <v>0</v>
      </c>
      <c r="L26" s="452">
        <f t="shared" si="12"/>
        <v>0</v>
      </c>
      <c r="M26" s="452">
        <f t="shared" si="13"/>
        <v>0</v>
      </c>
      <c r="N26" s="452">
        <f t="shared" si="14"/>
        <v>0</v>
      </c>
      <c r="O26" s="452">
        <f t="shared" si="15"/>
        <v>0</v>
      </c>
      <c r="P26" s="453">
        <f t="shared" si="16"/>
        <v>0</v>
      </c>
      <c r="Q26" s="451">
        <f t="shared" ca="1" si="17"/>
        <v>540.99023643301041</v>
      </c>
    </row>
    <row r="27" spans="1:17" s="457" customFormat="1">
      <c r="A27" s="455" t="s">
        <v>551</v>
      </c>
      <c r="B27" s="775">
        <f t="shared" ca="1" si="2"/>
        <v>1.735976368205157</v>
      </c>
      <c r="C27" s="456">
        <f t="shared" ca="1" si="3"/>
        <v>0</v>
      </c>
      <c r="D27" s="456">
        <f t="shared" si="4"/>
        <v>6.2013862181471016</v>
      </c>
      <c r="E27" s="456">
        <f t="shared" si="5"/>
        <v>5.8706933573684665</v>
      </c>
      <c r="F27" s="456">
        <f t="shared" si="6"/>
        <v>0</v>
      </c>
      <c r="G27" s="456">
        <f t="shared" si="7"/>
        <v>2493.976521377313</v>
      </c>
      <c r="H27" s="456">
        <f t="shared" si="8"/>
        <v>712.53308455203467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3220.3176618730686</v>
      </c>
    </row>
    <row r="28" spans="1:17" ht="16.5" customHeight="1">
      <c r="A28" s="451" t="s">
        <v>541</v>
      </c>
      <c r="B28" s="452">
        <f t="shared" ca="1" si="2"/>
        <v>0</v>
      </c>
      <c r="C28" s="452">
        <f t="shared" ca="1" si="3"/>
        <v>0</v>
      </c>
      <c r="D28" s="452">
        <f t="shared" si="4"/>
        <v>0</v>
      </c>
      <c r="E28" s="452">
        <f t="shared" si="5"/>
        <v>0</v>
      </c>
      <c r="F28" s="452">
        <f t="shared" si="6"/>
        <v>0</v>
      </c>
      <c r="G28" s="452">
        <f t="shared" si="7"/>
        <v>226.23553223690166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226.23553223690166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77.535074144542207</v>
      </c>
      <c r="C32" s="452">
        <f t="shared" ca="1" si="3"/>
        <v>0</v>
      </c>
      <c r="D32" s="452">
        <f t="shared" si="4"/>
        <v>198.59428909000002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276.12936323454221</v>
      </c>
    </row>
    <row r="33" spans="1:17" s="463" customFormat="1">
      <c r="A33" s="461" t="s">
        <v>545</v>
      </c>
      <c r="B33" s="462">
        <f ca="1">SUM(B22:B32)</f>
        <v>4843.2081241267069</v>
      </c>
      <c r="C33" s="462">
        <f t="shared" ref="C33:Q33" ca="1" si="19">SUM(C22:C32)</f>
        <v>0</v>
      </c>
      <c r="D33" s="462">
        <f t="shared" ca="1" si="19"/>
        <v>11813.683941421044</v>
      </c>
      <c r="E33" s="462">
        <f t="shared" si="19"/>
        <v>145.02944913847801</v>
      </c>
      <c r="F33" s="462">
        <f t="shared" ca="1" si="19"/>
        <v>592.41890076792095</v>
      </c>
      <c r="G33" s="462">
        <f t="shared" si="19"/>
        <v>2720.2120536142147</v>
      </c>
      <c r="H33" s="462">
        <f t="shared" si="19"/>
        <v>712.53308455203467</v>
      </c>
      <c r="I33" s="462">
        <f t="shared" si="19"/>
        <v>0</v>
      </c>
      <c r="J33" s="462">
        <f t="shared" si="19"/>
        <v>32.875091386177274</v>
      </c>
      <c r="K33" s="462">
        <f t="shared" si="19"/>
        <v>0</v>
      </c>
      <c r="L33" s="462">
        <f t="shared" ca="1" si="19"/>
        <v>0</v>
      </c>
      <c r="M33" s="462">
        <f t="shared" si="19"/>
        <v>0</v>
      </c>
      <c r="N33" s="462">
        <f t="shared" ca="1" si="19"/>
        <v>0</v>
      </c>
      <c r="O33" s="462">
        <f t="shared" si="19"/>
        <v>0</v>
      </c>
      <c r="P33" s="462">
        <f t="shared" si="19"/>
        <v>0</v>
      </c>
      <c r="Q33" s="462">
        <f t="shared" ca="1" si="19"/>
        <v>20859.960645006577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1323.0350748364365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87.299999999999983</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102.70588235294116</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1410.3350748364364</v>
      </c>
      <c r="C10" s="1031">
        <f>SUM(C4:C9)</f>
        <v>0</v>
      </c>
      <c r="D10" s="1031">
        <f t="shared" ref="D10:H10" si="0">SUM(D8:D9)</f>
        <v>0</v>
      </c>
      <c r="E10" s="1031">
        <f t="shared" si="0"/>
        <v>0</v>
      </c>
      <c r="F10" s="1031">
        <f t="shared" si="0"/>
        <v>0</v>
      </c>
      <c r="G10" s="1031">
        <f t="shared" si="0"/>
        <v>0</v>
      </c>
      <c r="H10" s="1031">
        <f t="shared" si="0"/>
        <v>0</v>
      </c>
      <c r="I10" s="1031">
        <f>SUM(I8:I9)</f>
        <v>0</v>
      </c>
      <c r="J10" s="1031">
        <f>SUM(J8:J9)</f>
        <v>102.70588235294116</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0.20763751383292653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124.71428571428569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146.72268907563023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124.71428571428569</v>
      </c>
      <c r="C20" s="1031">
        <f>SUM(C17:C19)</f>
        <v>0</v>
      </c>
      <c r="D20" s="1031">
        <f t="shared" ref="D20:H20" si="2">SUM(D17:D19)</f>
        <v>0</v>
      </c>
      <c r="E20" s="1031">
        <f t="shared" si="2"/>
        <v>0</v>
      </c>
      <c r="F20" s="1031">
        <f t="shared" si="2"/>
        <v>0</v>
      </c>
      <c r="G20" s="1031">
        <f t="shared" si="2"/>
        <v>0</v>
      </c>
      <c r="H20" s="1031">
        <f t="shared" si="2"/>
        <v>0</v>
      </c>
      <c r="I20" s="1031">
        <f>SUM(I17:I19)</f>
        <v>0</v>
      </c>
      <c r="J20" s="1031">
        <f>SUM(J17:J19)</f>
        <v>146.72268907563023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0.20763751383292653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2020-06-20T15:27:57Z</dcterms:modified>
</cp:coreProperties>
</file>