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0" i="13"/>
  <c r="C12" i="13" s="1"/>
  <c r="C56" i="22"/>
  <c r="C58" i="22" s="1"/>
  <c r="D49" i="14" s="1"/>
  <c r="D52" i="14" s="1"/>
  <c r="C20" i="16"/>
  <c r="C22" i="16" s="1"/>
  <c r="D43" i="14" s="1"/>
  <c r="C10" i="17"/>
  <c r="C12" i="17" s="1"/>
  <c r="D54" i="14" s="1"/>
  <c r="D56" i="14" s="1"/>
  <c r="C18" i="15"/>
  <c r="C20" i="15" s="1"/>
  <c r="D40" i="14" s="1"/>
  <c r="C29" i="20"/>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<sst xmlns="http://schemas.openxmlformats.org/spreadsheetml/2006/main" count="2419" uniqueCount="900">
  <si>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</si>
  <si>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</si>
  <si>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</si>
  <si>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</si>
  <si>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</si>
  <si>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</si>
  <si>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</si>
  <si>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</si>
  <si>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</si>
  <si>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</si>
  <si>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</si>
  <si>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</si>
  <si>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</si>
  <si>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</si>
  <si>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</si>
  <si>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</si>
  <si>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</si>
  <si>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</si>
  <si>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</si>
  <si>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</si>
  <si>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</si>
  <si>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</si>
  <si>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</si>
  <si>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</si>
  <si>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</si>
  <si>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</si>
  <si>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</si>
  <si>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</si>
  <si>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</si>
  <si>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</si>
  <si>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</si>
  <si>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</si>
  <si>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</si>
  <si>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</si>
  <si>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</si>
  <si>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</si>
  <si>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</si>
  <si>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</si>
  <si>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</si>
  <si>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</si>
  <si>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</si>
  <si>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</si>
  <si>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</si>
  <si>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</si>
  <si>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</si>
  <si>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</si>
  <si>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</si>
  <si>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</si>
  <si>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</si>
  <si>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</si>
  <si>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</si>
  <si>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</si>
  <si>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</si>
  <si>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</si>
  <si>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</si>
  <si>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</si>
  <si>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</si>
  <si>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</si>
  <si>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</si>
  <si>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</si>
  <si>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</si>
  <si>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</si>
  <si>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</si>
  <si>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</si>
  <si>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</si>
  <si>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</si>
  <si>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</si>
  <si>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</si>
  <si>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</si>
  <si>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</si>
  <si>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</si>
  <si>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</si>
  <si>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</si>
  <si>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</si>
  <si>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</si>
  <si>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</si>
  <si>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</si>
  <si>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</si>
  <si>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</si>
  <si>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</si>
  <si>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</si>
  <si>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</si>
  <si>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</si>
  <si>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</si>
  <si>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</si>
  <si>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</si>
  <si>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</si>
  <si>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</si>
  <si>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</si>
  <si>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</si>
  <si>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</si>
  <si>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</si>
  <si>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</si>
  <si>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</si>
  <si>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</si>
  <si>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</si>
  <si>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</si>
  <si>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</si>
  <si>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</si>
  <si>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</si>
  <si>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</si>
  <si>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</si>
  <si>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</si>
  <si>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</si>
  <si>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</si>
  <si>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</si>
  <si>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</si>
  <si>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</si>
  <si>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</si>
  <si>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</si>
  <si>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</si>
  <si>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</si>
  <si>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</si>
  <si>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</si>
  <si>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</si>
  <si>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</si>
  <si>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</si>
  <si>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</si>
  <si>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</si>
  <si>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</si>
  <si>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</si>
  <si>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</si>
  <si>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</si>
  <si>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</si>
  <si>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</si>
  <si>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</si>
  <si>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</si>
  <si>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</si>
  <si>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</si>
  <si>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</si>
  <si>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</si>
  <si>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</si>
  <si>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</si>
  <si>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</si>
  <si>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</si>
  <si>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</si>
  <si>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</si>
  <si>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</si>
  <si>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</si>
  <si>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</si>
  <si>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</si>
  <si>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</si>
  <si>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</si>
  <si>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</si>
  <si>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</si>
  <si>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</si>
  <si>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</si>
  <si>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</si>
  <si>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</si>
  <si>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</si>
  <si>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</si>
  <si>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</si>
  <si>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</si>
  <si>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</si>
  <si>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</si>
  <si>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</si>
  <si>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</si>
  <si>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</si>
  <si>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</si>
  <si>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</si>
  <si>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</si>
  <si>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</si>
  <si>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</si>
  <si>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</si>
  <si>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</si>
  <si>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</si>
  <si>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</si>
  <si>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</si>
  <si>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</si>
  <si>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</si>
  <si>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</si>
  <si>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</si>
  <si>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</si>
  <si>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</si>
  <si>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</si>
  <si>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</si>
  <si>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</si>
  <si>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</si>
  <si>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</si>
  <si>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</si>
  <si>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</si>
  <si>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</si>
  <si>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</si>
  <si>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</si>
  <si>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</si>
  <si>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</si>
  <si>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</si>
  <si>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</si>
  <si>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</si>
  <si>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</si>
  <si>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</si>
  <si>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</si>
  <si>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</si>
  <si>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</si>
  <si>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</si>
  <si>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</si>
  <si>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</si>
  <si>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</si>
  <si>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</si>
  <si>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</si>
  <si>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</si>
  <si>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</si>
  <si>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</si>
  <si>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</si>
  <si>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</si>
  <si>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</si>
  <si>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</si>
  <si>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</si>
  <si>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</si>
  <si>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</si>
  <si>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</si>
  <si>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</si>
  <si>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</si>
  <si>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</si>
  <si>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</si>
  <si>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</si>
  <si>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</si>
  <si>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</si>
  <si>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</si>
  <si>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</si>
  <si>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</si>
  <si>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</si>
  <si>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</si>
  <si>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</si>
  <si>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</si>
  <si>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</si>
  <si>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</si>
  <si>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</si>
  <si>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</si>
  <si>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</si>
  <si>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</si>
  <si>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</si>
  <si>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</si>
  <si>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</si>
  <si>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</si>
  <si>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</si>
  <si>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</si>
  <si>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</si>
  <si>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</si>
  <si>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</si>
  <si>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</si>
  <si>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</si>
  <si>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</si>
  <si>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</si>
  <si>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</si>
  <si>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</si>
  <si>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</si>
  <si>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</si>
  <si>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</si>
  <si>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</si>
  <si>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</si>
  <si>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</si>
  <si>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</si>
  <si>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</si>
  <si>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</si>
  <si>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</si>
  <si>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</si>
  <si>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</si>
  <si>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</si>
  <si>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</si>
  <si>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</si>
  <si>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</si>
  <si>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</si>
  <si>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</si>
  <si>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</si>
  <si>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</si>
  <si>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</si>
  <si>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</si>
  <si>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</si>
  <si>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</si>
  <si>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</si>
  <si>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</si>
  <si>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</si>
  <si>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</si>
  <si>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</si>
  <si>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</si>
  <si>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</si>
  <si>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</si>
  <si>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</si>
  <si>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</si>
  <si>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</si>
  <si>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</si>
  <si>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</si>
  <si>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</si>
  <si>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</si>
  <si>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</si>
  <si>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</si>
  <si>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</si>
  <si>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</si>
  <si>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</si>
  <si>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</si>
  <si>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</si>
  <si>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</si>
  <si>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</si>
  <si>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</si>
  <si>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</si>
  <si>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</si>
  <si>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</si>
  <si>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</si>
  <si>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</si>
  <si>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</si>
  <si>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</si>
  <si>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</si>
  <si>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</si>
  <si>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</si>
  <si>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</si>
  <si>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</si>
  <si>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</si>
  <si>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</si>
  <si>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</si>
  <si>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</si>
  <si>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</si>
  <si>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</si>
  <si>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</si>
  <si>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</si>
  <si>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</si>
  <si>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</si>
  <si>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</si>
  <si>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</si>
  <si>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</si>
  <si>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</si>
  <si>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</si>
  <si>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</si>
  <si>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</si>
  <si>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</si>
  <si>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</si>
  <si>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</si>
  <si>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</si>
  <si>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</si>
  <si>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</si>
  <si>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</si>
  <si>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</si>
  <si>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</si>
  <si>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</si>
  <si>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</si>
  <si>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</si>
  <si>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</si>
  <si>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</si>
  <si>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</si>
  <si>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</si>
  <si>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</si>
  <si>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</si>
  <si>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</si>
  <si>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</si>
  <si>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</si>
  <si>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</si>
  <si>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</si>
  <si>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</si>
  <si>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</si>
  <si>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</si>
  <si>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</si>
  <si>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</si>
  <si>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</si>
  <si>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</si>
  <si>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</si>
  <si>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</si>
  <si>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</si>
  <si>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</si>
  <si>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</si>
  <si>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</si>
  <si>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</si>
  <si>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</si>
  <si>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</si>
  <si>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</si>
  <si>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</si>
  <si>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</si>
  <si>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</si>
  <si>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</si>
  <si>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</si>
  <si>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</si>
  <si>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</si>
  <si>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</si>
  <si>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</si>
  <si>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</si>
  <si>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</si>
  <si>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</si>
  <si>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</si>
  <si>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</si>
  <si>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</si>
  <si>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</si>
  <si>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</si>
  <si>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</si>
  <si>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</si>
  <si>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</si>
  <si>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</si>
  <si>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</si>
  <si>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</si>
  <si>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</si>
  <si>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</si>
  <si>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</si>
  <si>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</si>
  <si>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</si>
  <si>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</si>
  <si>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</si>
  <si>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</si>
  <si>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</si>
  <si>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</si>
  <si>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</si>
  <si>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</si>
  <si>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</si>
  <si>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</si>
  <si>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</si>
  <si>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</si>
  <si>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</si>
  <si>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</si>
  <si>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</si>
  <si>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</si>
  <si>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</si>
  <si>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</si>
  <si>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</si>
  <si>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</si>
  <si>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</si>
  <si>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</si>
  <si>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</si>
  <si>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</si>
  <si>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</si>
  <si>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</si>
  <si>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</si>
  <si>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</si>
  <si>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</si>
  <si>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</si>
  <si>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</si>
  <si>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</si>
  <si>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</si>
  <si>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</si>
  <si>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</si>
  <si>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</si>
  <si>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</si>
  <si>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</si>
  <si>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</si>
  <si>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</si>
  <si>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</si>
  <si>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</si>
  <si>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</si>
  <si>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</si>
  <si>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</si>
  <si>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</si>
  <si>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</si>
  <si>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</si>
  <si>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</si>
  <si>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</si>
  <si>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</si>
  <si>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</si>
  <si>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</si>
  <si>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</si>
  <si>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</si>
  <si>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</si>
  <si>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</si>
  <si>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</si>
  <si>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</si>
  <si>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</si>
  <si>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</si>
  <si>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</si>
  <si>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</si>
  <si>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</si>
  <si>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</si>
  <si>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</si>
  <si>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</si>
  <si>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</si>
  <si>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</si>
  <si>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</si>
  <si>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</si>
  <si>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</si>
  <si>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</si>
  <si>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</si>
  <si>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</si>
  <si>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</si>
  <si>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</si>
  <si>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</si>
  <si>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</si>
  <si>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</si>
  <si>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</si>
  <si>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</si>
  <si>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</si>
  <si>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</si>
  <si>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</si>
  <si>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</si>
  <si>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</si>
  <si>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</si>
  <si>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</si>
  <si>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</si>
  <si>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</si>
  <si>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</si>
  <si>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</si>
  <si>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</si>
  <si>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</si>
  <si>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</si>
  <si>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</si>
  <si>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</si>
  <si>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</si>
  <si>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</si>
  <si>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</si>
  <si>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</si>
  <si>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</si>
  <si>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</si>
  <si>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</si>
  <si>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</si>
  <si>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</si>
  <si>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</si>
  <si>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</si>
  <si>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</si>
  <si>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</si>
  <si>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</si>
  <si>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</si>
  <si>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</si>
  <si>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</si>
  <si>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</si>
  <si>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</si>
  <si>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</si>
  <si>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</si>
  <si>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</si>
  <si>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</si>
  <si>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</si>
  <si>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</si>
  <si>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</si>
  <si>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</si>
  <si>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</si>
  <si>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</si>
  <si>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</si>
  <si>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</si>
  <si>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</si>
  <si>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</si>
  <si>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</si>
  <si>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</si>
  <si>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</si>
  <si>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</si>
  <si>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</si>
  <si>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</si>
  <si>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</si>
  <si>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</si>
  <si>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</si>
  <si>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</si>
  <si>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</si>
  <si>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</si>
  <si>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</si>
  <si>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</si>
  <si>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</si>
  <si>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</si>
  <si>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</si>
  <si>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</si>
  <si>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</si>
  <si>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</si>
  <si>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</si>
  <si>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</si>
  <si>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</si>
  <si>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</si>
  <si>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</si>
  <si>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</si>
  <si>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</si>
  <si>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</si>
  <si>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</si>
  <si>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</si>
  <si>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</si>
  <si>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</si>
  <si>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</si>
  <si>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</si>
  <si>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</si>
  <si>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</si>
  <si>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</si>
  <si>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</si>
  <si>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</si>
  <si>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</si>
  <si>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</si>
  <si>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</si>
  <si>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</si>
  <si>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</si>
  <si>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</si>
  <si>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</si>
  <si>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</si>
  <si>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</si>
  <si>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</si>
  <si>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</si>
  <si>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</si>
  <si>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</si>
  <si>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</si>
  <si>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</si>
  <si>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</si>
  <si>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</si>
  <si>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</si>
  <si>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</si>
  <si>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</si>
  <si>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</si>
  <si>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</si>
  <si>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</si>
  <si>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</si>
  <si>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</si>
  <si>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</si>
  <si>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</si>
  <si>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</si>
  <si>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</si>
  <si>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</si>
  <si>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</si>
  <si>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</si>
  <si>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</si>
  <si>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</si>
  <si>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</si>
  <si>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</si>
  <si>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</si>
  <si>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</si>
  <si>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</si>
  <si>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</si>
  <si>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</si>
  <si>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</si>
  <si>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</si>
  <si>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</si>
  <si>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</si>
  <si>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</si>
  <si>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</si>
  <si>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</si>
  <si>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</si>
  <si>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</si>
  <si>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</si>
  <si>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</si>
  <si>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</si>
  <si>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</si>
  <si>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</si>
  <si>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</si>
  <si>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</si>
  <si>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</si>
  <si>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</si>
  <si>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</si>
  <si>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</si>
  <si>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</si>
  <si>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</si>
  <si>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</si>
  <si>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</si>
  <si>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</si>
  <si>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</si>
  <si>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</si>
  <si>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</si>
  <si>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</si>
  <si>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</si>
  <si>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</si>
  <si>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</si>
  <si>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</si>
  <si>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</si>
  <si>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</si>
  <si>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</si>
  <si>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</si>
  <si>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</si>
  <si>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</si>
  <si>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</si>
  <si>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</si>
  <si>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</si>
  <si>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</si>
  <si>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</si>
  <si>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</si>
  <si>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</si>
  <si>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</si>
  <si>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</si>
  <si>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</si>
  <si>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</si>
  <si>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</si>
  <si>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</si>
  <si>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</si>
  <si>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</si>
  <si>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</si>
  <si>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</si>
  <si>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</si>
  <si>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</si>
  <si>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</si>
  <si>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</si>
  <si>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</si>
  <si>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</si>
  <si>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</si>
  <si>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</si>
  <si>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</si>
  <si>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</si>
  <si>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</si>
  <si>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</si>
  <si>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</si>
  <si>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</si>
  <si>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</si>
  <si>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</si>
  <si>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</si>
  <si>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</si>
  <si>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</si>
  <si>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</si>
  <si>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</si>
  <si>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</si>
  <si>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</si>
  <si>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</si>
  <si>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</si>
  <si>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</si>
  <si>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</si>
  <si>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</si>
  <si>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</si>
  <si>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</si>
  <si>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</si>
  <si>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</si>
  <si>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</si>
  <si>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</si>
  <si>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</si>
  <si>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</si>
  <si>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</si>
  <si>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</si>
  <si>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</si>
  <si>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</si>
  <si>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</si>
  <si>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</si>
  <si>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</si>
  <si>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</si>
  <si>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</si>
  <si>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</si>
  <si>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</si>
  <si>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</si>
  <si>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</si>
  <si>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</si>
  <si>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</si>
  <si>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</si>
  <si>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</si>
  <si>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</si>
  <si>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</si>
  <si>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</si>
  <si>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</si>
  <si>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</si>
  <si>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</si>
  <si>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</si>
  <si>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</si>
  <si>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</si>
  <si>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</si>
  <si>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</si>
  <si>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</si>
  <si>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</si>
  <si>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</si>
  <si>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</si>
  <si>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</si>
  <si>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</si>
  <si>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</si>
  <si>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</si>
  <si>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</si>
  <si>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</si>
  <si>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</si>
  <si>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</si>
  <si>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</si>
  <si>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</si>
  <si>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</si>
  <si>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</si>
  <si>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</si>
  <si>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</si>
  <si>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</si>
  <si>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</si>
  <si>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</si>
  <si>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</si>
  <si>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</si>
  <si>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</si>
  <si>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</si>
  <si>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</si>
  <si>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</si>
  <si>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</si>
  <si>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</si>
  <si>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</si>
  <si>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</si>
  <si>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</si>
  <si>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</si>
  <si>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</si>
  <si>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</si>
  <si>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</si>
  <si>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</si>
  <si>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</si>
  <si>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</si>
  <si>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</si>
  <si>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</si>
  <si>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</si>
  <si>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</si>
  <si>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</si>
  <si>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</si>
  <si>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</si>
  <si>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</si>
  <si>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</si>
  <si>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</si>
  <si>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</si>
  <si>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</si>
  <si>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</si>
  <si>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</si>
  <si>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</si>
  <si>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</si>
  <si>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</si>
  <si>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</si>
  <si>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</si>
  <si>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</si>
  <si>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</si>
  <si>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</si>
  <si>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</si>
  <si>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</si>
  <si>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</si>
  <si>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</si>
  <si>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</si>
  <si>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</si>
  <si>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</si>
  <si>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</si>
  <si>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</si>
  <si>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</si>
  <si>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</si>
  <si>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</si>
  <si>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</si>
  <si>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</si>
  <si>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</si>
  <si>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</si>
  <si>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</si>
  <si>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</si>
  <si>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</si>
  <si>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</si>
  <si>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</si>
  <si>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</si>
  <si>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</si>
  <si>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</si>
  <si>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</si>
  <si>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</si>
  <si>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</si>
  <si>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</si>
  <si>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</si>
  <si>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</si>
  <si>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</si>
  <si>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</si>
  <si>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</si>
  <si>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</si>
  <si>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</si>
  <si>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</si>
  <si>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</si>
  <si>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</si>
  <si>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</si>
  <si>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</si>
  <si>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</si>
  <si>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</si>
  <si>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</si>
  <si>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</si>
  <si>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</si>
  <si>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</si>
  <si>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</si>
  <si>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</si>
  <si>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</si>
  <si>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</si>
  <si>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</si>
  <si>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</si>
  <si>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</si>
  <si>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</si>
  <si>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</si>
  <si>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</si>
  <si>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</si>
  <si>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</si>
  <si>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</si>
  <si>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</si>
  <si>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</si>
  <si>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</si>
  <si>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</si>
  <si>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</si>
  <si>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</si>
  <si>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</si>
  <si>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</si>
  <si>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</si>
  <si>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</si>
  <si>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</si>
  <si>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</si>
  <si>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</si>
  <si>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</si>
  <si>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</si>
  <si>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</si>
  <si>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</si>
  <si>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</si>
  <si>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</si>
  <si>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</si>
  <si>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</si>
  <si>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</si>
  <si>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</si>
  <si>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</si>
  <si>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</si>
  <si>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</si>
  <si>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</si>
  <si>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</si>
  <si>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</si>
  <si>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</si>
  <si>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</si>
  <si>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</si>
  <si>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</si>
  <si>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</si>
  <si>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</si>
  <si>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</si>
  <si>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</si>
  <si>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</si>
  <si>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</si>
  <si>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</si>
  <si>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</si>
  <si>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</si>
  <si>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</si>
  <si>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11016</t>
  </si>
  <si>
    <t>ESSEN</t>
  </si>
  <si>
    <t>referentietaak LNE (2017); Jaarverslag De Lijn</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</si>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</sst>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174402.59451543679</c:v>
                </c:pt>
                <c:pt idx="1">
                  <c:v>29243.061843010571</c:v>
                </c:pt>
                <c:pt idx="2">
                  <c:v>1009.715</c:v>
                </c:pt>
                <c:pt idx="3">
                  <c:v>15490.597039588869</c:v>
                </c:pt>
                <c:pt idx="4">
                  <c:v>56332.348517690996</c:v>
                </c:pt>
                <c:pt idx="5">
                  <c:v>60705.17002893499</c:v>
                </c:pt>
                <c:pt idx="6">
                  <c:v>564.88697023381974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174402.59451543679</c:v>
                </c:pt>
                <c:pt idx="1">
                  <c:v>29243.061843010571</c:v>
                </c:pt>
                <c:pt idx="2">
                  <c:v>1009.715</c:v>
                </c:pt>
                <c:pt idx="3">
                  <c:v>15490.597039588869</c:v>
                </c:pt>
                <c:pt idx="4">
                  <c:v>56332.348517690996</c:v>
                </c:pt>
                <c:pt idx="5">
                  <c:v>60705.17002893499</c:v>
                </c:pt>
                <c:pt idx="6">
                  <c:v>564.88697023381974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31453.389913798579</c:v>
                </c:pt>
                <c:pt idx="1">
                  <c:v>5609.7296050609584</c:v>
                </c:pt>
                <c:pt idx="2">
                  <c:v>195.43387294531252</c:v>
                </c:pt>
                <c:pt idx="3">
                  <c:v>3912.7059826635941</c:v>
                </c:pt>
                <c:pt idx="4">
                  <c:v>12085.910425226059</c:v>
                </c:pt>
                <c:pt idx="5">
                  <c:v>15049.75520689889</c:v>
                </c:pt>
                <c:pt idx="6">
                  <c:v>142.88453237312754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31453.389913798579</c:v>
                </c:pt>
                <c:pt idx="1">
                  <c:v>5609.7296050609584</c:v>
                </c:pt>
                <c:pt idx="2">
                  <c:v>195.43387294531252</c:v>
                </c:pt>
                <c:pt idx="3">
                  <c:v>3912.7059826635941</c:v>
                </c:pt>
                <c:pt idx="4">
                  <c:v>12085.910425226059</c:v>
                </c:pt>
                <c:pt idx="5">
                  <c:v>15049.75520689889</c:v>
                </c:pt>
                <c:pt idx="6">
                  <c:v>142.88453237312754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11016</v>
      </c>
      <c r="B6" s="390"/>
      <c r="C6" s="391"/>
    </row>
    <row r="7" spans="1:7" s="388" customFormat="1" ht="15.75" customHeight="1">
      <c r="A7" s="392" t="str">
        <f>txtMunicipality</f>
        <v>ESSEN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0.1935535006861466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0.1935535006861466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7516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2660.38</v>
      </c>
      <c r="C14" s="330"/>
      <c r="D14" s="330"/>
      <c r="E14" s="330"/>
      <c r="F14" s="330"/>
    </row>
    <row r="15" spans="1:6">
      <c r="A15" s="1298" t="s">
        <v>183</v>
      </c>
      <c r="B15" s="1299">
        <v>562</v>
      </c>
      <c r="C15" s="330"/>
      <c r="D15" s="330"/>
      <c r="E15" s="330"/>
      <c r="F15" s="330"/>
    </row>
    <row r="16" spans="1:6">
      <c r="A16" s="1298" t="s">
        <v>6</v>
      </c>
      <c r="B16" s="1299">
        <v>3992</v>
      </c>
      <c r="C16" s="330"/>
      <c r="D16" s="330"/>
      <c r="E16" s="330"/>
      <c r="F16" s="330"/>
    </row>
    <row r="17" spans="1:6">
      <c r="A17" s="1298" t="s">
        <v>7</v>
      </c>
      <c r="B17" s="1299">
        <v>286</v>
      </c>
      <c r="C17" s="330"/>
      <c r="D17" s="330"/>
      <c r="E17" s="330"/>
      <c r="F17" s="330"/>
    </row>
    <row r="18" spans="1:6">
      <c r="A18" s="1298" t="s">
        <v>8</v>
      </c>
      <c r="B18" s="1299">
        <v>2109</v>
      </c>
      <c r="C18" s="330"/>
      <c r="D18" s="330"/>
      <c r="E18" s="330"/>
      <c r="F18" s="330"/>
    </row>
    <row r="19" spans="1:6">
      <c r="A19" s="1298" t="s">
        <v>9</v>
      </c>
      <c r="B19" s="1299">
        <v>2502</v>
      </c>
      <c r="C19" s="330"/>
      <c r="D19" s="330"/>
      <c r="E19" s="330"/>
      <c r="F19" s="330"/>
    </row>
    <row r="20" spans="1:6">
      <c r="A20" s="1298" t="s">
        <v>10</v>
      </c>
      <c r="B20" s="1299">
        <v>865</v>
      </c>
      <c r="C20" s="330"/>
      <c r="D20" s="330"/>
      <c r="E20" s="330"/>
      <c r="F20" s="330"/>
    </row>
    <row r="21" spans="1:6">
      <c r="A21" s="1298" t="s">
        <v>11</v>
      </c>
      <c r="B21" s="1299">
        <v>5989</v>
      </c>
      <c r="C21" s="330"/>
      <c r="D21" s="330"/>
      <c r="E21" s="330"/>
      <c r="F21" s="330"/>
    </row>
    <row r="22" spans="1:6">
      <c r="A22" s="1298" t="s">
        <v>12</v>
      </c>
      <c r="B22" s="1299">
        <v>19828</v>
      </c>
      <c r="C22" s="330"/>
      <c r="D22" s="330"/>
      <c r="E22" s="330"/>
      <c r="F22" s="330"/>
    </row>
    <row r="23" spans="1:6">
      <c r="A23" s="1298" t="s">
        <v>13</v>
      </c>
      <c r="B23" s="1299">
        <v>182</v>
      </c>
      <c r="C23" s="330"/>
      <c r="D23" s="330"/>
      <c r="E23" s="330"/>
      <c r="F23" s="330"/>
    </row>
    <row r="24" spans="1:6">
      <c r="A24" s="1298" t="s">
        <v>14</v>
      </c>
      <c r="B24" s="1299">
        <v>9</v>
      </c>
      <c r="C24" s="330"/>
      <c r="D24" s="330"/>
      <c r="E24" s="330"/>
      <c r="F24" s="330"/>
    </row>
    <row r="25" spans="1:6">
      <c r="A25" s="1298" t="s">
        <v>15</v>
      </c>
      <c r="B25" s="1299">
        <v>887</v>
      </c>
      <c r="C25" s="330"/>
      <c r="D25" s="330"/>
      <c r="E25" s="330"/>
      <c r="F25" s="330"/>
    </row>
    <row r="26" spans="1:6">
      <c r="A26" s="1298" t="s">
        <v>16</v>
      </c>
      <c r="B26" s="1299">
        <v>60</v>
      </c>
      <c r="C26" s="330"/>
      <c r="D26" s="330"/>
      <c r="E26" s="330"/>
      <c r="F26" s="330"/>
    </row>
    <row r="27" spans="1:6">
      <c r="A27" s="1298" t="s">
        <v>17</v>
      </c>
      <c r="B27" s="1299">
        <v>319</v>
      </c>
      <c r="C27" s="330"/>
      <c r="D27" s="330"/>
      <c r="E27" s="330"/>
      <c r="F27" s="330"/>
    </row>
    <row r="28" spans="1:6" s="43" customFormat="1">
      <c r="A28" s="1300" t="s">
        <v>18</v>
      </c>
      <c r="B28" s="1301">
        <v>344761</v>
      </c>
      <c r="C28" s="336"/>
      <c r="D28" s="336"/>
      <c r="E28" s="336"/>
      <c r="F28" s="336"/>
    </row>
    <row r="29" spans="1:6">
      <c r="A29" s="1300" t="s">
        <v>705</v>
      </c>
      <c r="B29" s="1301">
        <v>198</v>
      </c>
      <c r="C29" s="336"/>
      <c r="D29" s="336"/>
      <c r="E29" s="336"/>
      <c r="F29" s="336"/>
    </row>
    <row r="30" spans="1:6">
      <c r="A30" s="1293" t="s">
        <v>706</v>
      </c>
      <c r="B30" s="1302">
        <v>44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410609</v>
      </c>
    </row>
    <row r="37" spans="1:6">
      <c r="A37" s="1298" t="s">
        <v>24</v>
      </c>
      <c r="B37" s="1298" t="s">
        <v>27</v>
      </c>
      <c r="C37" s="1299">
        <v>0</v>
      </c>
      <c r="D37" s="1299">
        <v>0</v>
      </c>
      <c r="E37" s="1299">
        <v>0</v>
      </c>
      <c r="F37" s="1299">
        <v>0</v>
      </c>
    </row>
    <row r="38" spans="1:6">
      <c r="A38" s="1298" t="s">
        <v>24</v>
      </c>
      <c r="B38" s="1298" t="s">
        <v>28</v>
      </c>
      <c r="C38" s="1299">
        <v>1</v>
      </c>
      <c r="D38" s="1299">
        <v>198316.34</v>
      </c>
      <c r="E38" s="1299">
        <v>0</v>
      </c>
      <c r="F38" s="1299">
        <v>0</v>
      </c>
    </row>
    <row r="39" spans="1:6">
      <c r="A39" s="1298" t="s">
        <v>29</v>
      </c>
      <c r="B39" s="1298" t="s">
        <v>30</v>
      </c>
      <c r="C39" s="1299">
        <v>4153</v>
      </c>
      <c r="D39" s="1299">
        <v>71183986.5</v>
      </c>
      <c r="E39" s="1299">
        <v>7687</v>
      </c>
      <c r="F39" s="1299">
        <v>30896779.697000001</v>
      </c>
    </row>
    <row r="40" spans="1:6">
      <c r="A40" s="1298" t="s">
        <v>29</v>
      </c>
      <c r="B40" s="1298" t="s">
        <v>28</v>
      </c>
      <c r="C40" s="1299">
        <v>0</v>
      </c>
      <c r="D40" s="1299">
        <v>0</v>
      </c>
      <c r="E40" s="1299">
        <v>0</v>
      </c>
      <c r="F40" s="1299">
        <v>0</v>
      </c>
    </row>
    <row r="41" spans="1:6">
      <c r="A41" s="1298" t="s">
        <v>31</v>
      </c>
      <c r="B41" s="1298" t="s">
        <v>32</v>
      </c>
      <c r="C41" s="1299">
        <v>65</v>
      </c>
      <c r="D41" s="1299">
        <v>1479180.845</v>
      </c>
      <c r="E41" s="1299">
        <v>184</v>
      </c>
      <c r="F41" s="1299">
        <v>20320849.949999999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9</v>
      </c>
      <c r="D44" s="1299">
        <v>212415.96799999999</v>
      </c>
      <c r="E44" s="1299">
        <v>40</v>
      </c>
      <c r="F44" s="1299">
        <v>1265321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2004479</v>
      </c>
    </row>
    <row r="48" spans="1:6">
      <c r="A48" s="1298" t="s">
        <v>31</v>
      </c>
      <c r="B48" s="1298" t="s">
        <v>28</v>
      </c>
      <c r="C48" s="1299">
        <v>31</v>
      </c>
      <c r="D48" s="1299">
        <v>1434059.3689999999</v>
      </c>
      <c r="E48" s="1299">
        <v>3</v>
      </c>
      <c r="F48" s="1299">
        <v>266045</v>
      </c>
    </row>
    <row r="49" spans="1:6">
      <c r="A49" s="1298" t="s">
        <v>31</v>
      </c>
      <c r="B49" s="1298" t="s">
        <v>39</v>
      </c>
      <c r="C49" s="1299">
        <v>0</v>
      </c>
      <c r="D49" s="1299">
        <v>0</v>
      </c>
      <c r="E49" s="1299">
        <v>0</v>
      </c>
      <c r="F49" s="1299">
        <v>0</v>
      </c>
    </row>
    <row r="50" spans="1:6">
      <c r="A50" s="1298" t="s">
        <v>31</v>
      </c>
      <c r="B50" s="1298" t="s">
        <v>40</v>
      </c>
      <c r="C50" s="1299">
        <v>6</v>
      </c>
      <c r="D50" s="1299">
        <v>569305.51100000006</v>
      </c>
      <c r="E50" s="1299">
        <v>17</v>
      </c>
      <c r="F50" s="1299">
        <v>4248453</v>
      </c>
    </row>
    <row r="51" spans="1:6">
      <c r="A51" s="1298" t="s">
        <v>41</v>
      </c>
      <c r="B51" s="1298" t="s">
        <v>42</v>
      </c>
      <c r="C51" s="1299">
        <v>0</v>
      </c>
      <c r="D51" s="1299">
        <v>0</v>
      </c>
      <c r="E51" s="1299">
        <v>137</v>
      </c>
      <c r="F51" s="1299">
        <v>3112189</v>
      </c>
    </row>
    <row r="52" spans="1:6">
      <c r="A52" s="1298" t="s">
        <v>41</v>
      </c>
      <c r="B52" s="1298" t="s">
        <v>28</v>
      </c>
      <c r="C52" s="1299">
        <v>9</v>
      </c>
      <c r="D52" s="1299">
        <v>263809.18099999998</v>
      </c>
      <c r="E52" s="1299">
        <v>0</v>
      </c>
      <c r="F52" s="1299">
        <v>0</v>
      </c>
    </row>
    <row r="53" spans="1:6">
      <c r="A53" s="1298" t="s">
        <v>43</v>
      </c>
      <c r="B53" s="1298" t="s">
        <v>44</v>
      </c>
      <c r="C53" s="1299">
        <v>73</v>
      </c>
      <c r="D53" s="1299">
        <v>1426921.524</v>
      </c>
      <c r="E53" s="1299">
        <v>154</v>
      </c>
      <c r="F53" s="1299">
        <v>651878.19999999995</v>
      </c>
    </row>
    <row r="54" spans="1:6">
      <c r="A54" s="1298" t="s">
        <v>45</v>
      </c>
      <c r="B54" s="1298" t="s">
        <v>46</v>
      </c>
      <c r="C54" s="1299">
        <v>0</v>
      </c>
      <c r="D54" s="1299">
        <v>0</v>
      </c>
      <c r="E54" s="1299">
        <v>1</v>
      </c>
      <c r="F54" s="1299">
        <v>1009715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21</v>
      </c>
      <c r="D57" s="1299">
        <v>453537.19300000003</v>
      </c>
      <c r="E57" s="1299">
        <v>106</v>
      </c>
      <c r="F57" s="1299">
        <v>2030050.95</v>
      </c>
    </row>
    <row r="58" spans="1:6">
      <c r="A58" s="1298" t="s">
        <v>48</v>
      </c>
      <c r="B58" s="1298" t="s">
        <v>50</v>
      </c>
      <c r="C58" s="1299">
        <v>18</v>
      </c>
      <c r="D58" s="1299">
        <v>1912659.662</v>
      </c>
      <c r="E58" s="1299">
        <v>33</v>
      </c>
      <c r="F58" s="1299">
        <v>873548</v>
      </c>
    </row>
    <row r="59" spans="1:6">
      <c r="A59" s="1298" t="s">
        <v>48</v>
      </c>
      <c r="B59" s="1298" t="s">
        <v>51</v>
      </c>
      <c r="C59" s="1299">
        <v>39</v>
      </c>
      <c r="D59" s="1299">
        <v>1581563.909</v>
      </c>
      <c r="E59" s="1299">
        <v>180</v>
      </c>
      <c r="F59" s="1299">
        <v>4135182.95</v>
      </c>
    </row>
    <row r="60" spans="1:6">
      <c r="A60" s="1298" t="s">
        <v>48</v>
      </c>
      <c r="B60" s="1298" t="s">
        <v>52</v>
      </c>
      <c r="C60" s="1299">
        <v>38</v>
      </c>
      <c r="D60" s="1299">
        <v>1513540.5249999999</v>
      </c>
      <c r="E60" s="1299">
        <v>77</v>
      </c>
      <c r="F60" s="1299">
        <v>1682339.05</v>
      </c>
    </row>
    <row r="61" spans="1:6">
      <c r="A61" s="1298" t="s">
        <v>48</v>
      </c>
      <c r="B61" s="1298" t="s">
        <v>53</v>
      </c>
      <c r="C61" s="1299">
        <v>119</v>
      </c>
      <c r="D61" s="1299">
        <v>4452785.5130000003</v>
      </c>
      <c r="E61" s="1299">
        <v>306</v>
      </c>
      <c r="F61" s="1299">
        <v>2800209.5</v>
      </c>
    </row>
    <row r="62" spans="1:6">
      <c r="A62" s="1298" t="s">
        <v>48</v>
      </c>
      <c r="B62" s="1298" t="s">
        <v>54</v>
      </c>
      <c r="C62" s="1299">
        <v>11</v>
      </c>
      <c r="D62" s="1299">
        <v>1840814.851</v>
      </c>
      <c r="E62" s="1299">
        <v>23</v>
      </c>
      <c r="F62" s="1299">
        <v>635982.44099999999</v>
      </c>
    </row>
    <row r="63" spans="1:6">
      <c r="A63" s="1298" t="s">
        <v>48</v>
      </c>
      <c r="B63" s="1298" t="s">
        <v>28</v>
      </c>
      <c r="C63" s="1299">
        <v>85</v>
      </c>
      <c r="D63" s="1299">
        <v>3848003.716</v>
      </c>
      <c r="E63" s="1299">
        <v>0</v>
      </c>
      <c r="F63" s="1299">
        <v>0</v>
      </c>
    </row>
    <row r="64" spans="1:6">
      <c r="A64" s="1298" t="s">
        <v>55</v>
      </c>
      <c r="B64" s="1298" t="s">
        <v>56</v>
      </c>
      <c r="C64" s="1299">
        <v>0</v>
      </c>
      <c r="D64" s="1299">
        <v>0</v>
      </c>
      <c r="E64" s="1299">
        <v>0</v>
      </c>
      <c r="F64" s="1299">
        <v>0</v>
      </c>
    </row>
    <row r="65" spans="1:6">
      <c r="A65" s="1298" t="s">
        <v>55</v>
      </c>
      <c r="B65" s="1298" t="s">
        <v>28</v>
      </c>
      <c r="C65" s="1299">
        <v>3</v>
      </c>
      <c r="D65" s="1299">
        <v>306337.54200000002</v>
      </c>
      <c r="E65" s="1299">
        <v>0</v>
      </c>
      <c r="F65" s="1299">
        <v>0</v>
      </c>
    </row>
    <row r="66" spans="1:6">
      <c r="A66" s="1298" t="s">
        <v>55</v>
      </c>
      <c r="B66" s="1298" t="s">
        <v>57</v>
      </c>
      <c r="C66" s="1299">
        <v>0</v>
      </c>
      <c r="D66" s="1299">
        <v>0</v>
      </c>
      <c r="E66" s="1299">
        <v>11</v>
      </c>
      <c r="F66" s="1299">
        <v>100153</v>
      </c>
    </row>
    <row r="67" spans="1:6">
      <c r="A67" s="1300" t="s">
        <v>55</v>
      </c>
      <c r="B67" s="1300" t="s">
        <v>58</v>
      </c>
      <c r="C67" s="1299">
        <v>0</v>
      </c>
      <c r="D67" s="1299">
        <v>0</v>
      </c>
      <c r="E67" s="1299">
        <v>0</v>
      </c>
      <c r="F67" s="1299">
        <v>0</v>
      </c>
    </row>
    <row r="68" spans="1:6">
      <c r="A68" s="1293" t="s">
        <v>55</v>
      </c>
      <c r="B68" s="1293" t="s">
        <v>59</v>
      </c>
      <c r="C68" s="1302">
        <v>0</v>
      </c>
      <c r="D68" s="1302">
        <v>0</v>
      </c>
      <c r="E68" s="1302">
        <v>11</v>
      </c>
      <c r="F68" s="1302">
        <v>52465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33918724</v>
      </c>
      <c r="E73" s="450"/>
      <c r="F73" s="330"/>
    </row>
    <row r="74" spans="1:6">
      <c r="A74" s="1298" t="s">
        <v>63</v>
      </c>
      <c r="B74" s="1298" t="s">
        <v>647</v>
      </c>
      <c r="C74" s="1312" t="s">
        <v>649</v>
      </c>
      <c r="D74" s="1313">
        <v>1644453</v>
      </c>
      <c r="E74" s="450"/>
      <c r="F74" s="330"/>
    </row>
    <row r="75" spans="1:6">
      <c r="A75" s="1298" t="s">
        <v>64</v>
      </c>
      <c r="B75" s="1298" t="s">
        <v>646</v>
      </c>
      <c r="C75" s="1312" t="s">
        <v>650</v>
      </c>
      <c r="D75" s="1313">
        <v>33925004</v>
      </c>
      <c r="E75" s="450"/>
      <c r="F75" s="330"/>
    </row>
    <row r="76" spans="1:6">
      <c r="A76" s="1298" t="s">
        <v>64</v>
      </c>
      <c r="B76" s="1298" t="s">
        <v>647</v>
      </c>
      <c r="C76" s="1312" t="s">
        <v>651</v>
      </c>
      <c r="D76" s="1313">
        <v>1021921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155066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3626.2067074602965</v>
      </c>
      <c r="C90" s="330"/>
      <c r="D90" s="330"/>
      <c r="E90" s="330"/>
      <c r="F90" s="330"/>
    </row>
    <row r="91" spans="1:6">
      <c r="A91" s="1298" t="s">
        <v>67</v>
      </c>
      <c r="B91" s="1299">
        <v>4270.6872128566401</v>
      </c>
      <c r="C91" s="330"/>
      <c r="D91" s="330"/>
      <c r="E91" s="330"/>
      <c r="F91" s="330"/>
    </row>
    <row r="92" spans="1:6">
      <c r="A92" s="1293" t="s">
        <v>68</v>
      </c>
      <c r="B92" s="1294">
        <v>1936.8693257916789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1669</v>
      </c>
      <c r="C97" s="330"/>
      <c r="D97" s="330"/>
      <c r="E97" s="330"/>
      <c r="F97" s="330"/>
    </row>
    <row r="98" spans="1:6">
      <c r="A98" s="1298" t="s">
        <v>71</v>
      </c>
      <c r="B98" s="1299">
        <v>6</v>
      </c>
      <c r="C98" s="330"/>
      <c r="D98" s="330"/>
      <c r="E98" s="330"/>
      <c r="F98" s="330"/>
    </row>
    <row r="99" spans="1:6">
      <c r="A99" s="1298" t="s">
        <v>72</v>
      </c>
      <c r="B99" s="1299">
        <v>290</v>
      </c>
      <c r="C99" s="330"/>
      <c r="D99" s="330"/>
      <c r="E99" s="330"/>
      <c r="F99" s="330"/>
    </row>
    <row r="100" spans="1:6">
      <c r="A100" s="1298" t="s">
        <v>73</v>
      </c>
      <c r="B100" s="1299">
        <v>730</v>
      </c>
      <c r="C100" s="330"/>
      <c r="D100" s="330"/>
      <c r="E100" s="330"/>
      <c r="F100" s="330"/>
    </row>
    <row r="101" spans="1:6">
      <c r="A101" s="1298" t="s">
        <v>74</v>
      </c>
      <c r="B101" s="1299">
        <v>169</v>
      </c>
      <c r="C101" s="330"/>
      <c r="D101" s="330"/>
      <c r="E101" s="330"/>
      <c r="F101" s="330"/>
    </row>
    <row r="102" spans="1:6">
      <c r="A102" s="1298" t="s">
        <v>75</v>
      </c>
      <c r="B102" s="1299">
        <v>69</v>
      </c>
      <c r="C102" s="330"/>
      <c r="D102" s="330"/>
      <c r="E102" s="330"/>
      <c r="F102" s="330"/>
    </row>
    <row r="103" spans="1:6">
      <c r="A103" s="1298" t="s">
        <v>76</v>
      </c>
      <c r="B103" s="1299">
        <v>176</v>
      </c>
      <c r="C103" s="330"/>
      <c r="D103" s="330"/>
      <c r="E103" s="330"/>
      <c r="F103" s="330"/>
    </row>
    <row r="104" spans="1:6">
      <c r="A104" s="1298" t="s">
        <v>77</v>
      </c>
      <c r="B104" s="1299">
        <v>2931</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34</v>
      </c>
      <c r="C123" s="1299">
        <v>23</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161</v>
      </c>
      <c r="C129" s="330"/>
      <c r="D129" s="330"/>
      <c r="E129" s="330"/>
      <c r="F129" s="330"/>
    </row>
    <row r="130" spans="1:6">
      <c r="A130" s="1298" t="s">
        <v>294</v>
      </c>
      <c r="B130" s="1299">
        <v>6</v>
      </c>
      <c r="C130" s="330"/>
      <c r="D130" s="330"/>
      <c r="E130" s="330"/>
      <c r="F130" s="330"/>
    </row>
    <row r="131" spans="1:6">
      <c r="A131" s="1298" t="s">
        <v>295</v>
      </c>
      <c r="B131" s="1299">
        <v>0</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80236.156976072307</v>
      </c>
      <c r="C3" s="43" t="s">
        <v>169</v>
      </c>
      <c r="D3" s="43"/>
      <c r="E3" s="154"/>
      <c r="F3" s="43"/>
      <c r="G3" s="43"/>
      <c r="H3" s="43"/>
      <c r="I3" s="43"/>
      <c r="J3" s="43"/>
      <c r="K3" s="96"/>
    </row>
    <row r="4" spans="1:11">
      <c r="A4" s="358" t="s">
        <v>170</v>
      </c>
      <c r="B4" s="49">
        <f>IF(ISERROR('SEAP template'!B78+'SEAP template'!C78),0,'SEAP template'!B78+'SEAP template'!C78)</f>
        <v>9964.7132461086167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0.1935535006861466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187.07142857142856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1009.715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1009.715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0.1935535006861466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195.43387294531252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30896.779697000002</v>
      </c>
      <c r="C5" s="17">
        <f>IF(ISERROR('Eigen informatie GS &amp; warmtenet'!B59),0,'Eigen informatie GS &amp; warmtenet'!B59)</f>
        <v>0</v>
      </c>
      <c r="D5" s="30">
        <f>(SUM(HH_hh_gas_kWh,HH_rest_gas_kWh)/1000)*0.902</f>
        <v>64207.955823000004</v>
      </c>
      <c r="E5" s="17">
        <f>B46*B57</f>
        <v>34463.377289129254</v>
      </c>
      <c r="F5" s="17">
        <f>B51*B62</f>
        <v>14432.246675105847</v>
      </c>
      <c r="G5" s="18"/>
      <c r="H5" s="17"/>
      <c r="I5" s="17"/>
      <c r="J5" s="17">
        <f>B50*B61+C50*C61</f>
        <v>0</v>
      </c>
      <c r="K5" s="17"/>
      <c r="L5" s="17"/>
      <c r="M5" s="17"/>
      <c r="N5" s="17">
        <f>B48*B59+C48*C59</f>
        <v>25058.74027414354</v>
      </c>
      <c r="O5" s="17">
        <f>B69*B70*B71</f>
        <v>367.03227058660087</v>
      </c>
      <c r="P5" s="17">
        <f>B77*B78*B79/1000-B77*B78*B79/1000/B80</f>
        <v>705.77527361489661</v>
      </c>
    </row>
    <row r="6" spans="1:16">
      <c r="A6" s="16" t="s">
        <v>611</v>
      </c>
      <c r="B6" s="783">
        <f>kWh_PV_kleiner_dan_10kW</f>
        <v>4270.6872128566401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35167.466909856645</v>
      </c>
      <c r="C8" s="21">
        <f>C5</f>
        <v>0</v>
      </c>
      <c r="D8" s="21">
        <f>D5</f>
        <v>64207.955823000004</v>
      </c>
      <c r="E8" s="21">
        <f>E5</f>
        <v>34463.377289129254</v>
      </c>
      <c r="F8" s="21">
        <f>F5</f>
        <v>14432.246675105847</v>
      </c>
      <c r="G8" s="21"/>
      <c r="H8" s="21"/>
      <c r="I8" s="21"/>
      <c r="J8" s="21">
        <f>J5</f>
        <v>0</v>
      </c>
      <c r="K8" s="21"/>
      <c r="L8" s="21">
        <f>L5</f>
        <v>0</v>
      </c>
      <c r="M8" s="21">
        <f>M5</f>
        <v>0</v>
      </c>
      <c r="N8" s="21">
        <f>N5</f>
        <v>25058.74027414354</v>
      </c>
      <c r="O8" s="21">
        <f>O5</f>
        <v>367.03227058660087</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0.1935535006861466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6806.786330666976</v>
      </c>
      <c r="C12" s="23">
        <f ca="1">C10*C8</f>
        <v>0</v>
      </c>
      <c r="D12" s="23">
        <f>D8*D10</f>
        <v>12970.007076246002</v>
      </c>
      <c r="E12" s="23">
        <f>E10*E8</f>
        <v>7823.1866446323411</v>
      </c>
      <c r="F12" s="23">
        <f>F10*F8</f>
        <v>3853.4098622532615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7516</v>
      </c>
      <c r="C28" s="36"/>
      <c r="D28" s="228"/>
    </row>
    <row r="29" spans="1:7" s="15" customFormat="1">
      <c r="A29" s="230" t="s">
        <v>819</v>
      </c>
      <c r="B29" s="37">
        <f>SUM(HH_hh_gas_aantal,HH_rest_gas_aantal)</f>
        <v>4153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4153</v>
      </c>
      <c r="C32" s="167">
        <f>IF(ISERROR(B32/SUM($B$32,$B$34,$B$35,$B$36,$B$38,$B$39)*100),0,B32/SUM($B$32,$B$34,$B$35,$B$36,$B$38,$B$39)*100)</f>
        <v>55.752449993287691</v>
      </c>
      <c r="D32" s="233"/>
      <c r="G32" s="15"/>
    </row>
    <row r="33" spans="1:7">
      <c r="A33" s="171" t="s">
        <v>71</v>
      </c>
      <c r="B33" s="34" t="s">
        <v>110</v>
      </c>
      <c r="C33" s="167"/>
      <c r="D33" s="233"/>
      <c r="G33" s="15"/>
    </row>
    <row r="34" spans="1:7">
      <c r="A34" s="171" t="s">
        <v>72</v>
      </c>
      <c r="B34" s="33">
        <f>IF((($B$28-$B$32-$B$39-$B$77-$B$38)*C20/100)&lt;0,0,($B$28-$B$32-$B$39-$B$77-$B$38)*C20/100)</f>
        <v>634.29268292682923</v>
      </c>
      <c r="C34" s="167">
        <f>IF(ISERROR(B34/SUM($B$32,$B$34,$B$35,$B$36,$B$38,$B$39)*100),0,B34/SUM($B$32,$B$34,$B$35,$B$36,$B$38,$B$39)*100)</f>
        <v>8.5151387156239657</v>
      </c>
      <c r="D34" s="233"/>
      <c r="G34" s="15"/>
    </row>
    <row r="35" spans="1:7">
      <c r="A35" s="171" t="s">
        <v>73</v>
      </c>
      <c r="B35" s="33">
        <f>IF((($B$28-$B$32-$B$39-$B$77-$B$38)*C21/100)&lt;0,0,($B$28-$B$32-$B$39-$B$77-$B$38)*C21/100)</f>
        <v>1596.6677880571908</v>
      </c>
      <c r="C35" s="167">
        <f>IF(ISERROR(B35/SUM($B$32,$B$34,$B$35,$B$36,$B$38,$B$39)*100),0,B35/SUM($B$32,$B$34,$B$35,$B$36,$B$38,$B$39)*100)</f>
        <v>21.43465952553619</v>
      </c>
      <c r="D35" s="233"/>
      <c r="G35" s="15"/>
    </row>
    <row r="36" spans="1:7">
      <c r="A36" s="171" t="s">
        <v>74</v>
      </c>
      <c r="B36" s="33">
        <f>IF((($B$28-$B$32-$B$39-$B$77-$B$38)*C22/100)&lt;0,0,($B$28-$B$32-$B$39-$B$77-$B$38)*C22/100)</f>
        <v>369.6395290159798</v>
      </c>
      <c r="C36" s="167">
        <f>IF(ISERROR(B36/SUM($B$32,$B$34,$B$35,$B$36,$B$38,$B$39)*100),0,B36/SUM($B$32,$B$34,$B$35,$B$36,$B$38,$B$39)*100)</f>
        <v>4.9622704928981038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695.40000000000009</v>
      </c>
      <c r="C39" s="167">
        <f>IF(ISERROR(B39/SUM($B$32,$B$34,$B$35,$B$36,$B$38,$B$39)*100),0,B39/SUM($B$32,$B$34,$B$35,$B$36,$B$38,$B$39)*100)</f>
        <v>9.3354812726540484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4153</v>
      </c>
      <c r="C44" s="34" t="s">
        <v>110</v>
      </c>
      <c r="D44" s="174"/>
    </row>
    <row r="45" spans="1:7">
      <c r="A45" s="171" t="s">
        <v>71</v>
      </c>
      <c r="B45" s="33" t="str">
        <f t="shared" si="0"/>
        <v>-</v>
      </c>
      <c r="C45" s="34" t="s">
        <v>110</v>
      </c>
      <c r="D45" s="174"/>
    </row>
    <row r="46" spans="1:7">
      <c r="A46" s="171" t="s">
        <v>72</v>
      </c>
      <c r="B46" s="33">
        <f t="shared" si="0"/>
        <v>634.29268292682923</v>
      </c>
      <c r="C46" s="34" t="s">
        <v>110</v>
      </c>
      <c r="D46" s="174"/>
    </row>
    <row r="47" spans="1:7">
      <c r="A47" s="171" t="s">
        <v>73</v>
      </c>
      <c r="B47" s="33">
        <f t="shared" si="0"/>
        <v>1596.6677880571908</v>
      </c>
      <c r="C47" s="34" t="s">
        <v>110</v>
      </c>
      <c r="D47" s="174"/>
    </row>
    <row r="48" spans="1:7">
      <c r="A48" s="171" t="s">
        <v>74</v>
      </c>
      <c r="B48" s="33">
        <f t="shared" si="0"/>
        <v>369.6395290159798</v>
      </c>
      <c r="C48" s="33">
        <f>B48*10</f>
        <v>3696.3952901597982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695.40000000000009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12157.312891000001</v>
      </c>
      <c r="C5" s="17">
        <f>IF(ISERROR('Eigen informatie GS &amp; warmtenet'!B60),0,'Eigen informatie GS &amp; warmtenet'!B60)</f>
        <v>0</v>
      </c>
      <c r="D5" s="30">
        <f>SUM(D6:D12)</f>
        <v>14073.820642838002</v>
      </c>
      <c r="E5" s="17">
        <f>SUM(E6:E12)</f>
        <v>172.56078250399321</v>
      </c>
      <c r="F5" s="17">
        <f>SUM(F6:F12)</f>
        <v>1402.7860260331381</v>
      </c>
      <c r="G5" s="18"/>
      <c r="H5" s="17"/>
      <c r="I5" s="17"/>
      <c r="J5" s="17">
        <f>SUM(J6:J12)</f>
        <v>3.4462255818326792E-2</v>
      </c>
      <c r="K5" s="17"/>
      <c r="L5" s="17"/>
      <c r="M5" s="17"/>
      <c r="N5" s="17">
        <f>SUM(N6:N12)</f>
        <v>1354.6243354780836</v>
      </c>
      <c r="O5" s="17">
        <f>B38*B39*B40</f>
        <v>29.383564595046927</v>
      </c>
      <c r="P5" s="17">
        <f>B46*B47*B48/1000-B46*B47*B48/1000/B49</f>
        <v>52.539138306495019</v>
      </c>
      <c r="R5" s="32"/>
    </row>
    <row r="6" spans="1:18">
      <c r="A6" s="32" t="s">
        <v>53</v>
      </c>
      <c r="B6" s="37">
        <f>B26</f>
        <v>2800.2094999999999</v>
      </c>
      <c r="C6" s="33"/>
      <c r="D6" s="37">
        <f>IF(ISERROR(TER_kantoor_gas_kWh/1000),0,TER_kantoor_gas_kWh/1000)*0.902</f>
        <v>4016.4125327260008</v>
      </c>
      <c r="E6" s="33">
        <f>$C$26*'E Balans VL '!I12/100/3.6*1000000</f>
        <v>22.532388028602053</v>
      </c>
      <c r="F6" s="33">
        <f>$C$26*('E Balans VL '!L12+'E Balans VL '!N12)/100/3.6*1000000</f>
        <v>342.35506863584641</v>
      </c>
      <c r="G6" s="34"/>
      <c r="H6" s="33"/>
      <c r="I6" s="33"/>
      <c r="J6" s="33">
        <f>$C$26*('E Balans VL '!D12+'E Balans VL '!E12)/100/3.6*1000000</f>
        <v>0</v>
      </c>
      <c r="K6" s="33"/>
      <c r="L6" s="33"/>
      <c r="M6" s="33"/>
      <c r="N6" s="33">
        <f>$C$26*'E Balans VL '!Y12/100/3.6*1000000</f>
        <v>1.5049747108571634</v>
      </c>
      <c r="O6" s="33"/>
      <c r="P6" s="33"/>
      <c r="R6" s="32"/>
    </row>
    <row r="7" spans="1:18">
      <c r="A7" s="32" t="s">
        <v>52</v>
      </c>
      <c r="B7" s="37">
        <f t="shared" ref="B7:B12" si="0">B27</f>
        <v>1682.33905</v>
      </c>
      <c r="C7" s="33"/>
      <c r="D7" s="37">
        <f>IF(ISERROR(TER_horeca_gas_kWh/1000),0,TER_horeca_gas_kWh/1000)*0.902</f>
        <v>1365.2135535499999</v>
      </c>
      <c r="E7" s="33">
        <f>$C$27*'E Balans VL '!I9/100/3.6*1000000</f>
        <v>18.064190294526689</v>
      </c>
      <c r="F7" s="33">
        <f>$C$27*('E Balans VL '!L9+'E Balans VL '!N9)/100/3.6*1000000</f>
        <v>202.3445931923502</v>
      </c>
      <c r="G7" s="34"/>
      <c r="H7" s="33"/>
      <c r="I7" s="33"/>
      <c r="J7" s="33">
        <f>$C$27*('E Balans VL '!D9+'E Balans VL '!E9)/100/3.6*1000000</f>
        <v>0</v>
      </c>
      <c r="K7" s="33"/>
      <c r="L7" s="33"/>
      <c r="M7" s="33"/>
      <c r="N7" s="33">
        <f>$C$27*'E Balans VL '!Y9/100/3.6*1000000</f>
        <v>0.25221672064892553</v>
      </c>
      <c r="O7" s="33"/>
      <c r="P7" s="33"/>
      <c r="R7" s="32"/>
    </row>
    <row r="8" spans="1:18">
      <c r="A8" s="6" t="s">
        <v>51</v>
      </c>
      <c r="B8" s="37">
        <f t="shared" si="0"/>
        <v>4135.1829500000003</v>
      </c>
      <c r="C8" s="33"/>
      <c r="D8" s="37">
        <f>IF(ISERROR(TER_handel_gas_kWh/1000),0,TER_handel_gas_kWh/1000)*0.902</f>
        <v>1426.5706459180001</v>
      </c>
      <c r="E8" s="33">
        <f>$C$28*'E Balans VL '!I13/100/3.6*1000000</f>
        <v>110.97565063820811</v>
      </c>
      <c r="F8" s="33">
        <f>$C$28*('E Balans VL '!L13+'E Balans VL '!N13)/100/3.6*1000000</f>
        <v>394.62390305477618</v>
      </c>
      <c r="G8" s="34"/>
      <c r="H8" s="33"/>
      <c r="I8" s="33"/>
      <c r="J8" s="33">
        <f>$C$28*('E Balans VL '!D13+'E Balans VL '!E13)/100/3.6*1000000</f>
        <v>0</v>
      </c>
      <c r="K8" s="33"/>
      <c r="L8" s="33"/>
      <c r="M8" s="33"/>
      <c r="N8" s="33">
        <f>$C$28*'E Balans VL '!Y13/100/3.6*1000000</f>
        <v>1.6392335400041749</v>
      </c>
      <c r="O8" s="33"/>
      <c r="P8" s="33"/>
      <c r="R8" s="32"/>
    </row>
    <row r="9" spans="1:18">
      <c r="A9" s="32" t="s">
        <v>50</v>
      </c>
      <c r="B9" s="37">
        <f t="shared" si="0"/>
        <v>873.548</v>
      </c>
      <c r="C9" s="33"/>
      <c r="D9" s="37">
        <f>IF(ISERROR(TER_gezond_gas_kWh/1000),0,TER_gezond_gas_kWh/1000)*0.902</f>
        <v>1725.2190151240002</v>
      </c>
      <c r="E9" s="33">
        <f>$C$29*'E Balans VL '!I10/100/3.6*1000000</f>
        <v>1.6373133915802471</v>
      </c>
      <c r="F9" s="33">
        <f>$C$29*('E Balans VL '!L10+'E Balans VL '!N10)/100/3.6*1000000</f>
        <v>71.813616111345681</v>
      </c>
      <c r="G9" s="34"/>
      <c r="H9" s="33"/>
      <c r="I9" s="33"/>
      <c r="J9" s="33">
        <f>$C$29*('E Balans VL '!D10+'E Balans VL '!E10)/100/3.6*1000000</f>
        <v>0</v>
      </c>
      <c r="K9" s="33"/>
      <c r="L9" s="33"/>
      <c r="M9" s="33"/>
      <c r="N9" s="33">
        <f>$C$29*'E Balans VL '!Y10/100/3.6*1000000</f>
        <v>6.7968552004574754</v>
      </c>
      <c r="O9" s="33"/>
      <c r="P9" s="33"/>
      <c r="R9" s="32"/>
    </row>
    <row r="10" spans="1:18">
      <c r="A10" s="32" t="s">
        <v>49</v>
      </c>
      <c r="B10" s="37">
        <f t="shared" si="0"/>
        <v>2030.0509500000001</v>
      </c>
      <c r="C10" s="33"/>
      <c r="D10" s="37">
        <f>IF(ISERROR(TER_ander_gas_kWh/1000),0,TER_ander_gas_kWh/1000)*0.902</f>
        <v>409.09054808600001</v>
      </c>
      <c r="E10" s="33">
        <f>$C$30*'E Balans VL '!I14/100/3.6*1000000</f>
        <v>3.1293441096134407</v>
      </c>
      <c r="F10" s="33">
        <f>$C$30*('E Balans VL '!L14+'E Balans VL '!N14)/100/3.6*1000000</f>
        <v>315.16597041387632</v>
      </c>
      <c r="G10" s="34"/>
      <c r="H10" s="33"/>
      <c r="I10" s="33"/>
      <c r="J10" s="33">
        <f>$C$30*('E Balans VL '!D14+'E Balans VL '!E14)/100/3.6*1000000</f>
        <v>3.4462255818326792E-2</v>
      </c>
      <c r="K10" s="33"/>
      <c r="L10" s="33"/>
      <c r="M10" s="33"/>
      <c r="N10" s="33">
        <f>$C$30*'E Balans VL '!Y14/100/3.6*1000000</f>
        <v>1343.0166458754372</v>
      </c>
      <c r="O10" s="33"/>
      <c r="P10" s="33"/>
      <c r="R10" s="32"/>
    </row>
    <row r="11" spans="1:18">
      <c r="A11" s="32" t="s">
        <v>54</v>
      </c>
      <c r="B11" s="37">
        <f t="shared" si="0"/>
        <v>635.98244099999999</v>
      </c>
      <c r="C11" s="33"/>
      <c r="D11" s="37">
        <f>IF(ISERROR(TER_onderwijs_gas_kWh/1000),0,TER_onderwijs_gas_kWh/1000)*0.902</f>
        <v>1660.4149956020001</v>
      </c>
      <c r="E11" s="33">
        <f>$C$31*'E Balans VL '!I11/100/3.6*1000000</f>
        <v>16.221896041462649</v>
      </c>
      <c r="F11" s="33">
        <f>$C$31*('E Balans VL '!L11+'E Balans VL '!N11)/100/3.6*1000000</f>
        <v>76.48287462494315</v>
      </c>
      <c r="G11" s="34"/>
      <c r="H11" s="33"/>
      <c r="I11" s="33"/>
      <c r="J11" s="33">
        <f>$C$31*('E Balans VL '!D11+'E Balans VL '!E11)/100/3.6*1000000</f>
        <v>0</v>
      </c>
      <c r="K11" s="33"/>
      <c r="L11" s="33"/>
      <c r="M11" s="33"/>
      <c r="N11" s="33">
        <f>$C$31*'E Balans VL '!Y11/100/3.6*1000000</f>
        <v>1.4144094306787249</v>
      </c>
      <c r="O11" s="33"/>
      <c r="P11" s="33"/>
      <c r="R11" s="32"/>
    </row>
    <row r="12" spans="1:18">
      <c r="A12" s="32" t="s">
        <v>259</v>
      </c>
      <c r="B12" s="37">
        <f t="shared" si="0"/>
        <v>0</v>
      </c>
      <c r="C12" s="33"/>
      <c r="D12" s="37">
        <f>IF(ISERROR(TER_rest_gas_kWh/1000),0,TER_rest_gas_kWh/1000)*0.902</f>
        <v>3470.8993518320003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12157.312891000001</v>
      </c>
      <c r="C16" s="21">
        <f t="shared" ca="1" si="1"/>
        <v>0</v>
      </c>
      <c r="D16" s="21">
        <f t="shared" ca="1" si="1"/>
        <v>14073.820642838002</v>
      </c>
      <c r="E16" s="21">
        <f t="shared" si="1"/>
        <v>172.56078250399321</v>
      </c>
      <c r="F16" s="21">
        <f t="shared" ca="1" si="1"/>
        <v>1402.7860260331381</v>
      </c>
      <c r="G16" s="21">
        <f t="shared" si="1"/>
        <v>0</v>
      </c>
      <c r="H16" s="21">
        <f t="shared" si="1"/>
        <v>0</v>
      </c>
      <c r="I16" s="21">
        <f t="shared" si="1"/>
        <v>0</v>
      </c>
      <c r="J16" s="21">
        <f t="shared" si="1"/>
        <v>3.4462255818326792E-2</v>
      </c>
      <c r="K16" s="21">
        <f t="shared" si="1"/>
        <v>0</v>
      </c>
      <c r="L16" s="21">
        <f t="shared" ca="1" si="1"/>
        <v>0</v>
      </c>
      <c r="M16" s="21">
        <f t="shared" si="1"/>
        <v>0</v>
      </c>
      <c r="N16" s="21">
        <f t="shared" ca="1" si="1"/>
        <v>1354.6243354780836</v>
      </c>
      <c r="O16" s="21">
        <f>O5</f>
        <v>29.383564595046927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0.1935535006861466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2353.0904689898675</v>
      </c>
      <c r="C20" s="23">
        <f t="shared" ref="C20:P20" ca="1" si="2">C16*C18</f>
        <v>0</v>
      </c>
      <c r="D20" s="23">
        <f t="shared" ca="1" si="2"/>
        <v>2842.9117698532764</v>
      </c>
      <c r="E20" s="23">
        <f t="shared" si="2"/>
        <v>39.171297628406457</v>
      </c>
      <c r="F20" s="23">
        <f t="shared" ca="1" si="2"/>
        <v>374.54386895084792</v>
      </c>
      <c r="G20" s="23">
        <f t="shared" si="2"/>
        <v>0</v>
      </c>
      <c r="H20" s="23">
        <f t="shared" si="2"/>
        <v>0</v>
      </c>
      <c r="I20" s="23">
        <f t="shared" si="2"/>
        <v>0</v>
      </c>
      <c r="J20" s="23">
        <f t="shared" si="2"/>
        <v>1.2199638559687684E-2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2800.2094999999999</v>
      </c>
      <c r="C26" s="39">
        <f>IF(ISERROR(B26*3.6/1000000/'E Balans VL '!Z12*100),0,B26*3.6/1000000/'E Balans VL '!Z12*100)</f>
        <v>5.9403882644999587E-2</v>
      </c>
      <c r="D26" s="237" t="s">
        <v>708</v>
      </c>
      <c r="F26" s="6"/>
    </row>
    <row r="27" spans="1:18">
      <c r="A27" s="231" t="s">
        <v>52</v>
      </c>
      <c r="B27" s="33">
        <f>IF(ISERROR(TER_horeca_ele_kWh/1000),0,TER_horeca_ele_kWh/1000)</f>
        <v>1682.33905</v>
      </c>
      <c r="C27" s="39">
        <f>IF(ISERROR(B27*3.6/1000000/'E Balans VL '!Z9*100),0,B27*3.6/1000000/'E Balans VL '!Z9*100)</f>
        <v>0.12669503347650651</v>
      </c>
      <c r="D27" s="237" t="s">
        <v>708</v>
      </c>
      <c r="F27" s="6"/>
    </row>
    <row r="28" spans="1:18">
      <c r="A28" s="171" t="s">
        <v>51</v>
      </c>
      <c r="B28" s="33">
        <f>IF(ISERROR(TER_handel_ele_kWh/1000),0,TER_handel_ele_kWh/1000)</f>
        <v>4135.1829500000003</v>
      </c>
      <c r="C28" s="39">
        <f>IF(ISERROR(B28*3.6/1000000/'E Balans VL '!Z13*100),0,B28*3.6/1000000/'E Balans VL '!Z13*100)</f>
        <v>0.12002970894212518</v>
      </c>
      <c r="D28" s="237" t="s">
        <v>708</v>
      </c>
      <c r="F28" s="6"/>
    </row>
    <row r="29" spans="1:18">
      <c r="A29" s="231" t="s">
        <v>50</v>
      </c>
      <c r="B29" s="33">
        <f>IF(ISERROR(TER_gezond_ele_kWh/1000),0,TER_gezond_ele_kWh/1000)</f>
        <v>873.548</v>
      </c>
      <c r="C29" s="39">
        <f>IF(ISERROR(B29*3.6/1000000/'E Balans VL '!Z10*100),0,B29*3.6/1000000/'E Balans VL '!Z10*100)</f>
        <v>8.8098357548419506E-2</v>
      </c>
      <c r="D29" s="237" t="s">
        <v>708</v>
      </c>
      <c r="F29" s="6"/>
    </row>
    <row r="30" spans="1:18">
      <c r="A30" s="231" t="s">
        <v>49</v>
      </c>
      <c r="B30" s="33">
        <f>IF(ISERROR(TER_ander_ele_kWh/1000),0,TER_ander_ele_kWh/1000)</f>
        <v>2030.0509500000001</v>
      </c>
      <c r="C30" s="39">
        <f>IF(ISERROR(B30*3.6/1000000/'E Balans VL '!Z14*100),0,B30*3.6/1000000/'E Balans VL '!Z14*100)</f>
        <v>0.1473078913954721</v>
      </c>
      <c r="D30" s="237" t="s">
        <v>708</v>
      </c>
      <c r="F30" s="6"/>
    </row>
    <row r="31" spans="1:18">
      <c r="A31" s="231" t="s">
        <v>54</v>
      </c>
      <c r="B31" s="33">
        <f>IF(ISERROR(TER_onderwijs_ele_kWh/1000),0,TER_onderwijs_ele_kWh/1000)</f>
        <v>635.98244099999999</v>
      </c>
      <c r="C31" s="39">
        <f>IF(ISERROR(B31*3.6/1000000/'E Balans VL '!Z11*100),0,B31*3.6/1000000/'E Balans VL '!Z11*100)</f>
        <v>0.18128089409592144</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28105.147949999999</v>
      </c>
      <c r="C5" s="17">
        <f>IF(ISERROR('Eigen informatie GS &amp; warmtenet'!B61),0,'Eigen informatie GS &amp; warmtenet'!B61)</f>
        <v>0</v>
      </c>
      <c r="D5" s="30">
        <f>SUM(D6:D15)</f>
        <v>3332.8554470859999</v>
      </c>
      <c r="E5" s="17">
        <f>SUM(E6:E15)</f>
        <v>5663.3515667550901</v>
      </c>
      <c r="F5" s="17">
        <f>SUM(F6:F15)</f>
        <v>17259.85708413897</v>
      </c>
      <c r="G5" s="18"/>
      <c r="H5" s="17"/>
      <c r="I5" s="17"/>
      <c r="J5" s="17">
        <f>SUM(J6:J15)</f>
        <v>222.7717648915314</v>
      </c>
      <c r="K5" s="17"/>
      <c r="L5" s="17"/>
      <c r="M5" s="17"/>
      <c r="N5" s="17">
        <f>SUM(N6:N15)</f>
        <v>1748.3647048193934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1265.3209999999999</v>
      </c>
      <c r="C8" s="33"/>
      <c r="D8" s="37">
        <f>IF( ISERROR(IND_metaal_Gas_kWH/1000),0,IND_metaal_Gas_kWH/1000)*0.902</f>
        <v>191.599203136</v>
      </c>
      <c r="E8" s="33">
        <f>C30*'E Balans VL '!I18/100/3.6*1000000</f>
        <v>9.1284029297221387</v>
      </c>
      <c r="F8" s="33">
        <f>C30*'E Balans VL '!L18/100/3.6*1000000+C30*'E Balans VL '!N18/100/3.6*1000000</f>
        <v>119.67603571509346</v>
      </c>
      <c r="G8" s="34"/>
      <c r="H8" s="33"/>
      <c r="I8" s="33"/>
      <c r="J8" s="40">
        <f>C30*'E Balans VL '!D18/100/3.6*1000000+C30*'E Balans VL '!E18/100/3.6*1000000</f>
        <v>1.272667214831013</v>
      </c>
      <c r="K8" s="33"/>
      <c r="L8" s="33"/>
      <c r="M8" s="33"/>
      <c r="N8" s="33">
        <f>C30*'E Balans VL '!Y18/100/3.6*1000000</f>
        <v>15.997005148858586</v>
      </c>
      <c r="O8" s="33"/>
      <c r="P8" s="33"/>
      <c r="R8" s="32"/>
    </row>
    <row r="9" spans="1:18">
      <c r="A9" s="6" t="s">
        <v>32</v>
      </c>
      <c r="B9" s="37">
        <f t="shared" si="0"/>
        <v>20320.84995</v>
      </c>
      <c r="C9" s="33"/>
      <c r="D9" s="37">
        <f>IF( ISERROR(IND_andere_gas_kWh/1000),0,IND_andere_gas_kWh/1000)*0.902</f>
        <v>1334.22112219</v>
      </c>
      <c r="E9" s="33">
        <f>C31*'E Balans VL '!I19/100/3.6*1000000</f>
        <v>5631.1792449509949</v>
      </c>
      <c r="F9" s="33">
        <f>C31*'E Balans VL '!L19/100/3.6*1000000+C31*'E Balans VL '!N19/100/3.6*1000000</f>
        <v>16841.964352255178</v>
      </c>
      <c r="G9" s="34"/>
      <c r="H9" s="33"/>
      <c r="I9" s="33"/>
      <c r="J9" s="40">
        <f>C31*'E Balans VL '!D19/100/3.6*1000000+C31*'E Balans VL '!E19/100/3.6*1000000</f>
        <v>0</v>
      </c>
      <c r="K9" s="33"/>
      <c r="L9" s="33"/>
      <c r="M9" s="33"/>
      <c r="N9" s="33">
        <f>C31*'E Balans VL '!Y19/100/3.6*1000000</f>
        <v>1475.0451554674221</v>
      </c>
      <c r="O9" s="33"/>
      <c r="P9" s="33"/>
      <c r="R9" s="32"/>
    </row>
    <row r="10" spans="1:18">
      <c r="A10" s="6" t="s">
        <v>40</v>
      </c>
      <c r="B10" s="37">
        <f t="shared" si="0"/>
        <v>4248.4530000000004</v>
      </c>
      <c r="C10" s="33"/>
      <c r="D10" s="37">
        <f>IF( ISERROR(IND_voed_gas_kWh/1000),0,IND_voed_gas_kWh/1000)*0.902</f>
        <v>513.51357092199999</v>
      </c>
      <c r="E10" s="33">
        <f>C32*'E Balans VL '!I20/100/3.6*1000000</f>
        <v>7.5212008532922878</v>
      </c>
      <c r="F10" s="33">
        <f>C32*'E Balans VL '!L20/100/3.6*1000000+C32*'E Balans VL '!N20/100/3.6*1000000</f>
        <v>229.4541157011798</v>
      </c>
      <c r="G10" s="34"/>
      <c r="H10" s="33"/>
      <c r="I10" s="33"/>
      <c r="J10" s="40">
        <f>C32*'E Balans VL '!D20/100/3.6*1000000+C32*'E Balans VL '!E20/100/3.6*1000000</f>
        <v>0</v>
      </c>
      <c r="K10" s="33"/>
      <c r="L10" s="33"/>
      <c r="M10" s="33"/>
      <c r="N10" s="33">
        <f>C32*'E Balans VL '!Y20/100/3.6*1000000</f>
        <v>246.86756513986504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2004.479</v>
      </c>
      <c r="C13" s="33"/>
      <c r="D13" s="37">
        <f>IF( ISERROR(IND_papier_gas_kWh/1000),0,IND_papier_gas_kWh/1000)*0.902</f>
        <v>0</v>
      </c>
      <c r="E13" s="33">
        <f>C35*'E Balans VL '!I23/100/3.6*1000000</f>
        <v>2.9492769073519778</v>
      </c>
      <c r="F13" s="33">
        <f>C35*'E Balans VL '!L23/100/3.6*1000000+C35*'E Balans VL '!N23/100/3.6*1000000</f>
        <v>21.462571081042469</v>
      </c>
      <c r="G13" s="34"/>
      <c r="H13" s="33"/>
      <c r="I13" s="33"/>
      <c r="J13" s="40">
        <f>C35*'E Balans VL '!D23/100/3.6*1000000+C35*'E Balans VL '!E23/100/3.6*1000000</f>
        <v>219.30124313002452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266.04500000000002</v>
      </c>
      <c r="C15" s="33"/>
      <c r="D15" s="37">
        <f>IF( ISERROR(IND_rest_gas_kWh/1000),0,IND_rest_gas_kWh/1000)*0.902</f>
        <v>1293.5215508380002</v>
      </c>
      <c r="E15" s="33">
        <f>C37*'E Balans VL '!I15/100/3.6*1000000</f>
        <v>12.573441113728517</v>
      </c>
      <c r="F15" s="33">
        <f>C37*'E Balans VL '!L15/100/3.6*1000000+C37*'E Balans VL '!N15/100/3.6*1000000</f>
        <v>47.300009386476852</v>
      </c>
      <c r="G15" s="34"/>
      <c r="H15" s="33"/>
      <c r="I15" s="33"/>
      <c r="J15" s="40">
        <f>C37*'E Balans VL '!D15/100/3.6*1000000+C37*'E Balans VL '!E15/100/3.6*1000000</f>
        <v>2.1978545466758819</v>
      </c>
      <c r="K15" s="33"/>
      <c r="L15" s="33"/>
      <c r="M15" s="33"/>
      <c r="N15" s="33">
        <f>C37*'E Balans VL '!Y15/100/3.6*1000000</f>
        <v>10.454979063247736</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28105.147949999999</v>
      </c>
      <c r="C18" s="21">
        <f>C5+C16</f>
        <v>0</v>
      </c>
      <c r="D18" s="21">
        <f>MAX((D5+D16),0)</f>
        <v>3332.8554470859999</v>
      </c>
      <c r="E18" s="21">
        <f>MAX((E5+E16),0)</f>
        <v>5663.3515667550901</v>
      </c>
      <c r="F18" s="21">
        <f>MAX((F5+F16),0)</f>
        <v>17259.85708413897</v>
      </c>
      <c r="G18" s="21"/>
      <c r="H18" s="21"/>
      <c r="I18" s="21"/>
      <c r="J18" s="21">
        <f>MAX((J5+J16),0)</f>
        <v>222.7717648915314</v>
      </c>
      <c r="K18" s="21"/>
      <c r="L18" s="21">
        <f>MAX((L5+L16),0)</f>
        <v>0</v>
      </c>
      <c r="M18" s="21"/>
      <c r="N18" s="21">
        <f>MAX((N5+N16),0)</f>
        <v>1748.3647048193934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0.1935535006861466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5439.8497730245763</v>
      </c>
      <c r="C22" s="23">
        <f ca="1">C18*C20</f>
        <v>0</v>
      </c>
      <c r="D22" s="23">
        <f>D18*D20</f>
        <v>673.23680031137201</v>
      </c>
      <c r="E22" s="23">
        <f>E18*E20</f>
        <v>1285.5808056534054</v>
      </c>
      <c r="F22" s="23">
        <f>F18*F20</f>
        <v>4608.381841465105</v>
      </c>
      <c r="G22" s="23"/>
      <c r="H22" s="23"/>
      <c r="I22" s="23"/>
      <c r="J22" s="23">
        <f>J18*J20</f>
        <v>78.861204771602118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1265.3209999999999</v>
      </c>
      <c r="C30" s="39">
        <f>IF(ISERROR(B30*3.6/1000000/'E Balans VL '!Z18*100),0,B30*3.6/1000000/'E Balans VL '!Z18*100)</f>
        <v>7.3045006989328642E-2</v>
      </c>
      <c r="D30" s="237" t="s">
        <v>708</v>
      </c>
    </row>
    <row r="31" spans="1:18">
      <c r="A31" s="6" t="s">
        <v>32</v>
      </c>
      <c r="B31" s="37">
        <f>IF( ISERROR(IND_ander_ele_kWh/1000),0,IND_ander_ele_kWh/1000)</f>
        <v>20320.84995</v>
      </c>
      <c r="C31" s="39">
        <f>IF(ISERROR(B31*3.6/1000000/'E Balans VL '!Z19*100),0,B31*3.6/1000000/'E Balans VL '!Z19*100)</f>
        <v>1.0220728850003402</v>
      </c>
      <c r="D31" s="237" t="s">
        <v>708</v>
      </c>
    </row>
    <row r="32" spans="1:18">
      <c r="A32" s="171" t="s">
        <v>40</v>
      </c>
      <c r="B32" s="37">
        <f>IF( ISERROR(IND_voed_ele_kWh/1000),0,IND_voed_ele_kWh/1000)</f>
        <v>4248.4530000000004</v>
      </c>
      <c r="C32" s="39">
        <f>IF(ISERROR(B32*3.6/1000000/'E Balans VL '!Z20*100),0,B32*3.6/1000000/'E Balans VL '!Z20*100)</f>
        <v>0.14149871326789304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2004.479</v>
      </c>
      <c r="C35" s="39">
        <f>IF(ISERROR(B35*3.6/1000000/'E Balans VL '!Z22*100),0,B35*3.6/1000000/'E Balans VL '!Z22*100)</f>
        <v>0.37390303750085474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266.04500000000002</v>
      </c>
      <c r="C37" s="39">
        <f>IF(ISERROR(B37*3.6/1000000/'E Balans VL '!Z15*100),0,B37*3.6/1000000/'E Balans VL '!Z15*100)</f>
        <v>2.0758785349557713E-3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3112.1889999999999</v>
      </c>
      <c r="C5" s="17">
        <f>'Eigen informatie GS &amp; warmtenet'!B62</f>
        <v>0</v>
      </c>
      <c r="D5" s="30">
        <f>IF(ISERROR(SUM(LB_lb_gas_kWh,LB_rest_gas_kWh)/1000),0,SUM(LB_lb_gas_kWh,LB_rest_gas_kWh)/1000)*0.902</f>
        <v>237.95588126199996</v>
      </c>
      <c r="E5" s="17">
        <f>B17*'E Balans VL '!I25/3.6*1000000/100</f>
        <v>97.130392416676969</v>
      </c>
      <c r="F5" s="17">
        <f>B17*('E Balans VL '!L25/3.6*1000000+'E Balans VL '!N25/3.6*1000000)/100</f>
        <v>10998.820684997201</v>
      </c>
      <c r="G5" s="18"/>
      <c r="H5" s="17"/>
      <c r="I5" s="17"/>
      <c r="J5" s="17">
        <f>('E Balans VL '!D25+'E Balans VL '!E25)/3.6*1000000*landbouw!B17/100</f>
        <v>857.42965234156418</v>
      </c>
      <c r="K5" s="17"/>
      <c r="L5" s="17">
        <f>L6*(-1)</f>
        <v>0</v>
      </c>
      <c r="M5" s="17"/>
      <c r="N5" s="17">
        <f>N6*(-1)</f>
        <v>374.14285714285711</v>
      </c>
      <c r="O5" s="17"/>
      <c r="P5" s="17"/>
      <c r="R5" s="32"/>
    </row>
    <row r="6" spans="1:18">
      <c r="A6" s="16" t="s">
        <v>478</v>
      </c>
      <c r="B6" s="17" t="s">
        <v>210</v>
      </c>
      <c r="C6" s="17">
        <f>'lokale energieproductie'!O40+'lokale energieproductie'!O33</f>
        <v>187.07142857142856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3112.1889999999999</v>
      </c>
      <c r="C8" s="21">
        <f>C5+C6</f>
        <v>187.07142857142856</v>
      </c>
      <c r="D8" s="21">
        <f>MAX((D5+D6),0)</f>
        <v>237.95588126199996</v>
      </c>
      <c r="E8" s="21">
        <f>MAX((E5+E6),0)</f>
        <v>97.130392416676969</v>
      </c>
      <c r="F8" s="21">
        <f>MAX((F5+F6),0)</f>
        <v>10998.820684997201</v>
      </c>
      <c r="G8" s="21"/>
      <c r="H8" s="21"/>
      <c r="I8" s="21"/>
      <c r="J8" s="21">
        <f>MAX((J5+J6),0)</f>
        <v>857.42965234156418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0.1935535006861466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602.3750757469179</v>
      </c>
      <c r="C12" s="23">
        <f ca="1">C8*C10</f>
        <v>0</v>
      </c>
      <c r="D12" s="23">
        <f>D8*D10</f>
        <v>48.067088014923996</v>
      </c>
      <c r="E12" s="23">
        <f>E8*E10</f>
        <v>22.048599078585674</v>
      </c>
      <c r="F12" s="23">
        <f>F8*F10</f>
        <v>2936.6851228942528</v>
      </c>
      <c r="G12" s="23"/>
      <c r="H12" s="23"/>
      <c r="I12" s="23"/>
      <c r="J12" s="23">
        <f>J8*J10</f>
        <v>303.53009692891368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0.46264920513403063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922.65491127807786</v>
      </c>
      <c r="C26" s="247">
        <f>B26*'GWP N2O_CH4'!B5</f>
        <v>19375.753136839634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301.25579564451158</v>
      </c>
      <c r="C27" s="247">
        <f>B27*'GWP N2O_CH4'!B5</f>
        <v>6326.3717085347434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10.617476504311192</v>
      </c>
      <c r="C28" s="247">
        <f>B28*'GWP N2O_CH4'!B4</f>
        <v>3291.4177163364693</v>
      </c>
      <c r="D28" s="50"/>
    </row>
    <row r="29" spans="1:4">
      <c r="A29" s="41" t="s">
        <v>276</v>
      </c>
      <c r="B29" s="247">
        <f>B34*'ha_N2O bodem landbouw'!B4</f>
        <v>17.96250966280898</v>
      </c>
      <c r="C29" s="247">
        <f>B29*'GWP N2O_CH4'!B4</f>
        <v>5568.3779954707834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3.9388549613392932E-3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1.1680929077639762E-4</v>
      </c>
      <c r="C5" s="437" t="s">
        <v>210</v>
      </c>
      <c r="D5" s="422">
        <f>SUM(D6:D11)</f>
        <v>5.0692751678921288E-4</v>
      </c>
      <c r="E5" s="422">
        <f>SUM(E6:E11)</f>
        <v>4.1992601802054154E-4</v>
      </c>
      <c r="F5" s="435" t="s">
        <v>210</v>
      </c>
      <c r="G5" s="422">
        <f>SUM(G6:G11)</f>
        <v>0.15827066314918073</v>
      </c>
      <c r="H5" s="422">
        <f>SUM(H6:H11)</f>
        <v>4.699004125453906E-2</v>
      </c>
      <c r="I5" s="437" t="s">
        <v>210</v>
      </c>
      <c r="J5" s="437" t="s">
        <v>210</v>
      </c>
      <c r="K5" s="437" t="s">
        <v>210</v>
      </c>
      <c r="L5" s="437" t="s">
        <v>210</v>
      </c>
      <c r="M5" s="422">
        <f>SUM(M6:M11)</f>
        <v>1.2234244874860014E-2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5.8399239123185806E-5</v>
      </c>
      <c r="C6" s="423"/>
      <c r="D6" s="890">
        <f>vkm_GW_PW*SUMIFS(TableVerdeelsleutelVkm[CNG],TableVerdeelsleutelVkm[Voertuigtype],"Lichte voertuigen")*SUMIFS(TableECFTransport[EnergieConsumptieFactor (PJ per km)],TableECFTransport[Index],CONCATENATE($A6,"_CNG_CNG"))</f>
        <v>1.8812744933393053E-4</v>
      </c>
      <c r="E6" s="890">
        <f>vkm_GW_PW*SUMIFS(TableVerdeelsleutelVkm[LPG],TableVerdeelsleutelVkm[Voertuigtype],"Lichte voertuigen")*SUMIFS(TableECFTransport[EnergieConsumptieFactor (PJ per km)],TableECFTransport[Index],CONCATENATE($A6,"_LPG_LPG"))</f>
        <v>1.6088219387864241E-4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5.1972902532929827E-2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1.7623692498476659E-2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4.1626894744783045E-3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1.5611394344828734E-2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2.2322892186251623E-7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8.9987833594932045E-4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5.841005165321181E-5</v>
      </c>
      <c r="C8" s="423"/>
      <c r="D8" s="425">
        <f>vkm_NGW_PW*SUMIFS(TableVerdeelsleutelVkm[CNG],TableVerdeelsleutelVkm[Voertuigtype],"Lichte voertuigen")*SUMIFS(TableECFTransport[EnergieConsumptieFactor (PJ per km)],TableECFTransport[Index],CONCATENATE($A8,"_CNG_CNG"))</f>
        <v>3.1880006745528235E-4</v>
      </c>
      <c r="E8" s="425">
        <f>vkm_NGW_PW*SUMIFS(TableVerdeelsleutelVkm[LPG],TableVerdeelsleutelVkm[Voertuigtype],"Lichte voertuigen")*SUMIFS(TableECFTransport[EnergieConsumptieFactor (PJ per km)],TableECFTransport[Index],CONCATENATE($A8,"_LPG_LPG"))</f>
        <v>2.5904382414189913E-4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7.8197588207080906E-2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2.9365899107380498E-2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6.451790677219035E-3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1.2488778064341269E-2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2.2641976004289654E-7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7.1988638721335392E-4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32.447025215666002</v>
      </c>
      <c r="C14" s="21"/>
      <c r="D14" s="21">
        <f t="shared" ref="D14:M14" si="0">((D5)*10^9/3600)+D12</f>
        <v>140.8131991081147</v>
      </c>
      <c r="E14" s="21">
        <f t="shared" si="0"/>
        <v>116.64611611681708</v>
      </c>
      <c r="F14" s="21"/>
      <c r="G14" s="21">
        <f t="shared" si="0"/>
        <v>43964.073096994653</v>
      </c>
      <c r="H14" s="21">
        <f t="shared" si="0"/>
        <v>13052.789237371961</v>
      </c>
      <c r="I14" s="21"/>
      <c r="J14" s="21"/>
      <c r="K14" s="21"/>
      <c r="L14" s="21"/>
      <c r="M14" s="21">
        <f t="shared" si="0"/>
        <v>3398.4013541277818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0.1935535006861466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6.2802353173438252</v>
      </c>
      <c r="C18" s="23"/>
      <c r="D18" s="23">
        <f t="shared" ref="D18:M18" si="1">D14*D16</f>
        <v>28.444266219839172</v>
      </c>
      <c r="E18" s="23">
        <f t="shared" si="1"/>
        <v>26.478668358517478</v>
      </c>
      <c r="F18" s="23"/>
      <c r="G18" s="23">
        <f t="shared" si="1"/>
        <v>11738.407516897572</v>
      </c>
      <c r="H18" s="23">
        <f t="shared" si="1"/>
        <v>3250.1445201056181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1.9265330207612701E-3</v>
      </c>
      <c r="H50" s="319">
        <f t="shared" si="2"/>
        <v>0</v>
      </c>
      <c r="I50" s="319">
        <f t="shared" si="2"/>
        <v>0</v>
      </c>
      <c r="J50" s="319">
        <f t="shared" si="2"/>
        <v>0</v>
      </c>
      <c r="K50" s="319">
        <f t="shared" si="2"/>
        <v>0</v>
      </c>
      <c r="L50" s="319">
        <f t="shared" si="2"/>
        <v>0</v>
      </c>
      <c r="M50" s="319">
        <f t="shared" si="2"/>
        <v>1.0706007208048079E-4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1.9265330207612701E-3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1.0706007208048079E-4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535.14806132257502</v>
      </c>
      <c r="H54" s="21">
        <f t="shared" si="3"/>
        <v>0</v>
      </c>
      <c r="I54" s="21">
        <f t="shared" si="3"/>
        <v>0</v>
      </c>
      <c r="J54" s="21">
        <f t="shared" si="3"/>
        <v>0</v>
      </c>
      <c r="K54" s="21">
        <f t="shared" si="3"/>
        <v>0</v>
      </c>
      <c r="L54" s="21">
        <f t="shared" si="3"/>
        <v>0</v>
      </c>
      <c r="M54" s="21">
        <f t="shared" si="3"/>
        <v>29.738908911244664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0.1935535006861466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142.88453237312754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13167.027891000002</v>
      </c>
      <c r="D10" s="686">
        <f ca="1">tertiair!C16</f>
        <v>0</v>
      </c>
      <c r="E10" s="686">
        <f ca="1">tertiair!D16</f>
        <v>14073.820642838002</v>
      </c>
      <c r="F10" s="686">
        <f>tertiair!E16</f>
        <v>172.56078250399321</v>
      </c>
      <c r="G10" s="686">
        <f ca="1">tertiair!F16</f>
        <v>1402.7860260331381</v>
      </c>
      <c r="H10" s="686">
        <f>tertiair!G16</f>
        <v>0</v>
      </c>
      <c r="I10" s="686">
        <f>tertiair!H16</f>
        <v>0</v>
      </c>
      <c r="J10" s="686">
        <f>tertiair!I16</f>
        <v>0</v>
      </c>
      <c r="K10" s="686">
        <f>tertiair!J16</f>
        <v>3.4462255818326792E-2</v>
      </c>
      <c r="L10" s="686">
        <f>tertiair!K16</f>
        <v>0</v>
      </c>
      <c r="M10" s="686">
        <f ca="1">tertiair!L16</f>
        <v>0</v>
      </c>
      <c r="N10" s="686">
        <f>tertiair!M16</f>
        <v>0</v>
      </c>
      <c r="O10" s="686">
        <f ca="1">tertiair!N16</f>
        <v>1354.6243354780836</v>
      </c>
      <c r="P10" s="686">
        <f>tertiair!O16</f>
        <v>29.383564595046927</v>
      </c>
      <c r="Q10" s="687">
        <f>tertiair!P16</f>
        <v>52.539138306495019</v>
      </c>
      <c r="R10" s="689">
        <f ca="1">SUM(C10:Q10)</f>
        <v>30252.776843010575</v>
      </c>
      <c r="S10" s="67"/>
    </row>
    <row r="11" spans="1:19" s="448" customFormat="1">
      <c r="A11" s="808" t="s">
        <v>224</v>
      </c>
      <c r="B11" s="813"/>
      <c r="C11" s="686">
        <f>huishoudens!B8</f>
        <v>35167.466909856645</v>
      </c>
      <c r="D11" s="686">
        <f>huishoudens!C8</f>
        <v>0</v>
      </c>
      <c r="E11" s="686">
        <f>huishoudens!D8</f>
        <v>64207.955823000004</v>
      </c>
      <c r="F11" s="686">
        <f>huishoudens!E8</f>
        <v>34463.377289129254</v>
      </c>
      <c r="G11" s="686">
        <f>huishoudens!F8</f>
        <v>14432.246675105847</v>
      </c>
      <c r="H11" s="686">
        <f>huishoudens!G8</f>
        <v>0</v>
      </c>
      <c r="I11" s="686">
        <f>huishoudens!H8</f>
        <v>0</v>
      </c>
      <c r="J11" s="686">
        <f>huishoudens!I8</f>
        <v>0</v>
      </c>
      <c r="K11" s="686">
        <f>huishoudens!J8</f>
        <v>0</v>
      </c>
      <c r="L11" s="686">
        <f>huishoudens!K8</f>
        <v>0</v>
      </c>
      <c r="M11" s="686">
        <f>huishoudens!L8</f>
        <v>0</v>
      </c>
      <c r="N11" s="686">
        <f>huishoudens!M8</f>
        <v>0</v>
      </c>
      <c r="O11" s="686">
        <f>huishoudens!N8</f>
        <v>25058.74027414354</v>
      </c>
      <c r="P11" s="686">
        <f>huishoudens!O8</f>
        <v>367.03227058660087</v>
      </c>
      <c r="Q11" s="687">
        <f>huishoudens!P8</f>
        <v>705.77527361489661</v>
      </c>
      <c r="R11" s="689">
        <f>SUM(C11:Q11)</f>
        <v>174402.59451543679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28105.147949999999</v>
      </c>
      <c r="D13" s="686">
        <f>industrie!C18</f>
        <v>0</v>
      </c>
      <c r="E13" s="686">
        <f>industrie!D18</f>
        <v>3332.8554470859999</v>
      </c>
      <c r="F13" s="686">
        <f>industrie!E18</f>
        <v>5663.3515667550901</v>
      </c>
      <c r="G13" s="686">
        <f>industrie!F18</f>
        <v>17259.85708413897</v>
      </c>
      <c r="H13" s="686">
        <f>industrie!G18</f>
        <v>0</v>
      </c>
      <c r="I13" s="686">
        <f>industrie!H18</f>
        <v>0</v>
      </c>
      <c r="J13" s="686">
        <f>industrie!I18</f>
        <v>0</v>
      </c>
      <c r="K13" s="686">
        <f>industrie!J18</f>
        <v>222.7717648915314</v>
      </c>
      <c r="L13" s="686">
        <f>industrie!K18</f>
        <v>0</v>
      </c>
      <c r="M13" s="686">
        <f>industrie!L18</f>
        <v>0</v>
      </c>
      <c r="N13" s="686">
        <f>industrie!M18</f>
        <v>0</v>
      </c>
      <c r="O13" s="686">
        <f>industrie!N18</f>
        <v>1748.3647048193934</v>
      </c>
      <c r="P13" s="686">
        <f>industrie!O18</f>
        <v>0</v>
      </c>
      <c r="Q13" s="687">
        <f>industrie!P18</f>
        <v>0</v>
      </c>
      <c r="R13" s="689">
        <f>SUM(C13:Q13)</f>
        <v>56332.348517690996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76439.642750856641</v>
      </c>
      <c r="D16" s="722">
        <f t="shared" ref="D16:R16" ca="1" si="0">SUM(D9:D15)</f>
        <v>0</v>
      </c>
      <c r="E16" s="722">
        <f t="shared" ca="1" si="0"/>
        <v>81614.631912924</v>
      </c>
      <c r="F16" s="722">
        <f t="shared" si="0"/>
        <v>40299.289638388334</v>
      </c>
      <c r="G16" s="722">
        <f t="shared" ca="1" si="0"/>
        <v>33094.889785277956</v>
      </c>
      <c r="H16" s="722">
        <f t="shared" si="0"/>
        <v>0</v>
      </c>
      <c r="I16" s="722">
        <f t="shared" si="0"/>
        <v>0</v>
      </c>
      <c r="J16" s="722">
        <f t="shared" si="0"/>
        <v>0</v>
      </c>
      <c r="K16" s="722">
        <f t="shared" si="0"/>
        <v>222.80622714734974</v>
      </c>
      <c r="L16" s="722">
        <f t="shared" si="0"/>
        <v>0</v>
      </c>
      <c r="M16" s="722">
        <f t="shared" ca="1" si="0"/>
        <v>0</v>
      </c>
      <c r="N16" s="722">
        <f t="shared" si="0"/>
        <v>0</v>
      </c>
      <c r="O16" s="722">
        <f t="shared" ca="1" si="0"/>
        <v>28161.729314441018</v>
      </c>
      <c r="P16" s="722">
        <f t="shared" si="0"/>
        <v>396.41583518164782</v>
      </c>
      <c r="Q16" s="722">
        <f t="shared" si="0"/>
        <v>758.31441192139164</v>
      </c>
      <c r="R16" s="722">
        <f t="shared" ca="1" si="0"/>
        <v>260987.71987613835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535.14806132257502</v>
      </c>
      <c r="I19" s="686">
        <f>transport!H54</f>
        <v>0</v>
      </c>
      <c r="J19" s="686">
        <f>transport!I54</f>
        <v>0</v>
      </c>
      <c r="K19" s="686">
        <f>transport!J54</f>
        <v>0</v>
      </c>
      <c r="L19" s="686">
        <f>transport!K54</f>
        <v>0</v>
      </c>
      <c r="M19" s="686">
        <f>transport!L54</f>
        <v>0</v>
      </c>
      <c r="N19" s="686">
        <f>transport!M54</f>
        <v>29.738908911244664</v>
      </c>
      <c r="O19" s="686">
        <f>transport!N54</f>
        <v>0</v>
      </c>
      <c r="P19" s="686">
        <f>transport!O54</f>
        <v>0</v>
      </c>
      <c r="Q19" s="687">
        <f>transport!P54</f>
        <v>0</v>
      </c>
      <c r="R19" s="689">
        <f>SUM(C19:Q19)</f>
        <v>564.88697023381974</v>
      </c>
      <c r="S19" s="67"/>
    </row>
    <row r="20" spans="1:19" s="448" customFormat="1">
      <c r="A20" s="808" t="s">
        <v>306</v>
      </c>
      <c r="B20" s="813"/>
      <c r="C20" s="686">
        <f>transport!B14</f>
        <v>32.447025215666002</v>
      </c>
      <c r="D20" s="686">
        <f>transport!C14</f>
        <v>0</v>
      </c>
      <c r="E20" s="686">
        <f>transport!D14</f>
        <v>140.8131991081147</v>
      </c>
      <c r="F20" s="686">
        <f>transport!E14</f>
        <v>116.64611611681708</v>
      </c>
      <c r="G20" s="686">
        <f>transport!F14</f>
        <v>0</v>
      </c>
      <c r="H20" s="686">
        <f>transport!G14</f>
        <v>43964.073096994653</v>
      </c>
      <c r="I20" s="686">
        <f>transport!H14</f>
        <v>13052.789237371961</v>
      </c>
      <c r="J20" s="686">
        <f>transport!I14</f>
        <v>0</v>
      </c>
      <c r="K20" s="686">
        <f>transport!J14</f>
        <v>0</v>
      </c>
      <c r="L20" s="686">
        <f>transport!K14</f>
        <v>0</v>
      </c>
      <c r="M20" s="686">
        <f>transport!L14</f>
        <v>0</v>
      </c>
      <c r="N20" s="686">
        <f>transport!M14</f>
        <v>3398.4013541277818</v>
      </c>
      <c r="O20" s="686">
        <f>transport!N14</f>
        <v>0</v>
      </c>
      <c r="P20" s="686">
        <f>transport!O14</f>
        <v>0</v>
      </c>
      <c r="Q20" s="687">
        <f>transport!P14</f>
        <v>0</v>
      </c>
      <c r="R20" s="689">
        <f>SUM(C20:Q20)</f>
        <v>60705.17002893499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32.447025215666002</v>
      </c>
      <c r="D22" s="811">
        <f t="shared" ref="D22:R22" si="1">SUM(D18:D21)</f>
        <v>0</v>
      </c>
      <c r="E22" s="811">
        <f t="shared" si="1"/>
        <v>140.8131991081147</v>
      </c>
      <c r="F22" s="811">
        <f t="shared" si="1"/>
        <v>116.64611611681708</v>
      </c>
      <c r="G22" s="811">
        <f t="shared" si="1"/>
        <v>0</v>
      </c>
      <c r="H22" s="811">
        <f t="shared" si="1"/>
        <v>44499.221158317225</v>
      </c>
      <c r="I22" s="811">
        <f t="shared" si="1"/>
        <v>13052.789237371961</v>
      </c>
      <c r="J22" s="811">
        <f t="shared" si="1"/>
        <v>0</v>
      </c>
      <c r="K22" s="811">
        <f t="shared" si="1"/>
        <v>0</v>
      </c>
      <c r="L22" s="811">
        <f t="shared" si="1"/>
        <v>0</v>
      </c>
      <c r="M22" s="811">
        <f t="shared" si="1"/>
        <v>0</v>
      </c>
      <c r="N22" s="811">
        <f t="shared" si="1"/>
        <v>3428.1402630390266</v>
      </c>
      <c r="O22" s="811">
        <f t="shared" si="1"/>
        <v>0</v>
      </c>
      <c r="P22" s="811">
        <f t="shared" si="1"/>
        <v>0</v>
      </c>
      <c r="Q22" s="811">
        <f t="shared" si="1"/>
        <v>0</v>
      </c>
      <c r="R22" s="811">
        <f t="shared" si="1"/>
        <v>61270.05699916881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3112.1889999999999</v>
      </c>
      <c r="D24" s="686">
        <f>+landbouw!C8</f>
        <v>187.07142857142856</v>
      </c>
      <c r="E24" s="686">
        <f>+landbouw!D8</f>
        <v>237.95588126199996</v>
      </c>
      <c r="F24" s="686">
        <f>+landbouw!E8</f>
        <v>97.130392416676969</v>
      </c>
      <c r="G24" s="686">
        <f>+landbouw!F8</f>
        <v>10998.820684997201</v>
      </c>
      <c r="H24" s="686">
        <f>+landbouw!G8</f>
        <v>0</v>
      </c>
      <c r="I24" s="686">
        <f>+landbouw!H8</f>
        <v>0</v>
      </c>
      <c r="J24" s="686">
        <f>+landbouw!I8</f>
        <v>0</v>
      </c>
      <c r="K24" s="686">
        <f>+landbouw!J8</f>
        <v>857.42965234156418</v>
      </c>
      <c r="L24" s="686">
        <f>+landbouw!K8</f>
        <v>0</v>
      </c>
      <c r="M24" s="686">
        <f>+landbouw!L8</f>
        <v>0</v>
      </c>
      <c r="N24" s="686">
        <f>+landbouw!M8</f>
        <v>0</v>
      </c>
      <c r="O24" s="686">
        <f>+landbouw!N8</f>
        <v>0</v>
      </c>
      <c r="P24" s="686">
        <f>+landbouw!O8</f>
        <v>0</v>
      </c>
      <c r="Q24" s="687">
        <f>+landbouw!P8</f>
        <v>0</v>
      </c>
      <c r="R24" s="689">
        <f>SUM(C24:Q24)</f>
        <v>15490.597039588869</v>
      </c>
      <c r="S24" s="67"/>
    </row>
    <row r="25" spans="1:19" s="448" customFormat="1" ht="15" thickBot="1">
      <c r="A25" s="830" t="s">
        <v>724</v>
      </c>
      <c r="B25" s="949"/>
      <c r="C25" s="950">
        <f>IF(Onbekend_ele_kWh="---",0,Onbekend_ele_kWh)/1000+IF(REST_rest_ele_kWh="---",0,REST_rest_ele_kWh)/1000</f>
        <v>651.87819999999999</v>
      </c>
      <c r="D25" s="950"/>
      <c r="E25" s="950">
        <f>IF(onbekend_gas_kWh="---",0,onbekend_gas_kWh)/1000+IF(REST_rest_gas_kWh="---",0,REST_rest_gas_kWh)/1000</f>
        <v>1426.9215239999999</v>
      </c>
      <c r="F25" s="950"/>
      <c r="G25" s="950"/>
      <c r="H25" s="950"/>
      <c r="I25" s="950"/>
      <c r="J25" s="950"/>
      <c r="K25" s="950"/>
      <c r="L25" s="950"/>
      <c r="M25" s="950"/>
      <c r="N25" s="950"/>
      <c r="O25" s="950"/>
      <c r="P25" s="950"/>
      <c r="Q25" s="951"/>
      <c r="R25" s="689">
        <f>SUM(C25:Q25)</f>
        <v>2078.799724</v>
      </c>
      <c r="S25" s="67"/>
    </row>
    <row r="26" spans="1:19" s="448" customFormat="1" ht="15.75" thickBot="1">
      <c r="A26" s="694" t="s">
        <v>725</v>
      </c>
      <c r="B26" s="816"/>
      <c r="C26" s="811">
        <f>SUM(C24:C25)</f>
        <v>3764.0672</v>
      </c>
      <c r="D26" s="811">
        <f t="shared" ref="D26:R26" si="2">SUM(D24:D25)</f>
        <v>187.07142857142856</v>
      </c>
      <c r="E26" s="811">
        <f t="shared" si="2"/>
        <v>1664.8774052619999</v>
      </c>
      <c r="F26" s="811">
        <f t="shared" si="2"/>
        <v>97.130392416676969</v>
      </c>
      <c r="G26" s="811">
        <f t="shared" si="2"/>
        <v>10998.820684997201</v>
      </c>
      <c r="H26" s="811">
        <f t="shared" si="2"/>
        <v>0</v>
      </c>
      <c r="I26" s="811">
        <f t="shared" si="2"/>
        <v>0</v>
      </c>
      <c r="J26" s="811">
        <f t="shared" si="2"/>
        <v>0</v>
      </c>
      <c r="K26" s="811">
        <f t="shared" si="2"/>
        <v>857.42965234156418</v>
      </c>
      <c r="L26" s="811">
        <f t="shared" si="2"/>
        <v>0</v>
      </c>
      <c r="M26" s="811">
        <f t="shared" si="2"/>
        <v>0</v>
      </c>
      <c r="N26" s="811">
        <f t="shared" si="2"/>
        <v>0</v>
      </c>
      <c r="O26" s="811">
        <f t="shared" si="2"/>
        <v>0</v>
      </c>
      <c r="P26" s="811">
        <f t="shared" si="2"/>
        <v>0</v>
      </c>
      <c r="Q26" s="811">
        <f t="shared" si="2"/>
        <v>0</v>
      </c>
      <c r="R26" s="811">
        <f t="shared" si="2"/>
        <v>17569.396763588869</v>
      </c>
      <c r="S26" s="67"/>
    </row>
    <row r="27" spans="1:19" s="448" customFormat="1" ht="17.25" thickTop="1" thickBot="1">
      <c r="A27" s="695" t="s">
        <v>115</v>
      </c>
      <c r="B27" s="803"/>
      <c r="C27" s="696">
        <f ca="1">C22+C16+C26</f>
        <v>80236.156976072307</v>
      </c>
      <c r="D27" s="696">
        <f t="shared" ref="D27:R27" ca="1" si="3">D22+D16+D26</f>
        <v>187.07142857142856</v>
      </c>
      <c r="E27" s="696">
        <f t="shared" ca="1" si="3"/>
        <v>83420.322517294117</v>
      </c>
      <c r="F27" s="696">
        <f t="shared" si="3"/>
        <v>40513.066146921832</v>
      </c>
      <c r="G27" s="696">
        <f t="shared" ca="1" si="3"/>
        <v>44093.710470275153</v>
      </c>
      <c r="H27" s="696">
        <f t="shared" si="3"/>
        <v>44499.221158317225</v>
      </c>
      <c r="I27" s="696">
        <f t="shared" si="3"/>
        <v>13052.789237371961</v>
      </c>
      <c r="J27" s="696">
        <f t="shared" si="3"/>
        <v>0</v>
      </c>
      <c r="K27" s="696">
        <f t="shared" si="3"/>
        <v>1080.235879488914</v>
      </c>
      <c r="L27" s="696">
        <f t="shared" si="3"/>
        <v>0</v>
      </c>
      <c r="M27" s="696">
        <f t="shared" ca="1" si="3"/>
        <v>0</v>
      </c>
      <c r="N27" s="696">
        <f t="shared" si="3"/>
        <v>3428.1402630390266</v>
      </c>
      <c r="O27" s="696">
        <f t="shared" ca="1" si="3"/>
        <v>28161.729314441018</v>
      </c>
      <c r="P27" s="696">
        <f t="shared" si="3"/>
        <v>396.41583518164782</v>
      </c>
      <c r="Q27" s="696">
        <f t="shared" si="3"/>
        <v>758.31441192139164</v>
      </c>
      <c r="R27" s="696">
        <f t="shared" ca="1" si="3"/>
        <v>339827.17363889603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2548.52434193518</v>
      </c>
      <c r="D40" s="686">
        <f ca="1">tertiair!C20</f>
        <v>0</v>
      </c>
      <c r="E40" s="686">
        <f ca="1">tertiair!D20</f>
        <v>2842.9117698532764</v>
      </c>
      <c r="F40" s="686">
        <f>tertiair!E20</f>
        <v>39.171297628406457</v>
      </c>
      <c r="G40" s="686">
        <f ca="1">tertiair!F20</f>
        <v>374.54386895084792</v>
      </c>
      <c r="H40" s="686">
        <f>tertiair!G20</f>
        <v>0</v>
      </c>
      <c r="I40" s="686">
        <f>tertiair!H20</f>
        <v>0</v>
      </c>
      <c r="J40" s="686">
        <f>tertiair!I20</f>
        <v>0</v>
      </c>
      <c r="K40" s="686">
        <f>tertiair!J20</f>
        <v>1.2199638559687684E-2</v>
      </c>
      <c r="L40" s="686">
        <f>tertiair!K20</f>
        <v>0</v>
      </c>
      <c r="M40" s="686">
        <f ca="1">tertiair!L20</f>
        <v>0</v>
      </c>
      <c r="N40" s="686">
        <f>tertiair!M20</f>
        <v>0</v>
      </c>
      <c r="O40" s="686">
        <f ca="1">tertiair!N20</f>
        <v>0</v>
      </c>
      <c r="P40" s="686">
        <f>tertiair!O20</f>
        <v>0</v>
      </c>
      <c r="Q40" s="769">
        <f>tertiair!P20</f>
        <v>0</v>
      </c>
      <c r="R40" s="849">
        <f t="shared" ca="1" si="4"/>
        <v>5805.1634780062705</v>
      </c>
    </row>
    <row r="41" spans="1:18">
      <c r="A41" s="821" t="s">
        <v>224</v>
      </c>
      <c r="B41" s="828"/>
      <c r="C41" s="686">
        <f ca="1">huishoudens!B12</f>
        <v>6806.786330666976</v>
      </c>
      <c r="D41" s="686">
        <f ca="1">huishoudens!C12</f>
        <v>0</v>
      </c>
      <c r="E41" s="686">
        <f>huishoudens!D12</f>
        <v>12970.007076246002</v>
      </c>
      <c r="F41" s="686">
        <f>huishoudens!E12</f>
        <v>7823.1866446323411</v>
      </c>
      <c r="G41" s="686">
        <f>huishoudens!F12</f>
        <v>3853.4098622532615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31453.389913798579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5439.8497730245763</v>
      </c>
      <c r="D43" s="686">
        <f ca="1">industrie!C22</f>
        <v>0</v>
      </c>
      <c r="E43" s="686">
        <f>industrie!D22</f>
        <v>673.23680031137201</v>
      </c>
      <c r="F43" s="686">
        <f>industrie!E22</f>
        <v>1285.5808056534054</v>
      </c>
      <c r="G43" s="686">
        <f>industrie!F22</f>
        <v>4608.381841465105</v>
      </c>
      <c r="H43" s="686">
        <f>industrie!G22</f>
        <v>0</v>
      </c>
      <c r="I43" s="686">
        <f>industrie!H22</f>
        <v>0</v>
      </c>
      <c r="J43" s="686">
        <f>industrie!I22</f>
        <v>0</v>
      </c>
      <c r="K43" s="686">
        <f>industrie!J22</f>
        <v>78.861204771602118</v>
      </c>
      <c r="L43" s="686">
        <f>industrie!K22</f>
        <v>0</v>
      </c>
      <c r="M43" s="686">
        <f>industrie!L22</f>
        <v>0</v>
      </c>
      <c r="N43" s="686">
        <f>industrie!M22</f>
        <v>0</v>
      </c>
      <c r="O43" s="686">
        <f>industrie!N22</f>
        <v>0</v>
      </c>
      <c r="P43" s="686">
        <f>industrie!O22</f>
        <v>0</v>
      </c>
      <c r="Q43" s="769">
        <f>industrie!P22</f>
        <v>0</v>
      </c>
      <c r="R43" s="848">
        <f t="shared" ca="1" si="4"/>
        <v>12085.910425226059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14795.160445626732</v>
      </c>
      <c r="D46" s="722">
        <f t="shared" ref="D46:Q46" ca="1" si="5">SUM(D39:D45)</f>
        <v>0</v>
      </c>
      <c r="E46" s="722">
        <f t="shared" ca="1" si="5"/>
        <v>16486.155646410651</v>
      </c>
      <c r="F46" s="722">
        <f t="shared" si="5"/>
        <v>9147.9387479141533</v>
      </c>
      <c r="G46" s="722">
        <f t="shared" ca="1" si="5"/>
        <v>8836.3355726692134</v>
      </c>
      <c r="H46" s="722">
        <f t="shared" si="5"/>
        <v>0</v>
      </c>
      <c r="I46" s="722">
        <f t="shared" si="5"/>
        <v>0</v>
      </c>
      <c r="J46" s="722">
        <f t="shared" si="5"/>
        <v>0</v>
      </c>
      <c r="K46" s="722">
        <f t="shared" si="5"/>
        <v>78.873404410161811</v>
      </c>
      <c r="L46" s="722">
        <f t="shared" si="5"/>
        <v>0</v>
      </c>
      <c r="M46" s="722">
        <f t="shared" ca="1" si="5"/>
        <v>0</v>
      </c>
      <c r="N46" s="722">
        <f t="shared" si="5"/>
        <v>0</v>
      </c>
      <c r="O46" s="722">
        <f t="shared" ca="1" si="5"/>
        <v>0</v>
      </c>
      <c r="P46" s="722">
        <f t="shared" si="5"/>
        <v>0</v>
      </c>
      <c r="Q46" s="722">
        <f t="shared" si="5"/>
        <v>0</v>
      </c>
      <c r="R46" s="722">
        <f ca="1">SUM(R39:R45)</f>
        <v>49344.463817030904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142.88453237312754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142.88453237312754</v>
      </c>
    </row>
    <row r="50" spans="1:18">
      <c r="A50" s="824" t="s">
        <v>306</v>
      </c>
      <c r="B50" s="834"/>
      <c r="C50" s="692">
        <f ca="1">transport!B18</f>
        <v>6.2802353173438252</v>
      </c>
      <c r="D50" s="692">
        <f>transport!C18</f>
        <v>0</v>
      </c>
      <c r="E50" s="692">
        <f>transport!D18</f>
        <v>28.444266219839172</v>
      </c>
      <c r="F50" s="692">
        <f>transport!E18</f>
        <v>26.478668358517478</v>
      </c>
      <c r="G50" s="692">
        <f>transport!F18</f>
        <v>0</v>
      </c>
      <c r="H50" s="692">
        <f>transport!G18</f>
        <v>11738.407516897572</v>
      </c>
      <c r="I50" s="692">
        <f>transport!H18</f>
        <v>3250.1445201056181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15049.75520689889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6.2802353173438252</v>
      </c>
      <c r="D52" s="722">
        <f t="shared" ref="D52:Q52" ca="1" si="6">SUM(D48:D51)</f>
        <v>0</v>
      </c>
      <c r="E52" s="722">
        <f t="shared" si="6"/>
        <v>28.444266219839172</v>
      </c>
      <c r="F52" s="722">
        <f t="shared" si="6"/>
        <v>26.478668358517478</v>
      </c>
      <c r="G52" s="722">
        <f t="shared" si="6"/>
        <v>0</v>
      </c>
      <c r="H52" s="722">
        <f t="shared" si="6"/>
        <v>11881.2920492707</v>
      </c>
      <c r="I52" s="722">
        <f t="shared" si="6"/>
        <v>3250.1445201056181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15192.639739272017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602.3750757469179</v>
      </c>
      <c r="D54" s="692">
        <f ca="1">+landbouw!C12</f>
        <v>0</v>
      </c>
      <c r="E54" s="692">
        <f>+landbouw!D12</f>
        <v>48.067088014923996</v>
      </c>
      <c r="F54" s="692">
        <f>+landbouw!E12</f>
        <v>22.048599078585674</v>
      </c>
      <c r="G54" s="692">
        <f>+landbouw!F12</f>
        <v>2936.6851228942528</v>
      </c>
      <c r="H54" s="692">
        <f>+landbouw!G12</f>
        <v>0</v>
      </c>
      <c r="I54" s="692">
        <f>+landbouw!H12</f>
        <v>0</v>
      </c>
      <c r="J54" s="692">
        <f>+landbouw!I12</f>
        <v>0</v>
      </c>
      <c r="K54" s="692">
        <f>+landbouw!J12</f>
        <v>303.53009692891368</v>
      </c>
      <c r="L54" s="692">
        <f>+landbouw!K12</f>
        <v>0</v>
      </c>
      <c r="M54" s="692">
        <f>+landbouw!L12</f>
        <v>0</v>
      </c>
      <c r="N54" s="692">
        <f>+landbouw!M12</f>
        <v>0</v>
      </c>
      <c r="O54" s="692">
        <f>+landbouw!N12</f>
        <v>0</v>
      </c>
      <c r="P54" s="692">
        <f>+landbouw!O12</f>
        <v>0</v>
      </c>
      <c r="Q54" s="693">
        <f>+landbouw!P12</f>
        <v>0</v>
      </c>
      <c r="R54" s="721">
        <f ca="1">SUM(C54:Q54)</f>
        <v>3912.7059826635941</v>
      </c>
    </row>
    <row r="55" spans="1:18" ht="15" thickBot="1">
      <c r="A55" s="824" t="s">
        <v>724</v>
      </c>
      <c r="B55" s="834"/>
      <c r="C55" s="692">
        <f ca="1">C25*'EF ele_warmte'!B12</f>
        <v>126.17330763098401</v>
      </c>
      <c r="D55" s="692"/>
      <c r="E55" s="692">
        <f>E25*EF_CO2_aardgas</f>
        <v>288.23814784799998</v>
      </c>
      <c r="F55" s="692"/>
      <c r="G55" s="692"/>
      <c r="H55" s="692"/>
      <c r="I55" s="692"/>
      <c r="J55" s="692"/>
      <c r="K55" s="692"/>
      <c r="L55" s="692"/>
      <c r="M55" s="692"/>
      <c r="N55" s="692"/>
      <c r="O55" s="692"/>
      <c r="P55" s="692"/>
      <c r="Q55" s="693"/>
      <c r="R55" s="721">
        <f ca="1">SUM(C55:Q55)</f>
        <v>414.41145547898401</v>
      </c>
    </row>
    <row r="56" spans="1:18" ht="15.75" thickBot="1">
      <c r="A56" s="822" t="s">
        <v>725</v>
      </c>
      <c r="B56" s="835"/>
      <c r="C56" s="722">
        <f ca="1">SUM(C54:C55)</f>
        <v>728.54838337790193</v>
      </c>
      <c r="D56" s="722">
        <f t="shared" ref="D56:Q56" ca="1" si="7">SUM(D54:D55)</f>
        <v>0</v>
      </c>
      <c r="E56" s="722">
        <f t="shared" si="7"/>
        <v>336.30523586292395</v>
      </c>
      <c r="F56" s="722">
        <f t="shared" si="7"/>
        <v>22.048599078585674</v>
      </c>
      <c r="G56" s="722">
        <f t="shared" si="7"/>
        <v>2936.6851228942528</v>
      </c>
      <c r="H56" s="722">
        <f t="shared" si="7"/>
        <v>0</v>
      </c>
      <c r="I56" s="722">
        <f t="shared" si="7"/>
        <v>0</v>
      </c>
      <c r="J56" s="722">
        <f t="shared" si="7"/>
        <v>0</v>
      </c>
      <c r="K56" s="722">
        <f t="shared" si="7"/>
        <v>303.53009692891368</v>
      </c>
      <c r="L56" s="722">
        <f t="shared" si="7"/>
        <v>0</v>
      </c>
      <c r="M56" s="722">
        <f t="shared" si="7"/>
        <v>0</v>
      </c>
      <c r="N56" s="722">
        <f t="shared" si="7"/>
        <v>0</v>
      </c>
      <c r="O56" s="722">
        <f t="shared" si="7"/>
        <v>0</v>
      </c>
      <c r="P56" s="722">
        <f t="shared" si="7"/>
        <v>0</v>
      </c>
      <c r="Q56" s="723">
        <f t="shared" si="7"/>
        <v>0</v>
      </c>
      <c r="R56" s="724">
        <f ca="1">SUM(R54:R55)</f>
        <v>4327.1174381425781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15529.989064321979</v>
      </c>
      <c r="D61" s="730">
        <f t="shared" ref="D61:Q61" ca="1" si="8">D46+D52+D56</f>
        <v>0</v>
      </c>
      <c r="E61" s="730">
        <f t="shared" ca="1" si="8"/>
        <v>16850.905148493413</v>
      </c>
      <c r="F61" s="730">
        <f t="shared" si="8"/>
        <v>9196.4660153512559</v>
      </c>
      <c r="G61" s="730">
        <f t="shared" ca="1" si="8"/>
        <v>11773.020695563466</v>
      </c>
      <c r="H61" s="730">
        <f t="shared" si="8"/>
        <v>11881.2920492707</v>
      </c>
      <c r="I61" s="730">
        <f t="shared" si="8"/>
        <v>3250.1445201056181</v>
      </c>
      <c r="J61" s="730">
        <f t="shared" si="8"/>
        <v>0</v>
      </c>
      <c r="K61" s="730">
        <f t="shared" si="8"/>
        <v>382.40350133907549</v>
      </c>
      <c r="L61" s="730">
        <f t="shared" si="8"/>
        <v>0</v>
      </c>
      <c r="M61" s="730">
        <f t="shared" ca="1" si="8"/>
        <v>0</v>
      </c>
      <c r="N61" s="730">
        <f t="shared" si="8"/>
        <v>0</v>
      </c>
      <c r="O61" s="730">
        <f t="shared" ca="1" si="8"/>
        <v>0</v>
      </c>
      <c r="P61" s="730">
        <f t="shared" si="8"/>
        <v>0</v>
      </c>
      <c r="Q61" s="730">
        <f t="shared" si="8"/>
        <v>0</v>
      </c>
      <c r="R61" s="730">
        <f ca="1">R46+R52+R56</f>
        <v>68864.220994445495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0.1935535006861466</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3626.2067074602965</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6207.5565386483195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130.94999999999999</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154.05882352941174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9964.7132461086167</v>
      </c>
      <c r="C78" s="748">
        <f>SUM(C72:C77)</f>
        <v>0</v>
      </c>
      <c r="D78" s="749">
        <f t="shared" ref="D78:H78" si="10">SUM(D76:D77)</f>
        <v>0</v>
      </c>
      <c r="E78" s="749">
        <f t="shared" si="10"/>
        <v>0</v>
      </c>
      <c r="F78" s="749">
        <f t="shared" si="10"/>
        <v>0</v>
      </c>
      <c r="G78" s="749">
        <f t="shared" si="10"/>
        <v>0</v>
      </c>
      <c r="H78" s="749">
        <f t="shared" si="10"/>
        <v>0</v>
      </c>
      <c r="I78" s="749">
        <f>SUM(I76:I77)</f>
        <v>0</v>
      </c>
      <c r="J78" s="749">
        <f>SUM(J76:J77)</f>
        <v>154.05882352941174</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187.07142857142856</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220.08403361344537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187.07142857142856</v>
      </c>
      <c r="C90" s="748">
        <f>SUM(C87:C89)</f>
        <v>0</v>
      </c>
      <c r="D90" s="748">
        <f t="shared" ref="D90:H90" si="12">SUM(D87:D89)</f>
        <v>0</v>
      </c>
      <c r="E90" s="748">
        <f t="shared" si="12"/>
        <v>0</v>
      </c>
      <c r="F90" s="748">
        <f t="shared" si="12"/>
        <v>0</v>
      </c>
      <c r="G90" s="748">
        <f t="shared" si="12"/>
        <v>0</v>
      </c>
      <c r="H90" s="748">
        <f t="shared" si="12"/>
        <v>0</v>
      </c>
      <c r="I90" s="748">
        <f>SUM(I87:I89)</f>
        <v>0</v>
      </c>
      <c r="J90" s="748">
        <f>SUM(J87:J89)</f>
        <v>220.08403361344537</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3626.2067074602965</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6207.5565386483195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130.94999999999999</v>
      </c>
      <c r="C8" s="548">
        <f>B49</f>
        <v>0</v>
      </c>
      <c r="D8" s="549"/>
      <c r="E8" s="549">
        <f>E49</f>
        <v>0</v>
      </c>
      <c r="F8" s="550"/>
      <c r="G8" s="551"/>
      <c r="H8" s="549">
        <f>I49</f>
        <v>0</v>
      </c>
      <c r="I8" s="549">
        <f>G49+F49</f>
        <v>0</v>
      </c>
      <c r="J8" s="549">
        <f>H49+D49+C49</f>
        <v>154.05882352941174</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9964.7132461086167</v>
      </c>
      <c r="C10" s="563">
        <f t="shared" ref="C10:L10" si="0">SUM(C8:C9)</f>
        <v>0</v>
      </c>
      <c r="D10" s="563">
        <f t="shared" si="0"/>
        <v>0</v>
      </c>
      <c r="E10" s="563">
        <f t="shared" si="0"/>
        <v>0</v>
      </c>
      <c r="F10" s="563">
        <f t="shared" si="0"/>
        <v>0</v>
      </c>
      <c r="G10" s="563">
        <f t="shared" si="0"/>
        <v>0</v>
      </c>
      <c r="H10" s="563">
        <f t="shared" si="0"/>
        <v>0</v>
      </c>
      <c r="I10" s="563">
        <f t="shared" si="0"/>
        <v>0</v>
      </c>
      <c r="J10" s="563">
        <f t="shared" si="0"/>
        <v>154.05882352941174</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187.07142857142856</v>
      </c>
      <c r="C17" s="579">
        <f>B50</f>
        <v>0</v>
      </c>
      <c r="D17" s="580"/>
      <c r="E17" s="580">
        <f>E50</f>
        <v>0</v>
      </c>
      <c r="F17" s="581"/>
      <c r="G17" s="582"/>
      <c r="H17" s="579">
        <f>I50</f>
        <v>0</v>
      </c>
      <c r="I17" s="580">
        <f>G50+F50</f>
        <v>0</v>
      </c>
      <c r="J17" s="580">
        <f>H50+D50+C50</f>
        <v>220.08403361344537</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187.07142857142856</v>
      </c>
      <c r="C20" s="562">
        <f>SUM(C17:C19)</f>
        <v>0</v>
      </c>
      <c r="D20" s="562">
        <f t="shared" ref="D20:L20" si="1">SUM(D17:D19)</f>
        <v>0</v>
      </c>
      <c r="E20" s="562">
        <f t="shared" si="1"/>
        <v>0</v>
      </c>
      <c r="F20" s="562">
        <f t="shared" si="1"/>
        <v>0</v>
      </c>
      <c r="G20" s="562">
        <f t="shared" si="1"/>
        <v>0</v>
      </c>
      <c r="H20" s="562">
        <f t="shared" si="1"/>
        <v>0</v>
      </c>
      <c r="I20" s="562">
        <f t="shared" si="1"/>
        <v>0</v>
      </c>
      <c r="J20" s="562">
        <f t="shared" si="1"/>
        <v>220.08403361344537</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11016</v>
      </c>
      <c r="C28" s="791">
        <v>2910</v>
      </c>
      <c r="D28" s="640" t="s">
        <v>888</v>
      </c>
      <c r="E28" s="639" t="s">
        <v>889</v>
      </c>
      <c r="F28" s="639" t="s">
        <v>890</v>
      </c>
      <c r="G28" s="639" t="s">
        <v>891</v>
      </c>
      <c r="H28" s="639" t="s">
        <v>892</v>
      </c>
      <c r="I28" s="639" t="s">
        <v>893</v>
      </c>
      <c r="J28" s="790">
        <v>41338</v>
      </c>
      <c r="K28" s="790">
        <v>41338</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38.25">
      <c r="A29" s="592"/>
      <c r="B29" s="791">
        <v>11016</v>
      </c>
      <c r="C29" s="791">
        <v>2910</v>
      </c>
      <c r="D29" s="640" t="s">
        <v>895</v>
      </c>
      <c r="E29" s="639"/>
      <c r="F29" s="639" t="s">
        <v>896</v>
      </c>
      <c r="G29" s="639" t="s">
        <v>897</v>
      </c>
      <c r="H29" s="639" t="s">
        <v>892</v>
      </c>
      <c r="I29" s="639" t="s">
        <v>898</v>
      </c>
      <c r="J29" s="790">
        <v>42489</v>
      </c>
      <c r="K29" s="790">
        <v>42489</v>
      </c>
      <c r="L29" s="639" t="s">
        <v>899</v>
      </c>
      <c r="M29" s="639">
        <v>19.399999999999999</v>
      </c>
      <c r="N29" s="639">
        <v>87.299999999999983</v>
      </c>
      <c r="O29" s="639">
        <v>124.71428571428569</v>
      </c>
      <c r="P29" s="639">
        <v>0</v>
      </c>
      <c r="Q29" s="639">
        <v>249.42857142857139</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29.099999999999998</v>
      </c>
      <c r="N30" s="597">
        <f>SUM(N28:N29)</f>
        <v>130.94999999999999</v>
      </c>
      <c r="O30" s="597">
        <f>SUM(O28:O29)</f>
        <v>187.07142857142856</v>
      </c>
      <c r="P30" s="597">
        <f>SUM(P28:P29)</f>
        <v>0</v>
      </c>
      <c r="Q30" s="597">
        <f>SUM(Q28:Q29)</f>
        <v>374.14285714285711</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29.099999999999998</v>
      </c>
      <c r="N33" s="602">
        <f>SUMIF($Z$28:$Z$29,"landbouw",N28:N29)</f>
        <v>130.94999999999999</v>
      </c>
      <c r="O33" s="602">
        <f>SUMIF($Z$28:$Z$29,"landbouw",O28:O29)</f>
        <v>187.07142857142856</v>
      </c>
      <c r="P33" s="602">
        <f>SUMIF($Z$28:$Z$29,"landbouw",P28:P29)</f>
        <v>0</v>
      </c>
      <c r="Q33" s="602">
        <f>SUMIF($Z$28:$Z$29,"landbouw",Q28:Q29)</f>
        <v>374.14285714285711</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154.05882352941174</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220.08403361344537</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35167.466909856645</v>
      </c>
      <c r="C4" s="452">
        <f>huishoudens!C8</f>
        <v>0</v>
      </c>
      <c r="D4" s="452">
        <f>huishoudens!D8</f>
        <v>64207.955823000004</v>
      </c>
      <c r="E4" s="452">
        <f>huishoudens!E8</f>
        <v>34463.377289129254</v>
      </c>
      <c r="F4" s="452">
        <f>huishoudens!F8</f>
        <v>14432.246675105847</v>
      </c>
      <c r="G4" s="452">
        <f>huishoudens!G8</f>
        <v>0</v>
      </c>
      <c r="H4" s="452">
        <f>huishoudens!H8</f>
        <v>0</v>
      </c>
      <c r="I4" s="452">
        <f>huishoudens!I8</f>
        <v>0</v>
      </c>
      <c r="J4" s="452">
        <f>huishoudens!J8</f>
        <v>0</v>
      </c>
      <c r="K4" s="452">
        <f>huishoudens!K8</f>
        <v>0</v>
      </c>
      <c r="L4" s="452">
        <f>huishoudens!L8</f>
        <v>0</v>
      </c>
      <c r="M4" s="452">
        <f>huishoudens!M8</f>
        <v>0</v>
      </c>
      <c r="N4" s="452">
        <f>huishoudens!N8</f>
        <v>25058.74027414354</v>
      </c>
      <c r="O4" s="452">
        <f>huishoudens!O8</f>
        <v>367.03227058660087</v>
      </c>
      <c r="P4" s="453">
        <f>huishoudens!P8</f>
        <v>705.77527361489661</v>
      </c>
      <c r="Q4" s="454">
        <f>SUM(B4:P4)</f>
        <v>174402.59451543679</v>
      </c>
    </row>
    <row r="5" spans="1:17">
      <c r="A5" s="451" t="s">
        <v>155</v>
      </c>
      <c r="B5" s="452">
        <f ca="1">tertiair!B16</f>
        <v>12157.312891000001</v>
      </c>
      <c r="C5" s="452">
        <f ca="1">tertiair!C16</f>
        <v>0</v>
      </c>
      <c r="D5" s="452">
        <f ca="1">tertiair!D16</f>
        <v>14073.820642838002</v>
      </c>
      <c r="E5" s="452">
        <f>tertiair!E16</f>
        <v>172.56078250399321</v>
      </c>
      <c r="F5" s="452">
        <f ca="1">tertiair!F16</f>
        <v>1402.7860260331381</v>
      </c>
      <c r="G5" s="452">
        <f>tertiair!G16</f>
        <v>0</v>
      </c>
      <c r="H5" s="452">
        <f>tertiair!H16</f>
        <v>0</v>
      </c>
      <c r="I5" s="452">
        <f>tertiair!I16</f>
        <v>0</v>
      </c>
      <c r="J5" s="452">
        <f>tertiair!J16</f>
        <v>3.4462255818326792E-2</v>
      </c>
      <c r="K5" s="452">
        <f>tertiair!K16</f>
        <v>0</v>
      </c>
      <c r="L5" s="452">
        <f ca="1">tertiair!L16</f>
        <v>0</v>
      </c>
      <c r="M5" s="452">
        <f>tertiair!M16</f>
        <v>0</v>
      </c>
      <c r="N5" s="452">
        <f ca="1">tertiair!N16</f>
        <v>1354.6243354780836</v>
      </c>
      <c r="O5" s="452">
        <f>tertiair!O16</f>
        <v>29.383564595046927</v>
      </c>
      <c r="P5" s="453">
        <f>tertiair!P16</f>
        <v>52.539138306495019</v>
      </c>
      <c r="Q5" s="451">
        <f t="shared" ref="Q5:Q14" ca="1" si="0">SUM(B5:P5)</f>
        <v>29243.061843010571</v>
      </c>
    </row>
    <row r="6" spans="1:17">
      <c r="A6" s="451" t="s">
        <v>193</v>
      </c>
      <c r="B6" s="452">
        <f>'openbare verlichting'!B8</f>
        <v>1009.715</v>
      </c>
      <c r="C6" s="452"/>
      <c r="D6" s="452"/>
      <c r="E6" s="452"/>
      <c r="F6" s="452"/>
      <c r="G6" s="452"/>
      <c r="H6" s="452"/>
      <c r="I6" s="452"/>
      <c r="J6" s="452"/>
      <c r="K6" s="452"/>
      <c r="L6" s="452"/>
      <c r="M6" s="452"/>
      <c r="N6" s="452"/>
      <c r="O6" s="452"/>
      <c r="P6" s="453"/>
      <c r="Q6" s="451">
        <f t="shared" si="0"/>
        <v>1009.715</v>
      </c>
    </row>
    <row r="7" spans="1:17">
      <c r="A7" s="451" t="s">
        <v>111</v>
      </c>
      <c r="B7" s="452">
        <f>landbouw!B8</f>
        <v>3112.1889999999999</v>
      </c>
      <c r="C7" s="452">
        <f>landbouw!C8</f>
        <v>187.07142857142856</v>
      </c>
      <c r="D7" s="452">
        <f>landbouw!D8</f>
        <v>237.95588126199996</v>
      </c>
      <c r="E7" s="452">
        <f>landbouw!E8</f>
        <v>97.130392416676969</v>
      </c>
      <c r="F7" s="452">
        <f>landbouw!F8</f>
        <v>10998.820684997201</v>
      </c>
      <c r="G7" s="452">
        <f>landbouw!G8</f>
        <v>0</v>
      </c>
      <c r="H7" s="452">
        <f>landbouw!H8</f>
        <v>0</v>
      </c>
      <c r="I7" s="452">
        <f>landbouw!I8</f>
        <v>0</v>
      </c>
      <c r="J7" s="452">
        <f>landbouw!J8</f>
        <v>857.42965234156418</v>
      </c>
      <c r="K7" s="452">
        <f>landbouw!K8</f>
        <v>0</v>
      </c>
      <c r="L7" s="452">
        <f>landbouw!L8</f>
        <v>0</v>
      </c>
      <c r="M7" s="452">
        <f>landbouw!M8</f>
        <v>0</v>
      </c>
      <c r="N7" s="452">
        <f>landbouw!N8</f>
        <v>0</v>
      </c>
      <c r="O7" s="452">
        <f>landbouw!O8</f>
        <v>0</v>
      </c>
      <c r="P7" s="453">
        <f>landbouw!P8</f>
        <v>0</v>
      </c>
      <c r="Q7" s="451">
        <f t="shared" si="0"/>
        <v>15490.597039588869</v>
      </c>
    </row>
    <row r="8" spans="1:17">
      <c r="A8" s="451" t="s">
        <v>625</v>
      </c>
      <c r="B8" s="452">
        <f>industrie!B18</f>
        <v>28105.147949999999</v>
      </c>
      <c r="C8" s="452">
        <f>industrie!C18</f>
        <v>0</v>
      </c>
      <c r="D8" s="452">
        <f>industrie!D18</f>
        <v>3332.8554470859999</v>
      </c>
      <c r="E8" s="452">
        <f>industrie!E18</f>
        <v>5663.3515667550901</v>
      </c>
      <c r="F8" s="452">
        <f>industrie!F18</f>
        <v>17259.85708413897</v>
      </c>
      <c r="G8" s="452">
        <f>industrie!G18</f>
        <v>0</v>
      </c>
      <c r="H8" s="452">
        <f>industrie!H18</f>
        <v>0</v>
      </c>
      <c r="I8" s="452">
        <f>industrie!I18</f>
        <v>0</v>
      </c>
      <c r="J8" s="452">
        <f>industrie!J18</f>
        <v>222.7717648915314</v>
      </c>
      <c r="K8" s="452">
        <f>industrie!K18</f>
        <v>0</v>
      </c>
      <c r="L8" s="452">
        <f>industrie!L18</f>
        <v>0</v>
      </c>
      <c r="M8" s="452">
        <f>industrie!M18</f>
        <v>0</v>
      </c>
      <c r="N8" s="452">
        <f>industrie!N18</f>
        <v>1748.3647048193934</v>
      </c>
      <c r="O8" s="452">
        <f>industrie!O18</f>
        <v>0</v>
      </c>
      <c r="P8" s="453">
        <f>industrie!P18</f>
        <v>0</v>
      </c>
      <c r="Q8" s="451">
        <f t="shared" si="0"/>
        <v>56332.348517690996</v>
      </c>
    </row>
    <row r="9" spans="1:17" s="457" customFormat="1">
      <c r="A9" s="455" t="s">
        <v>551</v>
      </c>
      <c r="B9" s="456">
        <f>transport!B14</f>
        <v>32.447025215666002</v>
      </c>
      <c r="C9" s="456">
        <f>transport!C14</f>
        <v>0</v>
      </c>
      <c r="D9" s="456">
        <f>transport!D14</f>
        <v>140.8131991081147</v>
      </c>
      <c r="E9" s="456">
        <f>transport!E14</f>
        <v>116.64611611681708</v>
      </c>
      <c r="F9" s="456">
        <f>transport!F14</f>
        <v>0</v>
      </c>
      <c r="G9" s="456">
        <f>transport!G14</f>
        <v>43964.073096994653</v>
      </c>
      <c r="H9" s="456">
        <f>transport!H14</f>
        <v>13052.789237371961</v>
      </c>
      <c r="I9" s="456">
        <f>transport!I14</f>
        <v>0</v>
      </c>
      <c r="J9" s="456">
        <f>transport!J14</f>
        <v>0</v>
      </c>
      <c r="K9" s="456">
        <f>transport!K14</f>
        <v>0</v>
      </c>
      <c r="L9" s="456">
        <f>transport!L14</f>
        <v>0</v>
      </c>
      <c r="M9" s="456">
        <f>transport!M14</f>
        <v>3398.4013541277818</v>
      </c>
      <c r="N9" s="456">
        <f>transport!N14</f>
        <v>0</v>
      </c>
      <c r="O9" s="456">
        <f>transport!O14</f>
        <v>0</v>
      </c>
      <c r="P9" s="456">
        <f>transport!P14</f>
        <v>0</v>
      </c>
      <c r="Q9" s="455">
        <f>SUM(B9:P9)</f>
        <v>60705.17002893499</v>
      </c>
    </row>
    <row r="10" spans="1:17">
      <c r="A10" s="451" t="s">
        <v>541</v>
      </c>
      <c r="B10" s="452">
        <f>transport!B54</f>
        <v>0</v>
      </c>
      <c r="C10" s="452">
        <f>transport!C54</f>
        <v>0</v>
      </c>
      <c r="D10" s="452">
        <f>transport!D54</f>
        <v>0</v>
      </c>
      <c r="E10" s="452">
        <f>transport!E54</f>
        <v>0</v>
      </c>
      <c r="F10" s="452">
        <f>transport!F54</f>
        <v>0</v>
      </c>
      <c r="G10" s="452">
        <f>transport!G54</f>
        <v>535.14806132257502</v>
      </c>
      <c r="H10" s="452">
        <f>transport!H54</f>
        <v>0</v>
      </c>
      <c r="I10" s="452">
        <f>transport!I54</f>
        <v>0</v>
      </c>
      <c r="J10" s="452">
        <f>transport!J54</f>
        <v>0</v>
      </c>
      <c r="K10" s="452">
        <f>transport!K54</f>
        <v>0</v>
      </c>
      <c r="L10" s="452">
        <f>transport!L54</f>
        <v>0</v>
      </c>
      <c r="M10" s="452">
        <f>transport!M54</f>
        <v>29.738908911244664</v>
      </c>
      <c r="N10" s="452">
        <f>transport!N54</f>
        <v>0</v>
      </c>
      <c r="O10" s="452">
        <f>transport!O54</f>
        <v>0</v>
      </c>
      <c r="P10" s="453">
        <f>transport!P54</f>
        <v>0</v>
      </c>
      <c r="Q10" s="451">
        <f t="shared" si="0"/>
        <v>564.88697023381974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651.87819999999999</v>
      </c>
      <c r="C14" s="459"/>
      <c r="D14" s="459">
        <f>'SEAP template'!E25</f>
        <v>1426.9215239999999</v>
      </c>
      <c r="E14" s="459"/>
      <c r="F14" s="459"/>
      <c r="G14" s="459"/>
      <c r="H14" s="459"/>
      <c r="I14" s="459"/>
      <c r="J14" s="459"/>
      <c r="K14" s="459"/>
      <c r="L14" s="459"/>
      <c r="M14" s="459"/>
      <c r="N14" s="459"/>
      <c r="O14" s="459"/>
      <c r="P14" s="460"/>
      <c r="Q14" s="451">
        <f t="shared" si="0"/>
        <v>2078.799724</v>
      </c>
    </row>
    <row r="15" spans="1:17" s="463" customFormat="1">
      <c r="A15" s="461" t="s">
        <v>545</v>
      </c>
      <c r="B15" s="462">
        <f ca="1">SUM(B4:B14)</f>
        <v>80236.156976072307</v>
      </c>
      <c r="C15" s="462">
        <f t="shared" ref="C15:Q15" ca="1" si="1">SUM(C4:C14)</f>
        <v>187.07142857142856</v>
      </c>
      <c r="D15" s="462">
        <f t="shared" ca="1" si="1"/>
        <v>83420.322517294117</v>
      </c>
      <c r="E15" s="462">
        <f t="shared" si="1"/>
        <v>40513.066146921832</v>
      </c>
      <c r="F15" s="462">
        <f t="shared" ca="1" si="1"/>
        <v>44093.710470275153</v>
      </c>
      <c r="G15" s="462">
        <f t="shared" si="1"/>
        <v>44499.221158317225</v>
      </c>
      <c r="H15" s="462">
        <f t="shared" si="1"/>
        <v>13052.789237371961</v>
      </c>
      <c r="I15" s="462">
        <f t="shared" si="1"/>
        <v>0</v>
      </c>
      <c r="J15" s="462">
        <f t="shared" si="1"/>
        <v>1080.235879488914</v>
      </c>
      <c r="K15" s="462">
        <f t="shared" si="1"/>
        <v>0</v>
      </c>
      <c r="L15" s="462">
        <f t="shared" ca="1" si="1"/>
        <v>0</v>
      </c>
      <c r="M15" s="462">
        <f t="shared" si="1"/>
        <v>3428.1402630390266</v>
      </c>
      <c r="N15" s="462">
        <f t="shared" ca="1" si="1"/>
        <v>28161.729314441018</v>
      </c>
      <c r="O15" s="462">
        <f t="shared" si="1"/>
        <v>396.41583518164782</v>
      </c>
      <c r="P15" s="462">
        <f t="shared" si="1"/>
        <v>758.31441192139164</v>
      </c>
      <c r="Q15" s="462">
        <f t="shared" ca="1" si="1"/>
        <v>339827.17363889603</v>
      </c>
    </row>
    <row r="17" spans="1:17">
      <c r="A17" s="464" t="s">
        <v>546</v>
      </c>
      <c r="B17" s="781">
        <f ca="1">huishoudens!B10</f>
        <v>0.1935535006861466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6806.786330666976</v>
      </c>
      <c r="C22" s="452">
        <f t="shared" ref="C22:C32" ca="1" si="3">C4*$C$17</f>
        <v>0</v>
      </c>
      <c r="D22" s="452">
        <f t="shared" ref="D22:D32" si="4">D4*$D$17</f>
        <v>12970.007076246002</v>
      </c>
      <c r="E22" s="452">
        <f t="shared" ref="E22:E32" si="5">E4*$E$17</f>
        <v>7823.1866446323411</v>
      </c>
      <c r="F22" s="452">
        <f t="shared" ref="F22:F32" si="6">F4*$F$17</f>
        <v>3853.4098622532615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31453.389913798579</v>
      </c>
    </row>
    <row r="23" spans="1:17">
      <c r="A23" s="451" t="s">
        <v>155</v>
      </c>
      <c r="B23" s="452">
        <f t="shared" ca="1" si="2"/>
        <v>2353.0904689898675</v>
      </c>
      <c r="C23" s="452">
        <f t="shared" ca="1" si="3"/>
        <v>0</v>
      </c>
      <c r="D23" s="452">
        <f t="shared" ca="1" si="4"/>
        <v>2842.9117698532764</v>
      </c>
      <c r="E23" s="452">
        <f t="shared" si="5"/>
        <v>39.171297628406457</v>
      </c>
      <c r="F23" s="452">
        <f t="shared" ca="1" si="6"/>
        <v>374.54386895084792</v>
      </c>
      <c r="G23" s="452">
        <f t="shared" si="7"/>
        <v>0</v>
      </c>
      <c r="H23" s="452">
        <f t="shared" si="8"/>
        <v>0</v>
      </c>
      <c r="I23" s="452">
        <f t="shared" si="9"/>
        <v>0</v>
      </c>
      <c r="J23" s="452">
        <f t="shared" si="10"/>
        <v>1.2199638559687684E-2</v>
      </c>
      <c r="K23" s="452">
        <f t="shared" si="11"/>
        <v>0</v>
      </c>
      <c r="L23" s="452">
        <f t="shared" ca="1" si="12"/>
        <v>0</v>
      </c>
      <c r="M23" s="452">
        <f t="shared" si="13"/>
        <v>0</v>
      </c>
      <c r="N23" s="452">
        <f t="shared" ca="1" si="14"/>
        <v>0</v>
      </c>
      <c r="O23" s="452">
        <f t="shared" si="15"/>
        <v>0</v>
      </c>
      <c r="P23" s="453">
        <f t="shared" si="16"/>
        <v>0</v>
      </c>
      <c r="Q23" s="451">
        <f t="shared" ref="Q23:Q31" ca="1" si="17">SUM(B23:P23)</f>
        <v>5609.7296050609584</v>
      </c>
    </row>
    <row r="24" spans="1:17">
      <c r="A24" s="451" t="s">
        <v>193</v>
      </c>
      <c r="B24" s="452">
        <f t="shared" ca="1" si="2"/>
        <v>195.43387294531252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195.43387294531252</v>
      </c>
    </row>
    <row r="25" spans="1:17">
      <c r="A25" s="451" t="s">
        <v>111</v>
      </c>
      <c r="B25" s="452">
        <f t="shared" ca="1" si="2"/>
        <v>602.3750757469179</v>
      </c>
      <c r="C25" s="452">
        <f t="shared" ca="1" si="3"/>
        <v>0</v>
      </c>
      <c r="D25" s="452">
        <f t="shared" si="4"/>
        <v>48.067088014923996</v>
      </c>
      <c r="E25" s="452">
        <f t="shared" si="5"/>
        <v>22.048599078585674</v>
      </c>
      <c r="F25" s="452">
        <f t="shared" si="6"/>
        <v>2936.6851228942528</v>
      </c>
      <c r="G25" s="452">
        <f t="shared" si="7"/>
        <v>0</v>
      </c>
      <c r="H25" s="452">
        <f t="shared" si="8"/>
        <v>0</v>
      </c>
      <c r="I25" s="452">
        <f t="shared" si="9"/>
        <v>0</v>
      </c>
      <c r="J25" s="452">
        <f t="shared" si="10"/>
        <v>303.53009692891368</v>
      </c>
      <c r="K25" s="452">
        <f t="shared" si="11"/>
        <v>0</v>
      </c>
      <c r="L25" s="452">
        <f t="shared" si="12"/>
        <v>0</v>
      </c>
      <c r="M25" s="452">
        <f t="shared" si="13"/>
        <v>0</v>
      </c>
      <c r="N25" s="452">
        <f t="shared" si="14"/>
        <v>0</v>
      </c>
      <c r="O25" s="452">
        <f t="shared" si="15"/>
        <v>0</v>
      </c>
      <c r="P25" s="453">
        <f t="shared" si="16"/>
        <v>0</v>
      </c>
      <c r="Q25" s="451">
        <f t="shared" ca="1" si="17"/>
        <v>3912.7059826635941</v>
      </c>
    </row>
    <row r="26" spans="1:17">
      <c r="A26" s="451" t="s">
        <v>625</v>
      </c>
      <c r="B26" s="452">
        <f t="shared" ca="1" si="2"/>
        <v>5439.8497730245763</v>
      </c>
      <c r="C26" s="452">
        <f t="shared" ca="1" si="3"/>
        <v>0</v>
      </c>
      <c r="D26" s="452">
        <f t="shared" si="4"/>
        <v>673.23680031137201</v>
      </c>
      <c r="E26" s="452">
        <f t="shared" si="5"/>
        <v>1285.5808056534054</v>
      </c>
      <c r="F26" s="452">
        <f t="shared" si="6"/>
        <v>4608.381841465105</v>
      </c>
      <c r="G26" s="452">
        <f t="shared" si="7"/>
        <v>0</v>
      </c>
      <c r="H26" s="452">
        <f t="shared" si="8"/>
        <v>0</v>
      </c>
      <c r="I26" s="452">
        <f t="shared" si="9"/>
        <v>0</v>
      </c>
      <c r="J26" s="452">
        <f t="shared" si="10"/>
        <v>78.861204771602118</v>
      </c>
      <c r="K26" s="452">
        <f t="shared" si="11"/>
        <v>0</v>
      </c>
      <c r="L26" s="452">
        <f t="shared" si="12"/>
        <v>0</v>
      </c>
      <c r="M26" s="452">
        <f t="shared" si="13"/>
        <v>0</v>
      </c>
      <c r="N26" s="452">
        <f t="shared" si="14"/>
        <v>0</v>
      </c>
      <c r="O26" s="452">
        <f t="shared" si="15"/>
        <v>0</v>
      </c>
      <c r="P26" s="453">
        <f t="shared" si="16"/>
        <v>0</v>
      </c>
      <c r="Q26" s="451">
        <f t="shared" ca="1" si="17"/>
        <v>12085.910425226059</v>
      </c>
    </row>
    <row r="27" spans="1:17" s="457" customFormat="1">
      <c r="A27" s="455" t="s">
        <v>551</v>
      </c>
      <c r="B27" s="775">
        <f t="shared" ca="1" si="2"/>
        <v>6.2802353173438252</v>
      </c>
      <c r="C27" s="456">
        <f t="shared" ca="1" si="3"/>
        <v>0</v>
      </c>
      <c r="D27" s="456">
        <f t="shared" si="4"/>
        <v>28.444266219839172</v>
      </c>
      <c r="E27" s="456">
        <f t="shared" si="5"/>
        <v>26.478668358517478</v>
      </c>
      <c r="F27" s="456">
        <f t="shared" si="6"/>
        <v>0</v>
      </c>
      <c r="G27" s="456">
        <f t="shared" si="7"/>
        <v>11738.407516897572</v>
      </c>
      <c r="H27" s="456">
        <f t="shared" si="8"/>
        <v>3250.1445201056181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15049.75520689889</v>
      </c>
    </row>
    <row r="28" spans="1:17" ht="16.5" customHeight="1">
      <c r="A28" s="451" t="s">
        <v>541</v>
      </c>
      <c r="B28" s="452">
        <f t="shared" ca="1" si="2"/>
        <v>0</v>
      </c>
      <c r="C28" s="452">
        <f t="shared" ca="1" si="3"/>
        <v>0</v>
      </c>
      <c r="D28" s="452">
        <f t="shared" si="4"/>
        <v>0</v>
      </c>
      <c r="E28" s="452">
        <f t="shared" si="5"/>
        <v>0</v>
      </c>
      <c r="F28" s="452">
        <f t="shared" si="6"/>
        <v>0</v>
      </c>
      <c r="G28" s="452">
        <f t="shared" si="7"/>
        <v>142.88453237312754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142.88453237312754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126.17330763098401</v>
      </c>
      <c r="C32" s="452">
        <f t="shared" ca="1" si="3"/>
        <v>0</v>
      </c>
      <c r="D32" s="452">
        <f t="shared" si="4"/>
        <v>288.23814784799998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414.41145547898401</v>
      </c>
    </row>
    <row r="33" spans="1:17" s="463" customFormat="1">
      <c r="A33" s="461" t="s">
        <v>545</v>
      </c>
      <c r="B33" s="462">
        <f ca="1">SUM(B22:B32)</f>
        <v>15529.989064321981</v>
      </c>
      <c r="C33" s="462">
        <f t="shared" ref="C33:Q33" ca="1" si="19">SUM(C22:C32)</f>
        <v>0</v>
      </c>
      <c r="D33" s="462">
        <f t="shared" ca="1" si="19"/>
        <v>16850.90514849341</v>
      </c>
      <c r="E33" s="462">
        <f t="shared" si="19"/>
        <v>9196.4660153512559</v>
      </c>
      <c r="F33" s="462">
        <f t="shared" ca="1" si="19"/>
        <v>11773.020695563468</v>
      </c>
      <c r="G33" s="462">
        <f t="shared" si="19"/>
        <v>11881.2920492707</v>
      </c>
      <c r="H33" s="462">
        <f t="shared" si="19"/>
        <v>3250.1445201056181</v>
      </c>
      <c r="I33" s="462">
        <f t="shared" si="19"/>
        <v>0</v>
      </c>
      <c r="J33" s="462">
        <f t="shared" si="19"/>
        <v>382.40350133907549</v>
      </c>
      <c r="K33" s="462">
        <f t="shared" si="19"/>
        <v>0</v>
      </c>
      <c r="L33" s="462">
        <f t="shared" ca="1" si="19"/>
        <v>0</v>
      </c>
      <c r="M33" s="462">
        <f t="shared" si="19"/>
        <v>0</v>
      </c>
      <c r="N33" s="462">
        <f t="shared" ca="1" si="19"/>
        <v>0</v>
      </c>
      <c r="O33" s="462">
        <f t="shared" si="19"/>
        <v>0</v>
      </c>
      <c r="P33" s="462">
        <f t="shared" si="19"/>
        <v>0</v>
      </c>
      <c r="Q33" s="462">
        <f t="shared" ca="1" si="19"/>
        <v>68864.22099444551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3626.2067074602965</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6207.5565386483195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130.94999999999999</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154.05882352941174</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9964.7132461086167</v>
      </c>
      <c r="C10" s="1031">
        <f>SUM(C4:C9)</f>
        <v>0</v>
      </c>
      <c r="D10" s="1031">
        <f t="shared" ref="D10:H10" si="0">SUM(D8:D9)</f>
        <v>0</v>
      </c>
      <c r="E10" s="1031">
        <f t="shared" si="0"/>
        <v>0</v>
      </c>
      <c r="F10" s="1031">
        <f t="shared" si="0"/>
        <v>0</v>
      </c>
      <c r="G10" s="1031">
        <f t="shared" si="0"/>
        <v>0</v>
      </c>
      <c r="H10" s="1031">
        <f t="shared" si="0"/>
        <v>0</v>
      </c>
      <c r="I10" s="1031">
        <f>SUM(I8:I9)</f>
        <v>0</v>
      </c>
      <c r="J10" s="1031">
        <f>SUM(J8:J9)</f>
        <v>154.05882352941174</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0.1935535006861466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187.07142857142856</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220.08403361344537</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187.07142857142856</v>
      </c>
      <c r="C20" s="1031">
        <f>SUM(C17:C19)</f>
        <v>0</v>
      </c>
      <c r="D20" s="1031">
        <f t="shared" ref="D20:H20" si="2">SUM(D17:D19)</f>
        <v>0</v>
      </c>
      <c r="E20" s="1031">
        <f t="shared" si="2"/>
        <v>0</v>
      </c>
      <c r="F20" s="1031">
        <f t="shared" si="2"/>
        <v>0</v>
      </c>
      <c r="G20" s="1031">
        <f t="shared" si="2"/>
        <v>0</v>
      </c>
      <c r="H20" s="1031">
        <f t="shared" si="2"/>
        <v>0</v>
      </c>
      <c r="I20" s="1031">
        <f>SUM(I17:I19)</f>
        <v>0</v>
      </c>
      <c r="J20" s="1031">
        <f>SUM(J17:J19)</f>
        <v>220.08403361344537</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0.1935535006861466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2020-06-20T15:27:53Z</dcterms:modified>
</cp:coreProperties>
</file>