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16" i="14"/>
  <c r="E27" i="14" s="1"/>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17" i="49"/>
  <c r="C18" i="15"/>
  <c r="C20" i="15" s="1"/>
  <c r="D40" i="14" s="1"/>
  <c r="C22" i="59"/>
  <c r="C56" i="22"/>
  <c r="C58" i="22" s="1"/>
  <c r="D49" i="14" s="1"/>
  <c r="D52" i="14" s="1"/>
  <c r="C17" i="19"/>
  <c r="C19" i="19" s="1"/>
  <c r="D39" i="14" s="1"/>
  <c r="C10" i="13"/>
  <c r="C12" i="13"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<sst xmlns="http://schemas.openxmlformats.org/spreadsheetml/2006/main" count="2420" uniqueCount="897">
  <si>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</si>
  <si>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</si>
  <si>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</si>
  <si>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</si>
  <si>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</si>
  <si>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</si>
  <si>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</si>
  <si>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</si>
  <si>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</si>
  <si>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</si>
  <si>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</si>
  <si>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</si>
  <si>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</si>
  <si>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</si>
  <si>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</si>
  <si>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</si>
  <si>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</si>
  <si>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</si>
  <si>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</si>
  <si>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</si>
  <si>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</si>
  <si>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</si>
  <si>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</si>
  <si>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</si>
  <si>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</si>
  <si>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</si>
  <si>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</si>
  <si>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</si>
  <si>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</si>
  <si>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</si>
  <si>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</si>
  <si>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</si>
  <si>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</si>
  <si>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</si>
  <si>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</si>
  <si>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</si>
  <si>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</si>
  <si>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</si>
  <si>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</si>
  <si>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</si>
  <si>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</si>
  <si>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</si>
  <si>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</si>
  <si>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</si>
  <si>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</si>
  <si>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</si>
  <si>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</si>
  <si>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</si>
  <si>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</si>
  <si>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</si>
  <si>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</si>
  <si>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</si>
  <si>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</si>
  <si>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</si>
  <si>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</si>
  <si>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</si>
  <si>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</si>
  <si>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</si>
  <si>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</si>
  <si>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</si>
  <si>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</si>
  <si>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</si>
  <si>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</si>
  <si>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</si>
  <si>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</si>
  <si>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</si>
  <si>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</si>
  <si>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</si>
  <si>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</si>
  <si>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</si>
  <si>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</si>
  <si>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</si>
  <si>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</si>
  <si>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</si>
  <si>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</si>
  <si>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</si>
  <si>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</si>
  <si>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</si>
  <si>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</si>
  <si>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</si>
  <si>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</si>
  <si>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</si>
  <si>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</si>
  <si>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</si>
  <si>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</si>
  <si>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</si>
  <si>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</si>
  <si>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</si>
  <si>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</si>
  <si>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</si>
  <si>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</si>
  <si>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</si>
  <si>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</si>
  <si>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</si>
  <si>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</si>
  <si>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</si>
  <si>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</si>
  <si>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</si>
  <si>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</si>
  <si>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</si>
  <si>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</si>
  <si>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</si>
  <si>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</si>
  <si>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</si>
  <si>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</si>
  <si>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</si>
  <si>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</si>
  <si>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</si>
  <si>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</si>
  <si>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</si>
  <si>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</si>
  <si>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</si>
  <si>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</si>
  <si>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</si>
  <si>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</si>
  <si>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</si>
  <si>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</si>
  <si>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</si>
  <si>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</si>
  <si>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</si>
  <si>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</si>
  <si>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</si>
  <si>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</si>
  <si>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</si>
  <si>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</si>
  <si>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</si>
  <si>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</si>
  <si>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</si>
  <si>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</si>
  <si>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</si>
  <si>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</si>
  <si>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</si>
  <si>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</si>
  <si>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</si>
  <si>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</si>
  <si>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</si>
  <si>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</si>
  <si>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</si>
  <si>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</si>
  <si>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</si>
  <si>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</si>
  <si>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</si>
  <si>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</si>
  <si>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</si>
  <si>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</si>
  <si>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</si>
  <si>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</si>
  <si>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</si>
  <si>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</si>
  <si>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</si>
  <si>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</si>
  <si>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</si>
  <si>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</si>
  <si>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</si>
  <si>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</si>
  <si>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</si>
  <si>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</si>
  <si>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</si>
  <si>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</si>
  <si>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</si>
  <si>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</si>
  <si>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</si>
  <si>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</si>
  <si>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</si>
  <si>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</si>
  <si>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</si>
  <si>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</si>
  <si>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</si>
  <si>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</si>
  <si>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</si>
  <si>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</si>
  <si>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</si>
  <si>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</si>
  <si>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</si>
  <si>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</si>
  <si>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</si>
  <si>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</si>
  <si>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</si>
  <si>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</si>
  <si>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</si>
  <si>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</si>
  <si>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</si>
  <si>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</si>
  <si>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</si>
  <si>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</si>
  <si>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</si>
  <si>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</si>
  <si>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</si>
  <si>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</si>
  <si>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</si>
  <si>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</si>
  <si>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</si>
  <si>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</si>
  <si>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</si>
  <si>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</si>
  <si>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</si>
  <si>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</si>
  <si>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</si>
  <si>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</si>
  <si>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</si>
  <si>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</si>
  <si>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</si>
  <si>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</si>
  <si>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</si>
  <si>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</si>
  <si>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</si>
  <si>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</si>
  <si>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</si>
  <si>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</si>
  <si>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</si>
  <si>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</si>
  <si>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</si>
  <si>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</si>
  <si>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</si>
  <si>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</si>
  <si>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</si>
  <si>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</si>
  <si>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</si>
  <si>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</si>
  <si>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</si>
  <si>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</si>
  <si>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</si>
  <si>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</si>
  <si>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</si>
  <si>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</si>
  <si>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</si>
  <si>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</si>
  <si>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</si>
  <si>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</si>
  <si>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</si>
  <si>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</si>
  <si>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</si>
  <si>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</si>
  <si>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</si>
  <si>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</si>
  <si>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</si>
  <si>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</si>
  <si>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</si>
  <si>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</si>
  <si>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</si>
  <si>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</si>
  <si>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</si>
  <si>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</si>
  <si>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</si>
  <si>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</si>
  <si>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</si>
  <si>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</si>
  <si>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</si>
  <si>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</si>
  <si>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</si>
  <si>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</si>
  <si>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</si>
  <si>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</si>
  <si>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</si>
  <si>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</si>
  <si>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</si>
  <si>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</si>
  <si>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</si>
  <si>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</si>
  <si>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</si>
  <si>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</si>
  <si>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</si>
  <si>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</si>
  <si>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</si>
  <si>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</si>
  <si>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</si>
  <si>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</si>
  <si>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</si>
  <si>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</si>
  <si>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</si>
  <si>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</si>
  <si>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</si>
  <si>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</si>
  <si>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</si>
  <si>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</si>
  <si>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</si>
  <si>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</si>
  <si>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</si>
  <si>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</si>
  <si>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</si>
  <si>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</si>
  <si>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</si>
  <si>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</si>
  <si>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</si>
  <si>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</si>
  <si>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</si>
  <si>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</si>
  <si>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</si>
  <si>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</si>
  <si>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</si>
  <si>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</si>
  <si>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</si>
  <si>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</si>
  <si>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</si>
  <si>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</si>
  <si>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</si>
  <si>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</si>
  <si>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</si>
  <si>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</si>
  <si>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</si>
  <si>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</si>
  <si>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</si>
  <si>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</si>
  <si>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</si>
  <si>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</si>
  <si>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</si>
  <si>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</si>
  <si>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</si>
  <si>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</si>
  <si>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</si>
  <si>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</si>
  <si>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</si>
  <si>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</si>
  <si>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</si>
  <si>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</si>
  <si>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</si>
  <si>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</si>
  <si>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</si>
  <si>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</si>
  <si>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</si>
  <si>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</si>
  <si>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</si>
  <si>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</si>
  <si>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</si>
  <si>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</si>
  <si>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</si>
  <si>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</si>
  <si>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</si>
  <si>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</si>
  <si>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</si>
  <si>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</si>
  <si>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</si>
  <si>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</si>
  <si>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</si>
  <si>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</si>
  <si>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</si>
  <si>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</si>
  <si>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</si>
  <si>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</si>
  <si>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</si>
  <si>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</si>
  <si>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</si>
  <si>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</si>
  <si>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</si>
  <si>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</si>
  <si>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</si>
  <si>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</si>
  <si>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</si>
  <si>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</si>
  <si>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</si>
  <si>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</si>
  <si>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</si>
  <si>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</si>
  <si>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</si>
  <si>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</si>
  <si>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</si>
  <si>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</si>
  <si>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</si>
  <si>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</si>
  <si>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</si>
  <si>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</si>
  <si>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</si>
  <si>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</si>
  <si>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</si>
  <si>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</si>
  <si>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</si>
  <si>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</si>
  <si>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</si>
  <si>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</si>
  <si>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</si>
  <si>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</si>
  <si>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</si>
  <si>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</si>
  <si>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</si>
  <si>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</si>
  <si>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</si>
  <si>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</si>
  <si>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</si>
  <si>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</si>
  <si>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</si>
  <si>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</si>
  <si>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</si>
  <si>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</si>
  <si>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</si>
  <si>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</si>
  <si>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</si>
  <si>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</si>
  <si>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</si>
  <si>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</si>
  <si>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</si>
  <si>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</si>
  <si>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</si>
  <si>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</si>
  <si>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</si>
  <si>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</si>
  <si>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</si>
  <si>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</si>
  <si>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</si>
  <si>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</si>
  <si>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</si>
  <si>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</si>
  <si>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</si>
  <si>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</si>
  <si>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</si>
  <si>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</si>
  <si>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</si>
  <si>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</si>
  <si>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</si>
  <si>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</si>
  <si>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</si>
  <si>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</si>
  <si>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</si>
  <si>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</si>
  <si>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</si>
  <si>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</si>
  <si>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</si>
  <si>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</si>
  <si>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</si>
  <si>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</si>
  <si>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</si>
  <si>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</si>
  <si>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</si>
  <si>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</si>
  <si>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</si>
  <si>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</si>
  <si>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</si>
  <si>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</si>
  <si>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</si>
  <si>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</si>
  <si>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</si>
  <si>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</si>
  <si>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</si>
  <si>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</si>
  <si>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</si>
  <si>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</si>
  <si>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</si>
  <si>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</si>
  <si>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</si>
  <si>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</si>
  <si>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</si>
  <si>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</si>
  <si>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</si>
  <si>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</si>
  <si>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</si>
  <si>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</si>
  <si>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</si>
  <si>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</si>
  <si>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</si>
  <si>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</si>
  <si>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</si>
  <si>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</si>
  <si>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</si>
  <si>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</si>
  <si>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</si>
  <si>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</si>
  <si>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</si>
  <si>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</si>
  <si>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</si>
  <si>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</si>
  <si>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</si>
  <si>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</si>
  <si>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</si>
  <si>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</si>
  <si>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</si>
  <si>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</si>
  <si>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</si>
  <si>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</si>
  <si>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</si>
  <si>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</si>
  <si>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</si>
  <si>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</si>
  <si>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</si>
  <si>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</si>
  <si>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</si>
  <si>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</si>
  <si>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</si>
  <si>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</si>
  <si>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</si>
  <si>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</si>
  <si>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</si>
  <si>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</si>
  <si>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</si>
  <si>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</si>
  <si>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</si>
  <si>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</si>
  <si>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</si>
  <si>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</si>
  <si>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</si>
  <si>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</si>
  <si>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</si>
  <si>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</si>
  <si>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</si>
  <si>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</si>
  <si>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</si>
  <si>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</si>
  <si>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</si>
  <si>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</si>
  <si>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</si>
  <si>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</si>
  <si>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</si>
  <si>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</si>
  <si>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</si>
  <si>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</si>
  <si>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</si>
  <si>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</si>
  <si>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</si>
  <si>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</si>
  <si>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</si>
  <si>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</si>
  <si>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</si>
  <si>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</si>
  <si>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</si>
  <si>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</si>
  <si>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</si>
  <si>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</si>
  <si>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</si>
  <si>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</si>
  <si>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</si>
  <si>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</si>
  <si>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</si>
  <si>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</si>
  <si>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</si>
  <si>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</si>
  <si>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</si>
  <si>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</si>
  <si>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</si>
  <si>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</si>
  <si>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</si>
  <si>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</si>
  <si>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</si>
  <si>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</si>
  <si>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</si>
  <si>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</si>
  <si>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</si>
  <si>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</si>
  <si>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</si>
  <si>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</si>
  <si>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</si>
  <si>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</si>
  <si>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</si>
  <si>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</si>
  <si>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</si>
  <si>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</si>
  <si>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</si>
  <si>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</si>
  <si>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</si>
  <si>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</si>
  <si>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</si>
  <si>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</si>
  <si>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</si>
  <si>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</si>
  <si>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</si>
  <si>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</si>
  <si>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</si>
  <si>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</si>
  <si>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</si>
  <si>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</si>
  <si>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</si>
  <si>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</si>
  <si>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</si>
  <si>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</si>
  <si>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</si>
  <si>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</si>
  <si>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</si>
  <si>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</si>
  <si>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</si>
  <si>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</si>
  <si>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</si>
  <si>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</si>
  <si>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</si>
  <si>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</si>
  <si>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</si>
  <si>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</si>
  <si>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</si>
  <si>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</si>
  <si>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</si>
  <si>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</si>
  <si>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</si>
  <si>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</si>
  <si>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</si>
  <si>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</si>
  <si>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</si>
  <si>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</si>
  <si>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</si>
  <si>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</si>
  <si>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</si>
  <si>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</si>
  <si>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</si>
  <si>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</si>
  <si>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</si>
  <si>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</si>
  <si>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</si>
  <si>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</si>
  <si>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</si>
  <si>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</si>
  <si>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</si>
  <si>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</si>
  <si>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</si>
  <si>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</si>
  <si>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</si>
  <si>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</si>
  <si>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</si>
  <si>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</si>
  <si>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</si>
  <si>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</si>
  <si>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</si>
  <si>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</si>
  <si>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</si>
  <si>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</si>
  <si>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</si>
  <si>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</si>
  <si>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</si>
  <si>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</si>
  <si>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</si>
  <si>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</si>
  <si>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</si>
  <si>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</si>
  <si>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</si>
  <si>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</si>
  <si>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</si>
  <si>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</si>
  <si>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</si>
  <si>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</si>
  <si>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</si>
  <si>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</si>
  <si>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</si>
  <si>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</si>
  <si>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</si>
  <si>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</si>
  <si>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</si>
  <si>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</si>
  <si>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</si>
  <si>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</si>
  <si>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</si>
  <si>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</si>
  <si>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</si>
  <si>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</si>
  <si>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</si>
  <si>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</si>
  <si>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</si>
  <si>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</si>
  <si>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</si>
  <si>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</si>
  <si>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</si>
  <si>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</si>
  <si>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</si>
  <si>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</si>
  <si>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</si>
  <si>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</si>
  <si>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</si>
  <si>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</si>
  <si>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</si>
  <si>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</si>
  <si>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</si>
  <si>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</si>
  <si>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</si>
  <si>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</si>
  <si>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</si>
  <si>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</si>
  <si>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</si>
  <si>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</si>
  <si>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</si>
  <si>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</si>
  <si>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</si>
  <si>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</si>
  <si>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</si>
  <si>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</si>
  <si>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</si>
  <si>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</si>
  <si>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</si>
  <si>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</si>
  <si>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</si>
  <si>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</si>
  <si>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</si>
  <si>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</si>
  <si>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</si>
  <si>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</si>
  <si>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</si>
  <si>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</si>
  <si>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</si>
  <si>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</si>
  <si>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</si>
  <si>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</si>
  <si>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</si>
  <si>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</si>
  <si>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</si>
  <si>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</si>
  <si>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</si>
  <si>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</si>
  <si>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</si>
  <si>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</si>
  <si>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</si>
  <si>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</si>
  <si>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</si>
  <si>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</si>
  <si>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</si>
  <si>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</si>
  <si>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</si>
  <si>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</si>
  <si>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</si>
  <si>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</si>
  <si>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</si>
  <si>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</si>
  <si>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</si>
  <si>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</si>
  <si>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</si>
  <si>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</si>
  <si>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</si>
  <si>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</si>
  <si>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</si>
  <si>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</si>
  <si>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</si>
  <si>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</si>
  <si>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</si>
  <si>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</si>
  <si>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</si>
  <si>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</si>
  <si>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</si>
  <si>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</si>
  <si>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</si>
  <si>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</si>
  <si>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</si>
  <si>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</si>
  <si>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</si>
  <si>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</si>
  <si>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</si>
  <si>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</si>
  <si>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</si>
  <si>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</si>
  <si>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</si>
  <si>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</si>
  <si>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</si>
  <si>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</si>
  <si>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</si>
  <si>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</si>
  <si>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</si>
  <si>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</si>
  <si>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</si>
  <si>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</si>
  <si>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</si>
  <si>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</si>
  <si>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</si>
  <si>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</si>
  <si>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</si>
  <si>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</si>
  <si>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</si>
  <si>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</si>
  <si>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</si>
  <si>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</si>
  <si>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</si>
  <si>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</si>
  <si>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</si>
  <si>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</si>
  <si>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</si>
  <si>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</si>
  <si>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</si>
  <si>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</si>
  <si>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</si>
  <si>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</si>
  <si>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</si>
  <si>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</si>
  <si>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</si>
  <si>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</si>
  <si>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</si>
  <si>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</si>
  <si>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</si>
  <si>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</si>
  <si>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</si>
  <si>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</si>
  <si>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</si>
  <si>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</si>
  <si>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</si>
  <si>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</si>
  <si>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</si>
  <si>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</si>
  <si>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</si>
  <si>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</si>
  <si>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</si>
  <si>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</si>
  <si>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</si>
  <si>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</si>
  <si>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</si>
  <si>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</si>
  <si>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</si>
  <si>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</si>
  <si>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</si>
  <si>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</si>
  <si>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</si>
  <si>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</si>
  <si>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</si>
  <si>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</si>
  <si>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</si>
  <si>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</si>
  <si>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</si>
  <si>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</si>
  <si>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</si>
  <si>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</si>
  <si>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</si>
  <si>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</si>
  <si>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</si>
  <si>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</si>
  <si>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</si>
  <si>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</si>
  <si>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</si>
  <si>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</si>
  <si>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</si>
  <si>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</si>
  <si>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</si>
  <si>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</si>
  <si>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</si>
  <si>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</si>
  <si>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</si>
  <si>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</si>
  <si>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</si>
  <si>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</si>
  <si>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</si>
  <si>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</si>
  <si>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</si>
  <si>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</si>
  <si>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</si>
  <si>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</si>
  <si>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</si>
  <si>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</si>
  <si>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</si>
  <si>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</si>
  <si>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</si>
  <si>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</si>
  <si>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</si>
  <si>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</si>
  <si>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</si>
  <si>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</si>
  <si>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</si>
  <si>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</si>
  <si>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</si>
  <si>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</si>
  <si>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</si>
  <si>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</si>
  <si>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</si>
  <si>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</si>
  <si>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</si>
  <si>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</si>
  <si>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</si>
  <si>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</si>
  <si>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</si>
  <si>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</si>
  <si>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</si>
  <si>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</si>
  <si>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</si>
  <si>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</si>
  <si>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</si>
  <si>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</si>
  <si>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</si>
  <si>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</si>
  <si>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</si>
  <si>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</si>
  <si>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</si>
  <si>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</si>
  <si>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</si>
  <si>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</si>
  <si>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</si>
  <si>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</si>
  <si>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</si>
  <si>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</si>
  <si>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</si>
  <si>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</si>
  <si>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</si>
  <si>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</si>
  <si>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</si>
  <si>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</si>
  <si>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</si>
  <si>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</si>
  <si>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</si>
  <si>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</si>
  <si>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</si>
  <si>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</si>
  <si>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</si>
  <si>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</si>
  <si>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</si>
  <si>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</si>
  <si>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</si>
  <si>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</si>
  <si>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</si>
  <si>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</si>
  <si>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</si>
  <si>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</si>
  <si>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11008</t>
  </si>
  <si>
    <t>BRASSCHAAT</t>
  </si>
  <si>
    <t>referentietaak LNE (2017); Jaarverslag De Lijn</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</si>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</sst>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327734.89052165323</c:v>
                </c:pt>
                <c:pt idx="1">
                  <c:v>149956.58933500791</c:v>
                </c:pt>
                <c:pt idx="2">
                  <c:v>1881.1379999999999</c:v>
                </c:pt>
                <c:pt idx="3">
                  <c:v>1035.8152253862686</c:v>
                </c:pt>
                <c:pt idx="4">
                  <c:v>10813.42293121221</c:v>
                </c:pt>
                <c:pt idx="5">
                  <c:v>178620.63106790817</c:v>
                </c:pt>
                <c:pt idx="6">
                  <c:v>3623.9087800861694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327734.89052165323</c:v>
                </c:pt>
                <c:pt idx="1">
                  <c:v>149956.58933500791</c:v>
                </c:pt>
                <c:pt idx="2">
                  <c:v>1881.1379999999999</c:v>
                </c:pt>
                <c:pt idx="3">
                  <c:v>1035.8152253862686</c:v>
                </c:pt>
                <c:pt idx="4">
                  <c:v>10813.42293121221</c:v>
                </c:pt>
                <c:pt idx="5">
                  <c:v>178620.63106790817</c:v>
                </c:pt>
                <c:pt idx="6">
                  <c:v>3623.9087800861694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63476.016567632403</c:v>
                </c:pt>
                <c:pt idx="1">
                  <c:v>30373.778670094209</c:v>
                </c:pt>
                <c:pt idx="2">
                  <c:v>399.20114191152561</c:v>
                </c:pt>
                <c:pt idx="3">
                  <c:v>246.34825016920632</c:v>
                </c:pt>
                <c:pt idx="4">
                  <c:v>2331.8761103000606</c:v>
                </c:pt>
                <c:pt idx="5">
                  <c:v>44370.918933116554</c:v>
                </c:pt>
                <c:pt idx="6">
                  <c:v>916.64445931750538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63476.016567632403</c:v>
                </c:pt>
                <c:pt idx="1">
                  <c:v>30373.778670094209</c:v>
                </c:pt>
                <c:pt idx="2">
                  <c:v>399.20114191152561</c:v>
                </c:pt>
                <c:pt idx="3">
                  <c:v>246.34825016920632</c:v>
                </c:pt>
                <c:pt idx="4">
                  <c:v>2331.8761103000606</c:v>
                </c:pt>
                <c:pt idx="5">
                  <c:v>44370.918933116554</c:v>
                </c:pt>
                <c:pt idx="6">
                  <c:v>916.64445931750538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11008</v>
      </c>
      <c r="B6" s="390"/>
      <c r="C6" s="391"/>
    </row>
    <row r="7" spans="1:7" s="388" customFormat="1" ht="15.75" customHeight="1">
      <c r="A7" s="392" t="str">
        <f>txtMunicipality</f>
        <v>BRASSCHAAT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0.2122125765954043</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0.2122125765954043</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16025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293.13</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2</v>
      </c>
      <c r="C17" s="330"/>
      <c r="D17" s="330"/>
      <c r="E17" s="330"/>
      <c r="F17" s="330"/>
    </row>
    <row r="18" spans="1:6">
      <c r="A18" s="1298" t="s">
        <v>8</v>
      </c>
      <c r="B18" s="1299">
        <v>2</v>
      </c>
      <c r="C18" s="330"/>
      <c r="D18" s="330"/>
      <c r="E18" s="330"/>
      <c r="F18" s="330"/>
    </row>
    <row r="19" spans="1:6">
      <c r="A19" s="1298" t="s">
        <v>9</v>
      </c>
      <c r="B19" s="1299">
        <v>0</v>
      </c>
      <c r="C19" s="330"/>
      <c r="D19" s="330"/>
      <c r="E19" s="330"/>
      <c r="F19" s="330"/>
    </row>
    <row r="20" spans="1:6">
      <c r="A20" s="1298" t="s">
        <v>10</v>
      </c>
      <c r="B20" s="1299">
        <v>1</v>
      </c>
      <c r="C20" s="330"/>
      <c r="D20" s="330"/>
      <c r="E20" s="330"/>
      <c r="F20" s="330"/>
    </row>
    <row r="21" spans="1:6">
      <c r="A21" s="1298" t="s">
        <v>11</v>
      </c>
      <c r="B21" s="1299">
        <v>1</v>
      </c>
      <c r="C21" s="330"/>
      <c r="D21" s="330"/>
      <c r="E21" s="330"/>
      <c r="F21" s="330"/>
    </row>
    <row r="22" spans="1:6">
      <c r="A22" s="1298" t="s">
        <v>12</v>
      </c>
      <c r="B22" s="1299">
        <v>2</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1</v>
      </c>
      <c r="C25" s="330"/>
      <c r="D25" s="330"/>
      <c r="E25" s="330"/>
      <c r="F25" s="330"/>
    </row>
    <row r="26" spans="1:6">
      <c r="A26" s="1298" t="s">
        <v>16</v>
      </c>
      <c r="B26" s="1299">
        <v>28</v>
      </c>
      <c r="C26" s="330"/>
      <c r="D26" s="330"/>
      <c r="E26" s="330"/>
      <c r="F26" s="330"/>
    </row>
    <row r="27" spans="1:6">
      <c r="A27" s="1298" t="s">
        <v>17</v>
      </c>
      <c r="B27" s="1299">
        <v>14</v>
      </c>
      <c r="C27" s="330"/>
      <c r="D27" s="330"/>
      <c r="E27" s="330"/>
      <c r="F27" s="330"/>
    </row>
    <row r="28" spans="1:6" s="43" customFormat="1">
      <c r="A28" s="1300" t="s">
        <v>18</v>
      </c>
      <c r="B28" s="1301">
        <v>16</v>
      </c>
      <c r="C28" s="336"/>
      <c r="D28" s="336"/>
      <c r="E28" s="336"/>
      <c r="F28" s="336"/>
    </row>
    <row r="29" spans="1:6">
      <c r="A29" s="1300" t="s">
        <v>705</v>
      </c>
      <c r="B29" s="1301">
        <v>149</v>
      </c>
      <c r="C29" s="336"/>
      <c r="D29" s="336"/>
      <c r="E29" s="336"/>
      <c r="F29" s="336"/>
    </row>
    <row r="30" spans="1:6">
      <c r="A30" s="1293" t="s">
        <v>706</v>
      </c>
      <c r="B30" s="1302">
        <v>38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11456.53</v>
      </c>
      <c r="E38" s="1299">
        <v>3</v>
      </c>
      <c r="F38" s="1299">
        <v>6081.6019999999999</v>
      </c>
    </row>
    <row r="39" spans="1:6">
      <c r="A39" s="1298" t="s">
        <v>29</v>
      </c>
      <c r="B39" s="1298" t="s">
        <v>30</v>
      </c>
      <c r="C39" s="1299">
        <v>13785</v>
      </c>
      <c r="D39" s="1299">
        <v>263637642.5</v>
      </c>
      <c r="E39" s="1299">
        <v>16010</v>
      </c>
      <c r="F39" s="1299">
        <v>64477208.619999997</v>
      </c>
    </row>
    <row r="40" spans="1:6">
      <c r="A40" s="1298" t="s">
        <v>29</v>
      </c>
      <c r="B40" s="1298" t="s">
        <v>28</v>
      </c>
      <c r="C40" s="1299">
        <v>1</v>
      </c>
      <c r="D40" s="1299">
        <v>276408.68199999997</v>
      </c>
      <c r="E40" s="1299">
        <v>1</v>
      </c>
      <c r="F40" s="1299">
        <v>50360</v>
      </c>
    </row>
    <row r="41" spans="1:6">
      <c r="A41" s="1298" t="s">
        <v>31</v>
      </c>
      <c r="B41" s="1298" t="s">
        <v>32</v>
      </c>
      <c r="C41" s="1299">
        <v>133</v>
      </c>
      <c r="D41" s="1299">
        <v>3304180.699</v>
      </c>
      <c r="E41" s="1299">
        <v>220</v>
      </c>
      <c r="F41" s="1299">
        <v>2110987.0129999998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9</v>
      </c>
      <c r="F44" s="1299">
        <v>149834.20699999999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101629.879</v>
      </c>
      <c r="E47" s="1299">
        <v>7</v>
      </c>
      <c r="F47" s="1299">
        <v>281894.72399999999</v>
      </c>
    </row>
    <row r="48" spans="1:6">
      <c r="A48" s="1298" t="s">
        <v>31</v>
      </c>
      <c r="B48" s="1298" t="s">
        <v>28</v>
      </c>
      <c r="C48" s="1299">
        <v>13</v>
      </c>
      <c r="D48" s="1299">
        <v>551536.62399999995</v>
      </c>
      <c r="E48" s="1299">
        <v>18</v>
      </c>
      <c r="F48" s="1299">
        <v>144283.361</v>
      </c>
    </row>
    <row r="49" spans="1:6">
      <c r="A49" s="1298" t="s">
        <v>31</v>
      </c>
      <c r="B49" s="1298" t="s">
        <v>39</v>
      </c>
      <c r="C49" s="1299">
        <v>0</v>
      </c>
      <c r="D49" s="1299">
        <v>0</v>
      </c>
      <c r="E49" s="1299">
        <v>0</v>
      </c>
      <c r="F49" s="1299">
        <v>0</v>
      </c>
    </row>
    <row r="50" spans="1:6">
      <c r="A50" s="1298" t="s">
        <v>31</v>
      </c>
      <c r="B50" s="1298" t="s">
        <v>40</v>
      </c>
      <c r="C50" s="1299">
        <v>12</v>
      </c>
      <c r="D50" s="1299">
        <v>1335582.5490000001</v>
      </c>
      <c r="E50" s="1299">
        <v>16</v>
      </c>
      <c r="F50" s="1299">
        <v>787383.11600000004</v>
      </c>
    </row>
    <row r="51" spans="1:6">
      <c r="A51" s="1298" t="s">
        <v>41</v>
      </c>
      <c r="B51" s="1298" t="s">
        <v>42</v>
      </c>
      <c r="C51" s="1299">
        <v>6</v>
      </c>
      <c r="D51" s="1299">
        <v>191508.96599999999</v>
      </c>
      <c r="E51" s="1299">
        <v>21</v>
      </c>
      <c r="F51" s="1299">
        <v>110840.855</v>
      </c>
    </row>
    <row r="52" spans="1:6">
      <c r="A52" s="1298" t="s">
        <v>41</v>
      </c>
      <c r="B52" s="1298" t="s">
        <v>28</v>
      </c>
      <c r="C52" s="1299">
        <v>5</v>
      </c>
      <c r="D52" s="1299">
        <v>252000.05499999999</v>
      </c>
      <c r="E52" s="1299">
        <v>4</v>
      </c>
      <c r="F52" s="1299">
        <v>20494.150000000001</v>
      </c>
    </row>
    <row r="53" spans="1:6">
      <c r="A53" s="1298" t="s">
        <v>43</v>
      </c>
      <c r="B53" s="1298" t="s">
        <v>44</v>
      </c>
      <c r="C53" s="1299">
        <v>305</v>
      </c>
      <c r="D53" s="1299">
        <v>8135690.8930000002</v>
      </c>
      <c r="E53" s="1299">
        <v>630</v>
      </c>
      <c r="F53" s="1299">
        <v>3097977.398</v>
      </c>
    </row>
    <row r="54" spans="1:6">
      <c r="A54" s="1298" t="s">
        <v>45</v>
      </c>
      <c r="B54" s="1298" t="s">
        <v>46</v>
      </c>
      <c r="C54" s="1299">
        <v>0</v>
      </c>
      <c r="D54" s="1299">
        <v>0</v>
      </c>
      <c r="E54" s="1299">
        <v>1</v>
      </c>
      <c r="F54" s="1299">
        <v>1881138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116</v>
      </c>
      <c r="D57" s="1299">
        <v>7315641.7120000003</v>
      </c>
      <c r="E57" s="1299">
        <v>165</v>
      </c>
      <c r="F57" s="1299">
        <v>5858637.1040000003</v>
      </c>
    </row>
    <row r="58" spans="1:6">
      <c r="A58" s="1298" t="s">
        <v>48</v>
      </c>
      <c r="B58" s="1298" t="s">
        <v>50</v>
      </c>
      <c r="C58" s="1299">
        <v>202</v>
      </c>
      <c r="D58" s="1299">
        <v>18650231.390000001</v>
      </c>
      <c r="E58" s="1299">
        <v>240</v>
      </c>
      <c r="F58" s="1299">
        <v>9066028.9570000004</v>
      </c>
    </row>
    <row r="59" spans="1:6">
      <c r="A59" s="1298" t="s">
        <v>48</v>
      </c>
      <c r="B59" s="1298" t="s">
        <v>51</v>
      </c>
      <c r="C59" s="1299">
        <v>305</v>
      </c>
      <c r="D59" s="1299">
        <v>11526886.48</v>
      </c>
      <c r="E59" s="1299">
        <v>438</v>
      </c>
      <c r="F59" s="1299">
        <v>11257821.869999999</v>
      </c>
    </row>
    <row r="60" spans="1:6">
      <c r="A60" s="1298" t="s">
        <v>48</v>
      </c>
      <c r="B60" s="1298" t="s">
        <v>52</v>
      </c>
      <c r="C60" s="1299">
        <v>125</v>
      </c>
      <c r="D60" s="1299">
        <v>6917830.8279999997</v>
      </c>
      <c r="E60" s="1299">
        <v>143</v>
      </c>
      <c r="F60" s="1299">
        <v>4026311.8080000002</v>
      </c>
    </row>
    <row r="61" spans="1:6">
      <c r="A61" s="1298" t="s">
        <v>48</v>
      </c>
      <c r="B61" s="1298" t="s">
        <v>53</v>
      </c>
      <c r="C61" s="1299">
        <v>621</v>
      </c>
      <c r="D61" s="1299">
        <v>36438772.799999997</v>
      </c>
      <c r="E61" s="1299">
        <v>1173</v>
      </c>
      <c r="F61" s="1299">
        <v>15849162.85</v>
      </c>
    </row>
    <row r="62" spans="1:6">
      <c r="A62" s="1298" t="s">
        <v>48</v>
      </c>
      <c r="B62" s="1298" t="s">
        <v>54</v>
      </c>
      <c r="C62" s="1299">
        <v>56</v>
      </c>
      <c r="D62" s="1299">
        <v>10927030.380000001</v>
      </c>
      <c r="E62" s="1299">
        <v>65</v>
      </c>
      <c r="F62" s="1299">
        <v>2231352.054</v>
      </c>
    </row>
    <row r="63" spans="1:6">
      <c r="A63" s="1298" t="s">
        <v>48</v>
      </c>
      <c r="B63" s="1298" t="s">
        <v>28</v>
      </c>
      <c r="C63" s="1299">
        <v>99</v>
      </c>
      <c r="D63" s="1299">
        <v>6235538.8109999998</v>
      </c>
      <c r="E63" s="1299">
        <v>99</v>
      </c>
      <c r="F63" s="1299">
        <v>2891607.656</v>
      </c>
    </row>
    <row r="64" spans="1:6">
      <c r="A64" s="1298" t="s">
        <v>55</v>
      </c>
      <c r="B64" s="1298" t="s">
        <v>56</v>
      </c>
      <c r="C64" s="1299">
        <v>0</v>
      </c>
      <c r="D64" s="1299">
        <v>0</v>
      </c>
      <c r="E64" s="1299">
        <v>0</v>
      </c>
      <c r="F64" s="1299">
        <v>0</v>
      </c>
    </row>
    <row r="65" spans="1:6">
      <c r="A65" s="1298" t="s">
        <v>55</v>
      </c>
      <c r="B65" s="1298" t="s">
        <v>28</v>
      </c>
      <c r="C65" s="1299">
        <v>5</v>
      </c>
      <c r="D65" s="1299">
        <v>296486.81800000003</v>
      </c>
      <c r="E65" s="1299">
        <v>4</v>
      </c>
      <c r="F65" s="1299">
        <v>42889.773999999998</v>
      </c>
    </row>
    <row r="66" spans="1:6">
      <c r="A66" s="1298" t="s">
        <v>55</v>
      </c>
      <c r="B66" s="1298" t="s">
        <v>57</v>
      </c>
      <c r="C66" s="1299">
        <v>0</v>
      </c>
      <c r="D66" s="1299">
        <v>0</v>
      </c>
      <c r="E66" s="1299">
        <v>29</v>
      </c>
      <c r="F66" s="1299">
        <v>682474.96299999999</v>
      </c>
    </row>
    <row r="67" spans="1:6">
      <c r="A67" s="1300" t="s">
        <v>55</v>
      </c>
      <c r="B67" s="1300" t="s">
        <v>58</v>
      </c>
      <c r="C67" s="1299">
        <v>0</v>
      </c>
      <c r="D67" s="1299">
        <v>0</v>
      </c>
      <c r="E67" s="1299">
        <v>0</v>
      </c>
      <c r="F67" s="1299">
        <v>0</v>
      </c>
    </row>
    <row r="68" spans="1:6">
      <c r="A68" s="1293" t="s">
        <v>55</v>
      </c>
      <c r="B68" s="1293" t="s">
        <v>59</v>
      </c>
      <c r="C68" s="1302">
        <v>8</v>
      </c>
      <c r="D68" s="1302">
        <v>167762.20699999999</v>
      </c>
      <c r="E68" s="1302">
        <v>10</v>
      </c>
      <c r="F68" s="1302">
        <v>102451.98299999999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120312758</v>
      </c>
      <c r="E73" s="450"/>
      <c r="F73" s="330"/>
    </row>
    <row r="74" spans="1:6">
      <c r="A74" s="1298" t="s">
        <v>63</v>
      </c>
      <c r="B74" s="1298" t="s">
        <v>647</v>
      </c>
      <c r="C74" s="1312" t="s">
        <v>649</v>
      </c>
      <c r="D74" s="1313">
        <v>6586391</v>
      </c>
      <c r="E74" s="450"/>
      <c r="F74" s="330"/>
    </row>
    <row r="75" spans="1:6">
      <c r="A75" s="1298" t="s">
        <v>64</v>
      </c>
      <c r="B75" s="1298" t="s">
        <v>646</v>
      </c>
      <c r="C75" s="1312" t="s">
        <v>650</v>
      </c>
      <c r="D75" s="1313">
        <v>52306207</v>
      </c>
      <c r="E75" s="450"/>
      <c r="F75" s="330"/>
    </row>
    <row r="76" spans="1:6">
      <c r="A76" s="1298" t="s">
        <v>64</v>
      </c>
      <c r="B76" s="1298" t="s">
        <v>647</v>
      </c>
      <c r="C76" s="1312" t="s">
        <v>651</v>
      </c>
      <c r="D76" s="1313">
        <v>412503</v>
      </c>
      <c r="E76" s="450"/>
      <c r="F76" s="330"/>
    </row>
    <row r="77" spans="1:6">
      <c r="A77" s="1298" t="s">
        <v>65</v>
      </c>
      <c r="B77" s="1298" t="s">
        <v>646</v>
      </c>
      <c r="C77" s="1312" t="s">
        <v>652</v>
      </c>
      <c r="D77" s="1313">
        <v>28727841</v>
      </c>
      <c r="E77" s="450"/>
      <c r="F77" s="330"/>
    </row>
    <row r="78" spans="1:6">
      <c r="A78" s="1293" t="s">
        <v>65</v>
      </c>
      <c r="B78" s="1293" t="s">
        <v>647</v>
      </c>
      <c r="C78" s="1293" t="s">
        <v>653</v>
      </c>
      <c r="D78" s="1314">
        <v>6605496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994792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4041.9133943915554</v>
      </c>
      <c r="C91" s="330"/>
      <c r="D91" s="330"/>
      <c r="E91" s="330"/>
      <c r="F91" s="330"/>
    </row>
    <row r="92" spans="1:6">
      <c r="A92" s="1293" t="s">
        <v>68</v>
      </c>
      <c r="B92" s="1294">
        <v>1165.1102702489229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10619</v>
      </c>
      <c r="C97" s="330"/>
      <c r="D97" s="330"/>
      <c r="E97" s="330"/>
      <c r="F97" s="330"/>
    </row>
    <row r="98" spans="1:6">
      <c r="A98" s="1298" t="s">
        <v>71</v>
      </c>
      <c r="B98" s="1299">
        <v>10</v>
      </c>
      <c r="C98" s="330"/>
      <c r="D98" s="330"/>
      <c r="E98" s="330"/>
      <c r="F98" s="330"/>
    </row>
    <row r="99" spans="1:6">
      <c r="A99" s="1298" t="s">
        <v>72</v>
      </c>
      <c r="B99" s="1299">
        <v>37</v>
      </c>
      <c r="C99" s="330"/>
      <c r="D99" s="330"/>
      <c r="E99" s="330"/>
      <c r="F99" s="330"/>
    </row>
    <row r="100" spans="1:6">
      <c r="A100" s="1298" t="s">
        <v>73</v>
      </c>
      <c r="B100" s="1299">
        <v>1008</v>
      </c>
      <c r="C100" s="330"/>
      <c r="D100" s="330"/>
      <c r="E100" s="330"/>
      <c r="F100" s="330"/>
    </row>
    <row r="101" spans="1:6">
      <c r="A101" s="1298" t="s">
        <v>74</v>
      </c>
      <c r="B101" s="1299">
        <v>130</v>
      </c>
      <c r="C101" s="330"/>
      <c r="D101" s="330"/>
      <c r="E101" s="330"/>
      <c r="F101" s="330"/>
    </row>
    <row r="102" spans="1:6">
      <c r="A102" s="1298" t="s">
        <v>75</v>
      </c>
      <c r="B102" s="1299">
        <v>172</v>
      </c>
      <c r="C102" s="330"/>
      <c r="D102" s="330"/>
      <c r="E102" s="330"/>
      <c r="F102" s="330"/>
    </row>
    <row r="103" spans="1:6">
      <c r="A103" s="1298" t="s">
        <v>76</v>
      </c>
      <c r="B103" s="1299">
        <v>162</v>
      </c>
      <c r="C103" s="330"/>
      <c r="D103" s="330"/>
      <c r="E103" s="330"/>
      <c r="F103" s="330"/>
    </row>
    <row r="104" spans="1:6">
      <c r="A104" s="1298" t="s">
        <v>77</v>
      </c>
      <c r="B104" s="1299">
        <v>2355</v>
      </c>
      <c r="C104" s="330"/>
      <c r="D104" s="330"/>
      <c r="E104" s="330"/>
      <c r="F104" s="330"/>
    </row>
    <row r="105" spans="1:6">
      <c r="A105" s="1293" t="s">
        <v>78</v>
      </c>
      <c r="B105" s="1302">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48</v>
      </c>
      <c r="C123" s="1299">
        <v>40</v>
      </c>
      <c r="D123" s="330"/>
      <c r="E123" s="330"/>
      <c r="F123" s="330"/>
    </row>
    <row r="124" spans="1:6" s="43" customFormat="1">
      <c r="A124" s="1300" t="s">
        <v>88</v>
      </c>
      <c r="B124" s="1321">
        <v>5</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152</v>
      </c>
      <c r="C129" s="330"/>
      <c r="D129" s="330"/>
      <c r="E129" s="330"/>
      <c r="F129" s="330"/>
    </row>
    <row r="130" spans="1:6">
      <c r="A130" s="1298" t="s">
        <v>294</v>
      </c>
      <c r="B130" s="1299">
        <v>1</v>
      </c>
      <c r="C130" s="330"/>
      <c r="D130" s="330"/>
      <c r="E130" s="330"/>
      <c r="F130" s="330"/>
    </row>
    <row r="131" spans="1:6">
      <c r="A131" s="1298" t="s">
        <v>295</v>
      </c>
      <c r="B131" s="1299">
        <v>2</v>
      </c>
      <c r="C131" s="330"/>
      <c r="D131" s="330"/>
      <c r="E131" s="330"/>
      <c r="F131" s="330"/>
    </row>
    <row r="132" spans="1:6">
      <c r="A132" s="1293" t="s">
        <v>296</v>
      </c>
      <c r="B132" s="1294">
        <v>27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129303.18350971614</v>
      </c>
      <c r="C3" s="43" t="s">
        <v>169</v>
      </c>
      <c r="D3" s="43"/>
      <c r="E3" s="154"/>
      <c r="F3" s="43"/>
      <c r="G3" s="43"/>
      <c r="H3" s="43"/>
      <c r="I3" s="43"/>
      <c r="J3" s="43"/>
      <c r="K3" s="96"/>
    </row>
    <row r="4" spans="1:11">
      <c r="A4" s="358" t="s">
        <v>170</v>
      </c>
      <c r="B4" s="49">
        <f>IF(ISERROR('SEAP template'!B78+'SEAP template'!C78),0,'SEAP template'!B78+'SEAP template'!C78)</f>
        <v>6078.6736646404788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207.14505882352947</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0.2122125765954043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295.92151260504215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1245.214285714286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1881.1379999999999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1881.1379999999999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0.2122125765954043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399.20114191152561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64527.568619999998</v>
      </c>
      <c r="C5" s="17">
        <f>IF(ISERROR('Eigen informatie GS &amp; warmtenet'!B59),0,'Eigen informatie GS &amp; warmtenet'!B59)</f>
        <v>0</v>
      </c>
      <c r="D5" s="30">
        <f>(SUM(HH_hh_gas_kWh,HH_rest_gas_kWh)/1000)*0.902</f>
        <v>238050.47416616403</v>
      </c>
      <c r="E5" s="17">
        <f>B46*B57</f>
        <v>3693.8957355990847</v>
      </c>
      <c r="F5" s="17">
        <f>B51*B62</f>
        <v>0</v>
      </c>
      <c r="G5" s="18"/>
      <c r="H5" s="17"/>
      <c r="I5" s="17"/>
      <c r="J5" s="17">
        <f>B50*B61+C50*C61</f>
        <v>0</v>
      </c>
      <c r="K5" s="17"/>
      <c r="L5" s="17"/>
      <c r="M5" s="17"/>
      <c r="N5" s="17">
        <f>B48*B59+C48*C59</f>
        <v>16193.433966322629</v>
      </c>
      <c r="O5" s="17">
        <f>B69*B70*B71</f>
        <v>384.88789456108412</v>
      </c>
      <c r="P5" s="17">
        <f>B77*B78*B79/1000-B77*B78*B79/1000/B80</f>
        <v>842.71674461480166</v>
      </c>
    </row>
    <row r="6" spans="1:16">
      <c r="A6" s="16" t="s">
        <v>611</v>
      </c>
      <c r="B6" s="783">
        <f>kWh_PV_kleiner_dan_10kW</f>
        <v>4041.9133943915554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68569.482014391557</v>
      </c>
      <c r="C8" s="21">
        <f>C5</f>
        <v>0</v>
      </c>
      <c r="D8" s="21">
        <f>D5</f>
        <v>238050.47416616403</v>
      </c>
      <c r="E8" s="21">
        <f>E5</f>
        <v>3693.8957355990847</v>
      </c>
      <c r="F8" s="21">
        <f>F5</f>
        <v>0</v>
      </c>
      <c r="G8" s="21"/>
      <c r="H8" s="21"/>
      <c r="I8" s="21"/>
      <c r="J8" s="21">
        <f>J5</f>
        <v>0</v>
      </c>
      <c r="K8" s="21"/>
      <c r="L8" s="21">
        <f>L5</f>
        <v>0</v>
      </c>
      <c r="M8" s="21">
        <f>M5</f>
        <v>0</v>
      </c>
      <c r="N8" s="21">
        <f>N5</f>
        <v>16193.433966322629</v>
      </c>
      <c r="O8" s="21">
        <f>O5</f>
        <v>384.88789456108412</v>
      </c>
      <c r="P8" s="21">
        <f>P5</f>
        <v>842.71674461480166</v>
      </c>
    </row>
    <row r="9" spans="1:16">
      <c r="B9" s="19"/>
      <c r="C9" s="19"/>
      <c r="D9" s="258"/>
      <c r="E9" s="19"/>
      <c r="F9" s="19"/>
      <c r="G9" s="19"/>
      <c r="H9" s="19"/>
      <c r="I9" s="19"/>
      <c r="J9" s="19"/>
      <c r="K9" s="19"/>
      <c r="L9" s="19"/>
      <c r="M9" s="19"/>
      <c r="N9" s="19"/>
      <c r="O9" s="19"/>
      <c r="P9" s="19"/>
    </row>
    <row r="10" spans="1:16">
      <c r="A10" s="24" t="s">
        <v>213</v>
      </c>
      <c r="B10" s="25">
        <f ca="1">'EF ele_warmte'!B12</f>
        <v>0.2122125765954043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14551.306454086265</v>
      </c>
      <c r="C12" s="23">
        <f ca="1">C10*C8</f>
        <v>0</v>
      </c>
      <c r="D12" s="23">
        <f>D8*D10</f>
        <v>48086.19578156514</v>
      </c>
      <c r="E12" s="23">
        <f>E10*E8</f>
        <v>838.51433198099221</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10619</v>
      </c>
      <c r="C18" s="166" t="s">
        <v>110</v>
      </c>
      <c r="D18" s="228"/>
      <c r="E18" s="15"/>
    </row>
    <row r="19" spans="1:7">
      <c r="A19" s="171" t="s">
        <v>71</v>
      </c>
      <c r="B19" s="37">
        <f>aantalw2001_ander</f>
        <v>10</v>
      </c>
      <c r="C19" s="166" t="s">
        <v>110</v>
      </c>
      <c r="D19" s="229"/>
      <c r="E19" s="15"/>
    </row>
    <row r="20" spans="1:7">
      <c r="A20" s="171" t="s">
        <v>72</v>
      </c>
      <c r="B20" s="37">
        <f>aantalw2001_propaan</f>
        <v>37</v>
      </c>
      <c r="C20" s="167">
        <f>IF(ISERROR(B20/SUM($B$20,$B$21,$B$22)*100),0,B20/SUM($B$20,$B$21,$B$22)*100)</f>
        <v>3.1489361702127661</v>
      </c>
      <c r="D20" s="229"/>
      <c r="E20" s="15"/>
    </row>
    <row r="21" spans="1:7">
      <c r="A21" s="171" t="s">
        <v>73</v>
      </c>
      <c r="B21" s="37">
        <f>aantalw2001_elektriciteit</f>
        <v>1008</v>
      </c>
      <c r="C21" s="167">
        <f>IF(ISERROR(B21/SUM($B$20,$B$21,$B$22)*100),0,B21/SUM($B$20,$B$21,$B$22)*100)</f>
        <v>85.787234042553195</v>
      </c>
      <c r="D21" s="229"/>
      <c r="E21" s="15"/>
    </row>
    <row r="22" spans="1:7">
      <c r="A22" s="171" t="s">
        <v>74</v>
      </c>
      <c r="B22" s="37">
        <f>aantalw2001_hout</f>
        <v>130</v>
      </c>
      <c r="C22" s="167">
        <f>IF(ISERROR(B22/SUM($B$20,$B$21,$B$22)*100),0,B22/SUM($B$20,$B$21,$B$22)*100)</f>
        <v>11.063829787234042</v>
      </c>
      <c r="D22" s="229"/>
      <c r="E22" s="15"/>
    </row>
    <row r="23" spans="1:7">
      <c r="A23" s="171" t="s">
        <v>75</v>
      </c>
      <c r="B23" s="37">
        <f>aantalw2001_niet_gespec</f>
        <v>172</v>
      </c>
      <c r="C23" s="166" t="s">
        <v>110</v>
      </c>
      <c r="D23" s="228"/>
      <c r="E23" s="15"/>
    </row>
    <row r="24" spans="1:7">
      <c r="A24" s="171" t="s">
        <v>76</v>
      </c>
      <c r="B24" s="37">
        <f>aantalw2001_steenkool</f>
        <v>162</v>
      </c>
      <c r="C24" s="166" t="s">
        <v>110</v>
      </c>
      <c r="D24" s="229"/>
      <c r="E24" s="15"/>
    </row>
    <row r="25" spans="1:7">
      <c r="A25" s="171" t="s">
        <v>77</v>
      </c>
      <c r="B25" s="37">
        <f>aantalw2001_stookolie</f>
        <v>2355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818</v>
      </c>
      <c r="B28" s="37">
        <f>aantalHuishoudens</f>
        <v>16025</v>
      </c>
      <c r="C28" s="36"/>
      <c r="D28" s="228"/>
    </row>
    <row r="29" spans="1:7" s="15" customFormat="1">
      <c r="A29" s="230" t="s">
        <v>819</v>
      </c>
      <c r="B29" s="37">
        <f>SUM(HH_hh_gas_aantal,HH_rest_gas_aantal)</f>
        <v>13786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13786</v>
      </c>
      <c r="C32" s="167">
        <f>IF(ISERROR(B32/SUM($B$32,$B$34,$B$35,$B$36,$B$38,$B$39)*100),0,B32/SUM($B$32,$B$34,$B$35,$B$36,$B$38,$B$39)*100)</f>
        <v>86.459705236751333</v>
      </c>
      <c r="D32" s="233"/>
      <c r="G32" s="15"/>
    </row>
    <row r="33" spans="1:7">
      <c r="A33" s="171" t="s">
        <v>71</v>
      </c>
      <c r="B33" s="34" t="s">
        <v>110</v>
      </c>
      <c r="C33" s="167"/>
      <c r="D33" s="233"/>
      <c r="G33" s="15"/>
    </row>
    <row r="34" spans="1:7">
      <c r="A34" s="171" t="s">
        <v>72</v>
      </c>
      <c r="B34" s="33">
        <f>IF((($B$28-$B$32-$B$39-$B$77-$B$38)*C20/100)&lt;0,0,($B$28-$B$32-$B$39-$B$77-$B$38)*C20/100)</f>
        <v>67.985531914893613</v>
      </c>
      <c r="C34" s="167">
        <f>IF(ISERROR(B34/SUM($B$32,$B$34,$B$35,$B$36,$B$38,$B$39)*100),0,B34/SUM($B$32,$B$34,$B$35,$B$36,$B$38,$B$39)*100)</f>
        <v>0.42637523935336225</v>
      </c>
      <c r="D34" s="233"/>
      <c r="G34" s="15"/>
    </row>
    <row r="35" spans="1:7">
      <c r="A35" s="171" t="s">
        <v>73</v>
      </c>
      <c r="B35" s="33">
        <f>IF((($B$28-$B$32-$B$39-$B$77-$B$38)*C21/100)&lt;0,0,($B$28-$B$32-$B$39-$B$77-$B$38)*C21/100)</f>
        <v>1852.1463829787235</v>
      </c>
      <c r="C35" s="167">
        <f>IF(ISERROR(B35/SUM($B$32,$B$34,$B$35,$B$36,$B$38,$B$39)*100),0,B35/SUM($B$32,$B$34,$B$35,$B$36,$B$38,$B$39)*100)</f>
        <v>11.615844358599709</v>
      </c>
      <c r="D35" s="233"/>
      <c r="G35" s="15"/>
    </row>
    <row r="36" spans="1:7">
      <c r="A36" s="171" t="s">
        <v>74</v>
      </c>
      <c r="B36" s="33">
        <f>IF((($B$28-$B$32-$B$39-$B$77-$B$38)*C22/100)&lt;0,0,($B$28-$B$32-$B$39-$B$77-$B$38)*C22/100)</f>
        <v>238.86808510638298</v>
      </c>
      <c r="C36" s="167">
        <f>IF(ISERROR(B36/SUM($B$32,$B$34,$B$35,$B$36,$B$38,$B$39)*100),0,B36/SUM($B$32,$B$34,$B$35,$B$36,$B$38,$B$39)*100)</f>
        <v>1.4980751652955973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13786</v>
      </c>
      <c r="C44" s="34" t="s">
        <v>110</v>
      </c>
      <c r="D44" s="174"/>
    </row>
    <row r="45" spans="1:7">
      <c r="A45" s="171" t="s">
        <v>71</v>
      </c>
      <c r="B45" s="33" t="str">
        <f t="shared" si="0"/>
        <v>-</v>
      </c>
      <c r="C45" s="34" t="s">
        <v>110</v>
      </c>
      <c r="D45" s="174"/>
    </row>
    <row r="46" spans="1:7">
      <c r="A46" s="171" t="s">
        <v>72</v>
      </c>
      <c r="B46" s="33">
        <f t="shared" si="0"/>
        <v>67.985531914893613</v>
      </c>
      <c r="C46" s="34" t="s">
        <v>110</v>
      </c>
      <c r="D46" s="174"/>
    </row>
    <row r="47" spans="1:7">
      <c r="A47" s="171" t="s">
        <v>73</v>
      </c>
      <c r="B47" s="33">
        <f t="shared" si="0"/>
        <v>1852.1463829787235</v>
      </c>
      <c r="C47" s="34" t="s">
        <v>110</v>
      </c>
      <c r="D47" s="174"/>
    </row>
    <row r="48" spans="1:7">
      <c r="A48" s="171" t="s">
        <v>74</v>
      </c>
      <c r="B48" s="33">
        <f t="shared" si="0"/>
        <v>238.86808510638298</v>
      </c>
      <c r="C48" s="33">
        <f>B48*10</f>
        <v>2388.6808510638298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51180.922299000005</v>
      </c>
      <c r="C5" s="17">
        <f>IF(ISERROR('Eigen informatie GS &amp; warmtenet'!B60),0,'Eigen informatie GS &amp; warmtenet'!B60)</f>
        <v>0</v>
      </c>
      <c r="D5" s="30">
        <f>SUM(D6:D12)</f>
        <v>88406.763025702006</v>
      </c>
      <c r="E5" s="17">
        <f>SUM(E6:E12)</f>
        <v>593.15585656450344</v>
      </c>
      <c r="F5" s="17">
        <f>SUM(F6:F12)</f>
        <v>5751.7502633654394</v>
      </c>
      <c r="G5" s="18"/>
      <c r="H5" s="17"/>
      <c r="I5" s="17"/>
      <c r="J5" s="17">
        <f>SUM(J6:J12)</f>
        <v>0.10499815658669966</v>
      </c>
      <c r="K5" s="17"/>
      <c r="L5" s="17"/>
      <c r="M5" s="17"/>
      <c r="N5" s="17">
        <f>SUM(N6:N12)</f>
        <v>4183.9173548405479</v>
      </c>
      <c r="O5" s="17">
        <f>B38*B39*B40</f>
        <v>4.8972607658411542</v>
      </c>
      <c r="P5" s="17">
        <f>B46*B47*B48/1000-B46*B47*B48/1000/B49</f>
        <v>105.07827661299004</v>
      </c>
      <c r="R5" s="32"/>
    </row>
    <row r="6" spans="1:18">
      <c r="A6" s="32" t="s">
        <v>53</v>
      </c>
      <c r="B6" s="37">
        <f>B26</f>
        <v>15849.162849999999</v>
      </c>
      <c r="C6" s="33"/>
      <c r="D6" s="37">
        <f>IF(ISERROR(TER_kantoor_gas_kWh/1000),0,TER_kantoor_gas_kWh/1000)*0.902</f>
        <v>32867.773065599999</v>
      </c>
      <c r="E6" s="33">
        <f>$C$26*'E Balans VL '!I12/100/3.6*1000000</f>
        <v>127.53313181199634</v>
      </c>
      <c r="F6" s="33">
        <f>$C$26*('E Balans VL '!L12+'E Balans VL '!N12)/100/3.6*1000000</f>
        <v>1937.7268862677799</v>
      </c>
      <c r="G6" s="34"/>
      <c r="H6" s="33"/>
      <c r="I6" s="33"/>
      <c r="J6" s="33">
        <f>$C$26*('E Balans VL '!D12+'E Balans VL '!E12)/100/3.6*1000000</f>
        <v>0</v>
      </c>
      <c r="K6" s="33"/>
      <c r="L6" s="33"/>
      <c r="M6" s="33"/>
      <c r="N6" s="33">
        <f>$C$26*'E Balans VL '!Y12/100/3.6*1000000</f>
        <v>8.5181445450802311</v>
      </c>
      <c r="O6" s="33"/>
      <c r="P6" s="33"/>
      <c r="R6" s="32"/>
    </row>
    <row r="7" spans="1:18">
      <c r="A7" s="32" t="s">
        <v>52</v>
      </c>
      <c r="B7" s="37">
        <f t="shared" ref="B7:B12" si="0">B27</f>
        <v>4026.3118080000004</v>
      </c>
      <c r="C7" s="33"/>
      <c r="D7" s="37">
        <f>IF(ISERROR(TER_horeca_gas_kWh/1000),0,TER_horeca_gas_kWh/1000)*0.902</f>
        <v>6239.883406856</v>
      </c>
      <c r="E7" s="33">
        <f>$C$27*'E Balans VL '!I9/100/3.6*1000000</f>
        <v>43.232701924627982</v>
      </c>
      <c r="F7" s="33">
        <f>$C$27*('E Balans VL '!L9+'E Balans VL '!N9)/100/3.6*1000000</f>
        <v>484.26767770463158</v>
      </c>
      <c r="G7" s="34"/>
      <c r="H7" s="33"/>
      <c r="I7" s="33"/>
      <c r="J7" s="33">
        <f>$C$27*('E Balans VL '!D9+'E Balans VL '!E9)/100/3.6*1000000</f>
        <v>0</v>
      </c>
      <c r="K7" s="33"/>
      <c r="L7" s="33"/>
      <c r="M7" s="33"/>
      <c r="N7" s="33">
        <f>$C$27*'E Balans VL '!Y9/100/3.6*1000000</f>
        <v>0.60362574388545887</v>
      </c>
      <c r="O7" s="33"/>
      <c r="P7" s="33"/>
      <c r="R7" s="32"/>
    </row>
    <row r="8" spans="1:18">
      <c r="A8" s="6" t="s">
        <v>51</v>
      </c>
      <c r="B8" s="37">
        <f t="shared" si="0"/>
        <v>11257.82187</v>
      </c>
      <c r="C8" s="33"/>
      <c r="D8" s="37">
        <f>IF(ISERROR(TER_handel_gas_kWh/1000),0,TER_handel_gas_kWh/1000)*0.902</f>
        <v>10397.251604960002</v>
      </c>
      <c r="E8" s="33">
        <f>$C$28*'E Balans VL '!I13/100/3.6*1000000</f>
        <v>302.12547350348757</v>
      </c>
      <c r="F8" s="33">
        <f>$C$28*('E Balans VL '!L13+'E Balans VL '!N13)/100/3.6*1000000</f>
        <v>1074.3431814146988</v>
      </c>
      <c r="G8" s="34"/>
      <c r="H8" s="33"/>
      <c r="I8" s="33"/>
      <c r="J8" s="33">
        <f>$C$28*('E Balans VL '!D13+'E Balans VL '!E13)/100/3.6*1000000</f>
        <v>0</v>
      </c>
      <c r="K8" s="33"/>
      <c r="L8" s="33"/>
      <c r="M8" s="33"/>
      <c r="N8" s="33">
        <f>$C$28*'E Balans VL '!Y13/100/3.6*1000000</f>
        <v>4.4627285950423357</v>
      </c>
      <c r="O8" s="33"/>
      <c r="P8" s="33"/>
      <c r="R8" s="32"/>
    </row>
    <row r="9" spans="1:18">
      <c r="A9" s="32" t="s">
        <v>50</v>
      </c>
      <c r="B9" s="37">
        <f t="shared" si="0"/>
        <v>9066.0289570000004</v>
      </c>
      <c r="C9" s="33"/>
      <c r="D9" s="37">
        <f>IF(ISERROR(TER_gezond_gas_kWh/1000),0,TER_gezond_gas_kWh/1000)*0.902</f>
        <v>16822.50871378</v>
      </c>
      <c r="E9" s="33">
        <f>$C$29*'E Balans VL '!I10/100/3.6*1000000</f>
        <v>16.992690292634631</v>
      </c>
      <c r="F9" s="33">
        <f>$C$29*('E Balans VL '!L10+'E Balans VL '!N10)/100/3.6*1000000</f>
        <v>745.31030140569464</v>
      </c>
      <c r="G9" s="34"/>
      <c r="H9" s="33"/>
      <c r="I9" s="33"/>
      <c r="J9" s="33">
        <f>$C$29*('E Balans VL '!D10+'E Balans VL '!E10)/100/3.6*1000000</f>
        <v>0</v>
      </c>
      <c r="K9" s="33"/>
      <c r="L9" s="33"/>
      <c r="M9" s="33"/>
      <c r="N9" s="33">
        <f>$C$29*'E Balans VL '!Y10/100/3.6*1000000</f>
        <v>70.540469514993461</v>
      </c>
      <c r="O9" s="33"/>
      <c r="P9" s="33"/>
      <c r="R9" s="32"/>
    </row>
    <row r="10" spans="1:18">
      <c r="A10" s="32" t="s">
        <v>49</v>
      </c>
      <c r="B10" s="37">
        <f t="shared" si="0"/>
        <v>5858.6371040000004</v>
      </c>
      <c r="C10" s="33"/>
      <c r="D10" s="37">
        <f>IF(ISERROR(TER_ander_gas_kWh/1000),0,TER_ander_gas_kWh/1000)*0.902</f>
        <v>6598.7088242240006</v>
      </c>
      <c r="E10" s="33">
        <f>$C$30*'E Balans VL '!I14/100/3.6*1000000</f>
        <v>9.0311484604685131</v>
      </c>
      <c r="F10" s="33">
        <f>$C$30*('E Balans VL '!L14+'E Balans VL '!N14)/100/3.6*1000000</f>
        <v>909.5550277616934</v>
      </c>
      <c r="G10" s="34"/>
      <c r="H10" s="33"/>
      <c r="I10" s="33"/>
      <c r="J10" s="33">
        <f>$C$30*('E Balans VL '!D14+'E Balans VL '!E14)/100/3.6*1000000</f>
        <v>9.9456543504383071E-2</v>
      </c>
      <c r="K10" s="33"/>
      <c r="L10" s="33"/>
      <c r="M10" s="33"/>
      <c r="N10" s="33">
        <f>$C$30*'E Balans VL '!Y14/100/3.6*1000000</f>
        <v>3875.886540096672</v>
      </c>
      <c r="O10" s="33"/>
      <c r="P10" s="33"/>
      <c r="R10" s="32"/>
    </row>
    <row r="11" spans="1:18">
      <c r="A11" s="32" t="s">
        <v>54</v>
      </c>
      <c r="B11" s="37">
        <f t="shared" si="0"/>
        <v>2231.352054</v>
      </c>
      <c r="C11" s="33"/>
      <c r="D11" s="37">
        <f>IF(ISERROR(TER_onderwijs_gas_kWh/1000),0,TER_onderwijs_gas_kWh/1000)*0.902</f>
        <v>9856.1814027600012</v>
      </c>
      <c r="E11" s="33">
        <f>$C$31*'E Balans VL '!I11/100/3.6*1000000</f>
        <v>56.914717637451481</v>
      </c>
      <c r="F11" s="33">
        <f>$C$31*('E Balans VL '!L11+'E Balans VL '!N11)/100/3.6*1000000</f>
        <v>268.34108677882728</v>
      </c>
      <c r="G11" s="34"/>
      <c r="H11" s="33"/>
      <c r="I11" s="33"/>
      <c r="J11" s="33">
        <f>$C$31*('E Balans VL '!D11+'E Balans VL '!E11)/100/3.6*1000000</f>
        <v>0</v>
      </c>
      <c r="K11" s="33"/>
      <c r="L11" s="33"/>
      <c r="M11" s="33"/>
      <c r="N11" s="33">
        <f>$C$31*'E Balans VL '!Y11/100/3.6*1000000</f>
        <v>4.9624725226367428</v>
      </c>
      <c r="O11" s="33"/>
      <c r="P11" s="33"/>
      <c r="R11" s="32"/>
    </row>
    <row r="12" spans="1:18">
      <c r="A12" s="32" t="s">
        <v>259</v>
      </c>
      <c r="B12" s="37">
        <f t="shared" si="0"/>
        <v>2891.6076560000001</v>
      </c>
      <c r="C12" s="33"/>
      <c r="D12" s="37">
        <f>IF(ISERROR(TER_rest_gas_kWh/1000),0,TER_rest_gas_kWh/1000)*0.902</f>
        <v>5624.4560075219997</v>
      </c>
      <c r="E12" s="33">
        <f>$C$32*'E Balans VL '!I8/100/3.6*1000000</f>
        <v>37.325992933836893</v>
      </c>
      <c r="F12" s="33">
        <f>$C$32*('E Balans VL '!L8+'E Balans VL '!N8)/100/3.6*1000000</f>
        <v>332.20610203211453</v>
      </c>
      <c r="G12" s="34"/>
      <c r="H12" s="33"/>
      <c r="I12" s="33"/>
      <c r="J12" s="33">
        <f>$C$32*('E Balans VL '!D8+'E Balans VL '!E8)/100/3.6*1000000</f>
        <v>5.5416130823165858E-3</v>
      </c>
      <c r="K12" s="33"/>
      <c r="L12" s="33"/>
      <c r="M12" s="33"/>
      <c r="N12" s="33">
        <f>$C$32*'E Balans VL '!Y8/100/3.6*1000000</f>
        <v>218.94337382223802</v>
      </c>
      <c r="O12" s="33"/>
      <c r="P12" s="33"/>
      <c r="R12" s="32"/>
    </row>
    <row r="13" spans="1:18">
      <c r="A13" s="16" t="s">
        <v>478</v>
      </c>
      <c r="B13" s="247">
        <f ca="1">'lokale energieproductie'!N39+'lokale energieproductie'!N32</f>
        <v>630.00000000000011</v>
      </c>
      <c r="C13" s="247">
        <f ca="1">'lokale energieproductie'!O39+'lokale energieproductie'!O32</f>
        <v>900.00000000000023</v>
      </c>
      <c r="D13" s="308">
        <f ca="1">('lokale energieproductie'!P32+'lokale energieproductie'!P39)*(-1)</f>
        <v>-1800.0000000000005</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51810.922299000005</v>
      </c>
      <c r="C16" s="21">
        <f t="shared" ca="1" si="1"/>
        <v>900.00000000000023</v>
      </c>
      <c r="D16" s="21">
        <f t="shared" ca="1" si="1"/>
        <v>86606.763025702006</v>
      </c>
      <c r="E16" s="21">
        <f t="shared" si="1"/>
        <v>593.15585656450344</v>
      </c>
      <c r="F16" s="21">
        <f t="shared" ca="1" si="1"/>
        <v>5751.7502633654394</v>
      </c>
      <c r="G16" s="21">
        <f t="shared" si="1"/>
        <v>0</v>
      </c>
      <c r="H16" s="21">
        <f t="shared" si="1"/>
        <v>0</v>
      </c>
      <c r="I16" s="21">
        <f t="shared" si="1"/>
        <v>0</v>
      </c>
      <c r="J16" s="21">
        <f t="shared" si="1"/>
        <v>0.10499815658669966</v>
      </c>
      <c r="K16" s="21">
        <f t="shared" si="1"/>
        <v>0</v>
      </c>
      <c r="L16" s="21">
        <f t="shared" ca="1" si="1"/>
        <v>0</v>
      </c>
      <c r="M16" s="21">
        <f t="shared" si="1"/>
        <v>0</v>
      </c>
      <c r="N16" s="21">
        <f t="shared" ca="1" si="1"/>
        <v>4183.9173548405479</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0.2122125765954043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10994.929316855079</v>
      </c>
      <c r="C20" s="23">
        <f t="shared" ref="C20:P20" ca="1" si="2">C16*C18</f>
        <v>213.88235294117658</v>
      </c>
      <c r="D20" s="23">
        <f t="shared" ca="1" si="2"/>
        <v>17494.566131191805</v>
      </c>
      <c r="E20" s="23">
        <f t="shared" si="2"/>
        <v>134.64637944014228</v>
      </c>
      <c r="F20" s="23">
        <f t="shared" ca="1" si="2"/>
        <v>1535.7173203185723</v>
      </c>
      <c r="G20" s="23">
        <f t="shared" si="2"/>
        <v>0</v>
      </c>
      <c r="H20" s="23">
        <f t="shared" si="2"/>
        <v>0</v>
      </c>
      <c r="I20" s="23">
        <f t="shared" si="2"/>
        <v>0</v>
      </c>
      <c r="J20" s="23">
        <f t="shared" si="2"/>
        <v>3.7169347431691674E-2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15849.162849999999</v>
      </c>
      <c r="C26" s="39">
        <f>IF(ISERROR(B26*3.6/1000000/'E Balans VL '!Z12*100),0,B26*3.6/1000000/'E Balans VL '!Z12*100)</f>
        <v>0.336225489543867</v>
      </c>
      <c r="D26" s="237" t="s">
        <v>708</v>
      </c>
      <c r="F26" s="6"/>
    </row>
    <row r="27" spans="1:18">
      <c r="A27" s="231" t="s">
        <v>52</v>
      </c>
      <c r="B27" s="33">
        <f>IF(ISERROR(TER_horeca_ele_kWh/1000),0,TER_horeca_ele_kWh/1000)</f>
        <v>4026.3118080000004</v>
      </c>
      <c r="C27" s="39">
        <f>IF(ISERROR(B27*3.6/1000000/'E Balans VL '!Z9*100),0,B27*3.6/1000000/'E Balans VL '!Z9*100)</f>
        <v>0.30321694625195406</v>
      </c>
      <c r="D27" s="237" t="s">
        <v>708</v>
      </c>
      <c r="F27" s="6"/>
    </row>
    <row r="28" spans="1:18">
      <c r="A28" s="171" t="s">
        <v>51</v>
      </c>
      <c r="B28" s="33">
        <f>IF(ISERROR(TER_handel_ele_kWh/1000),0,TER_handel_ele_kWh/1000)</f>
        <v>11257.82187</v>
      </c>
      <c r="C28" s="39">
        <f>IF(ISERROR(B28*3.6/1000000/'E Balans VL '!Z13*100),0,B28*3.6/1000000/'E Balans VL '!Z13*100)</f>
        <v>0.32677467931095805</v>
      </c>
      <c r="D28" s="237" t="s">
        <v>708</v>
      </c>
      <c r="F28" s="6"/>
    </row>
    <row r="29" spans="1:18">
      <c r="A29" s="231" t="s">
        <v>50</v>
      </c>
      <c r="B29" s="33">
        <f>IF(ISERROR(TER_gezond_ele_kWh/1000),0,TER_gezond_ele_kWh/1000)</f>
        <v>9066.0289570000004</v>
      </c>
      <c r="C29" s="39">
        <f>IF(ISERROR(B29*3.6/1000000/'E Balans VL '!Z10*100),0,B29*3.6/1000000/'E Balans VL '!Z10*100)</f>
        <v>0.91431983199333144</v>
      </c>
      <c r="D29" s="237" t="s">
        <v>708</v>
      </c>
      <c r="F29" s="6"/>
    </row>
    <row r="30" spans="1:18">
      <c r="A30" s="231" t="s">
        <v>49</v>
      </c>
      <c r="B30" s="33">
        <f>IF(ISERROR(TER_ander_ele_kWh/1000),0,TER_ander_ele_kWh/1000)</f>
        <v>5858.6371040000004</v>
      </c>
      <c r="C30" s="39">
        <f>IF(ISERROR(B30*3.6/1000000/'E Balans VL '!Z14*100),0,B30*3.6/1000000/'E Balans VL '!Z14*100)</f>
        <v>0.42512404836022222</v>
      </c>
      <c r="D30" s="237" t="s">
        <v>708</v>
      </c>
      <c r="F30" s="6"/>
    </row>
    <row r="31" spans="1:18">
      <c r="A31" s="231" t="s">
        <v>54</v>
      </c>
      <c r="B31" s="33">
        <f>IF(ISERROR(TER_onderwijs_ele_kWh/1000),0,TER_onderwijs_ele_kWh/1000)</f>
        <v>2231.352054</v>
      </c>
      <c r="C31" s="39">
        <f>IF(ISERROR(B31*3.6/1000000/'E Balans VL '!Z11*100),0,B31*3.6/1000000/'E Balans VL '!Z11*100)</f>
        <v>0.63602620027663748</v>
      </c>
      <c r="D31" s="237" t="s">
        <v>708</v>
      </c>
    </row>
    <row r="32" spans="1:18">
      <c r="A32" s="231" t="s">
        <v>259</v>
      </c>
      <c r="B32" s="33">
        <f>IF(ISERROR(TER_rest_ele_kWh/1000),0,TER_rest_ele_kWh/1000)</f>
        <v>2891.6076560000001</v>
      </c>
      <c r="C32" s="39">
        <f>IF(ISERROR(B32*3.6/1000000/'E Balans VL '!Z8*100),0,B32*3.6/1000000/'E Balans VL '!Z8*100)</f>
        <v>2.3687460925047855E-2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3474.3824209999993</v>
      </c>
      <c r="C5" s="17">
        <f>IF(ISERROR('Eigen informatie GS &amp; warmtenet'!B61),0,'Eigen informatie GS &amp; warmtenet'!B61)</f>
        <v>0</v>
      </c>
      <c r="D5" s="30">
        <f>SUM(D6:D15)</f>
        <v>4774.2226354019995</v>
      </c>
      <c r="E5" s="17">
        <f>SUM(E6:E15)</f>
        <v>594.69129151381333</v>
      </c>
      <c r="F5" s="17">
        <f>SUM(F6:F15)</f>
        <v>1834.9582191004565</v>
      </c>
      <c r="G5" s="18"/>
      <c r="H5" s="17"/>
      <c r="I5" s="17"/>
      <c r="J5" s="17">
        <f>SUM(J6:J15)</f>
        <v>32.183523354906001</v>
      </c>
      <c r="K5" s="17"/>
      <c r="L5" s="17"/>
      <c r="M5" s="17"/>
      <c r="N5" s="17">
        <f>SUM(N6:N15)</f>
        <v>206.54912655531862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149.83420699999999</v>
      </c>
      <c r="C8" s="33"/>
      <c r="D8" s="37">
        <f>IF( ISERROR(IND_metaal_Gas_kWH/1000),0,IND_metaal_Gas_kWH/1000)*0.902</f>
        <v>0</v>
      </c>
      <c r="E8" s="33">
        <f>C30*'E Balans VL '!I18/100/3.6*1000000</f>
        <v>1.080948640029995</v>
      </c>
      <c r="F8" s="33">
        <f>C30*'E Balans VL '!L18/100/3.6*1000000+C30*'E Balans VL '!N18/100/3.6*1000000</f>
        <v>14.171553232954093</v>
      </c>
      <c r="G8" s="34"/>
      <c r="H8" s="33"/>
      <c r="I8" s="33"/>
      <c r="J8" s="40">
        <f>C30*'E Balans VL '!D18/100/3.6*1000000+C30*'E Balans VL '!E18/100/3.6*1000000</f>
        <v>0.1507041161168616</v>
      </c>
      <c r="K8" s="33"/>
      <c r="L8" s="33"/>
      <c r="M8" s="33"/>
      <c r="N8" s="33">
        <f>C30*'E Balans VL '!Y18/100/3.6*1000000</f>
        <v>1.8943007986543676</v>
      </c>
      <c r="O8" s="33"/>
      <c r="P8" s="33"/>
      <c r="R8" s="32"/>
    </row>
    <row r="9" spans="1:18">
      <c r="A9" s="6" t="s">
        <v>32</v>
      </c>
      <c r="B9" s="37">
        <f t="shared" si="0"/>
        <v>2110.9870129999999</v>
      </c>
      <c r="C9" s="33"/>
      <c r="D9" s="37">
        <f>IF( ISERROR(IND_andere_gas_kWh/1000),0,IND_andere_gas_kWh/1000)*0.902</f>
        <v>2980.3709904980001</v>
      </c>
      <c r="E9" s="33">
        <f>C31*'E Balans VL '!I19/100/3.6*1000000</f>
        <v>584.9827287350596</v>
      </c>
      <c r="F9" s="33">
        <f>C31*'E Balans VL '!L19/100/3.6*1000000+C31*'E Balans VL '!N19/100/3.6*1000000</f>
        <v>1749.5905982524932</v>
      </c>
      <c r="G9" s="34"/>
      <c r="H9" s="33"/>
      <c r="I9" s="33"/>
      <c r="J9" s="40">
        <f>C31*'E Balans VL '!D19/100/3.6*1000000+C31*'E Balans VL '!E19/100/3.6*1000000</f>
        <v>0</v>
      </c>
      <c r="K9" s="33"/>
      <c r="L9" s="33"/>
      <c r="M9" s="33"/>
      <c r="N9" s="33">
        <f>C31*'E Balans VL '!Y19/100/3.6*1000000</f>
        <v>153.2318369773846</v>
      </c>
      <c r="O9" s="33"/>
      <c r="P9" s="33"/>
      <c r="R9" s="32"/>
    </row>
    <row r="10" spans="1:18">
      <c r="A10" s="6" t="s">
        <v>40</v>
      </c>
      <c r="B10" s="37">
        <f t="shared" si="0"/>
        <v>787.38311600000009</v>
      </c>
      <c r="C10" s="33"/>
      <c r="D10" s="37">
        <f>IF( ISERROR(IND_voed_gas_kWh/1000),0,IND_voed_gas_kWh/1000)*0.902</f>
        <v>1204.6954591980002</v>
      </c>
      <c r="E10" s="33">
        <f>C32*'E Balans VL '!I20/100/3.6*1000000</f>
        <v>1.3939348190805314</v>
      </c>
      <c r="F10" s="33">
        <f>C32*'E Balans VL '!L20/100/3.6*1000000+C32*'E Balans VL '!N20/100/3.6*1000000</f>
        <v>42.525666777958811</v>
      </c>
      <c r="G10" s="34"/>
      <c r="H10" s="33"/>
      <c r="I10" s="33"/>
      <c r="J10" s="40">
        <f>C32*'E Balans VL '!D20/100/3.6*1000000+C32*'E Balans VL '!E20/100/3.6*1000000</f>
        <v>0</v>
      </c>
      <c r="K10" s="33"/>
      <c r="L10" s="33"/>
      <c r="M10" s="33"/>
      <c r="N10" s="33">
        <f>C32*'E Balans VL '!Y20/100/3.6*1000000</f>
        <v>45.75297235938821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281.894724</v>
      </c>
      <c r="C13" s="33"/>
      <c r="D13" s="37">
        <f>IF( ISERROR(IND_papier_gas_kWh/1000),0,IND_papier_gas_kWh/1000)*0.902</f>
        <v>91.670150858</v>
      </c>
      <c r="E13" s="33">
        <f>C35*'E Balans VL '!I23/100/3.6*1000000</f>
        <v>0.41476393606396433</v>
      </c>
      <c r="F13" s="33">
        <f>C35*'E Balans VL '!L23/100/3.6*1000000+C35*'E Balans VL '!N23/100/3.6*1000000</f>
        <v>3.0183332183678897</v>
      </c>
      <c r="G13" s="34"/>
      <c r="H13" s="33"/>
      <c r="I13" s="33"/>
      <c r="J13" s="40">
        <f>C35*'E Balans VL '!D23/100/3.6*1000000+C35*'E Balans VL '!E23/100/3.6*1000000</f>
        <v>30.840863588491153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144.28336100000001</v>
      </c>
      <c r="C15" s="33"/>
      <c r="D15" s="37">
        <f>IF( ISERROR(IND_rest_gas_kWh/1000),0,IND_rest_gas_kWh/1000)*0.902</f>
        <v>497.48603484799997</v>
      </c>
      <c r="E15" s="33">
        <f>C37*'E Balans VL '!I15/100/3.6*1000000</f>
        <v>6.8189153835792213</v>
      </c>
      <c r="F15" s="33">
        <f>C37*'E Balans VL '!L15/100/3.6*1000000+C37*'E Balans VL '!N15/100/3.6*1000000</f>
        <v>25.652067618682654</v>
      </c>
      <c r="G15" s="34"/>
      <c r="H15" s="33"/>
      <c r="I15" s="33"/>
      <c r="J15" s="40">
        <f>C37*'E Balans VL '!D15/100/3.6*1000000+C37*'E Balans VL '!E15/100/3.6*1000000</f>
        <v>1.191955650297986</v>
      </c>
      <c r="K15" s="33"/>
      <c r="L15" s="33"/>
      <c r="M15" s="33"/>
      <c r="N15" s="33">
        <f>C37*'E Balans VL '!Y15/100/3.6*1000000</f>
        <v>5.6700164198914269</v>
      </c>
      <c r="O15" s="33"/>
      <c r="P15" s="33"/>
      <c r="R15" s="32"/>
    </row>
    <row r="16" spans="1:18">
      <c r="A16" s="16" t="s">
        <v>478</v>
      </c>
      <c r="B16" s="247">
        <f>'lokale energieproductie'!N38+'lokale energieproductie'!N31</f>
        <v>241.65000000000003</v>
      </c>
      <c r="C16" s="247">
        <f>'lokale energieproductie'!O38+'lokale energieproductie'!O31</f>
        <v>345.21428571428578</v>
      </c>
      <c r="D16" s="308">
        <f>('lokale energieproductie'!P31+'lokale energieproductie'!P38)*(-1)</f>
        <v>-690.42857142857156</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3716.0324209999994</v>
      </c>
      <c r="C18" s="21">
        <f>C5+C16</f>
        <v>345.21428571428578</v>
      </c>
      <c r="D18" s="21">
        <f>MAX((D5+D16),0)</f>
        <v>4083.7940639734279</v>
      </c>
      <c r="E18" s="21">
        <f>MAX((E5+E16),0)</f>
        <v>594.69129151381333</v>
      </c>
      <c r="F18" s="21">
        <f>MAX((F5+F16),0)</f>
        <v>1834.9582191004565</v>
      </c>
      <c r="G18" s="21"/>
      <c r="H18" s="21"/>
      <c r="I18" s="21"/>
      <c r="J18" s="21">
        <f>MAX((J5+J16),0)</f>
        <v>32.183523354906001</v>
      </c>
      <c r="K18" s="21"/>
      <c r="L18" s="21">
        <f>MAX((L5+L16),0)</f>
        <v>0</v>
      </c>
      <c r="M18" s="21"/>
      <c r="N18" s="21">
        <f>MAX((N5+N16),0)</f>
        <v>206.54912655531862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0.2122125765954043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788.58881477246803</v>
      </c>
      <c r="C22" s="23">
        <f ca="1">C18*C20</f>
        <v>82.039159663865576</v>
      </c>
      <c r="D22" s="23">
        <f>D18*D20</f>
        <v>824.92640092263252</v>
      </c>
      <c r="E22" s="23">
        <f>E18*E20</f>
        <v>134.99492317363564</v>
      </c>
      <c r="F22" s="23">
        <f>F18*F20</f>
        <v>489.93384449982193</v>
      </c>
      <c r="G22" s="23"/>
      <c r="H22" s="23"/>
      <c r="I22" s="23"/>
      <c r="J22" s="23">
        <f>J18*J20</f>
        <v>11.392967267636724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149.83420699999999</v>
      </c>
      <c r="C30" s="39">
        <f>IF(ISERROR(B30*3.6/1000000/'E Balans VL '!Z18*100),0,B30*3.6/1000000/'E Balans VL '!Z18*100)</f>
        <v>8.6496949766545518E-3</v>
      </c>
      <c r="D30" s="237" t="s">
        <v>708</v>
      </c>
    </row>
    <row r="31" spans="1:18">
      <c r="A31" s="6" t="s">
        <v>32</v>
      </c>
      <c r="B31" s="37">
        <f>IF( ISERROR(IND_ander_ele_kWh/1000),0,IND_ander_ele_kWh/1000)</f>
        <v>2110.9870129999999</v>
      </c>
      <c r="C31" s="39">
        <f>IF(ISERROR(B31*3.6/1000000/'E Balans VL '!Z19*100),0,B31*3.6/1000000/'E Balans VL '!Z19*100)</f>
        <v>0.10617580425444562</v>
      </c>
      <c r="D31" s="237" t="s">
        <v>708</v>
      </c>
    </row>
    <row r="32" spans="1:18">
      <c r="A32" s="171" t="s">
        <v>40</v>
      </c>
      <c r="B32" s="37">
        <f>IF( ISERROR(IND_voed_ele_kWh/1000),0,IND_voed_ele_kWh/1000)</f>
        <v>787.38311600000009</v>
      </c>
      <c r="C32" s="39">
        <f>IF(ISERROR(B32*3.6/1000000/'E Balans VL '!Z20*100),0,B32*3.6/1000000/'E Balans VL '!Z20*100)</f>
        <v>2.6224533439081044E-2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281.894724</v>
      </c>
      <c r="C35" s="39">
        <f>IF(ISERROR(B35*3.6/1000000/'E Balans VL '!Z22*100),0,B35*3.6/1000000/'E Balans VL '!Z22*100)</f>
        <v>5.2582887403193092E-2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144.28336100000001</v>
      </c>
      <c r="C37" s="39">
        <f>IF(ISERROR(B37*3.6/1000000/'E Balans VL '!Z15*100),0,B37*3.6/1000000/'E Balans VL '!Z15*100)</f>
        <v>1.1258047775796376E-3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131.335005</v>
      </c>
      <c r="C5" s="17">
        <f>'Eigen informatie GS &amp; warmtenet'!B62</f>
        <v>0</v>
      </c>
      <c r="D5" s="30">
        <f>IF(ISERROR(SUM(LB_lb_gas_kWh,LB_rest_gas_kWh)/1000),0,SUM(LB_lb_gas_kWh,LB_rest_gas_kWh)/1000)*0.902</f>
        <v>400.045136942</v>
      </c>
      <c r="E5" s="17">
        <f>B17*'E Balans VL '!I25/3.6*1000000/100</f>
        <v>4.0989221971082825</v>
      </c>
      <c r="F5" s="17">
        <f>B17*('E Balans VL '!L25/3.6*1000000+'E Balans VL '!N25/3.6*1000000)/100</f>
        <v>464.15245656938276</v>
      </c>
      <c r="G5" s="18"/>
      <c r="H5" s="17"/>
      <c r="I5" s="17"/>
      <c r="J5" s="17">
        <f>('E Balans VL '!D25+'E Balans VL '!E25)/3.6*1000000*landbouw!B17/100</f>
        <v>36.183704677777477</v>
      </c>
      <c r="K5" s="17"/>
      <c r="L5" s="17">
        <f>L6*(-1)</f>
        <v>0</v>
      </c>
      <c r="M5" s="17"/>
      <c r="N5" s="17">
        <f>N6*(-1)</f>
        <v>0</v>
      </c>
      <c r="O5" s="17"/>
      <c r="P5" s="17"/>
      <c r="R5" s="32"/>
    </row>
    <row r="6" spans="1:18">
      <c r="A6" s="16" t="s">
        <v>478</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131.335005</v>
      </c>
      <c r="C8" s="21">
        <f>C5+C6</f>
        <v>0</v>
      </c>
      <c r="D8" s="21">
        <f>MAX((D5+D6),0)</f>
        <v>400.045136942</v>
      </c>
      <c r="E8" s="21">
        <f>MAX((E5+E6),0)</f>
        <v>4.0989221971082825</v>
      </c>
      <c r="F8" s="21">
        <f>MAX((F5+F6),0)</f>
        <v>464.15245656938276</v>
      </c>
      <c r="G8" s="21"/>
      <c r="H8" s="21"/>
      <c r="I8" s="21"/>
      <c r="J8" s="21">
        <f>MAX((J5+J6),0)</f>
        <v>36.183704677777477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0.2122125765954043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27.870939808220307</v>
      </c>
      <c r="C12" s="23">
        <f ca="1">C8*C10</f>
        <v>0</v>
      </c>
      <c r="D12" s="23">
        <f>D8*D10</f>
        <v>80.809117662284009</v>
      </c>
      <c r="E12" s="23">
        <f>E8*E10</f>
        <v>0.93045533874358022</v>
      </c>
      <c r="F12" s="23">
        <f>F8*F10</f>
        <v>123.92870590402521</v>
      </c>
      <c r="G12" s="23"/>
      <c r="H12" s="23"/>
      <c r="I12" s="23"/>
      <c r="J12" s="23">
        <f>J8*J10</f>
        <v>12.809031455933226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1.9523889991746625E-2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3.661705214201191</v>
      </c>
      <c r="C26" s="247">
        <f>B26*'GWP N2O_CH4'!B5</f>
        <v>76.895809498225006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0.30399759099318413</v>
      </c>
      <c r="C27" s="247">
        <f>B27*'GWP N2O_CH4'!B5</f>
        <v>6.3839494108568671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2.4449276428179231E-2</v>
      </c>
      <c r="C28" s="247">
        <f>B28*'GWP N2O_CH4'!B4</f>
        <v>7.5792756927355613</v>
      </c>
      <c r="D28" s="50"/>
    </row>
    <row r="29" spans="1:4">
      <c r="A29" s="41" t="s">
        <v>276</v>
      </c>
      <c r="B29" s="247">
        <f>B34*'ha_N2O bodem landbouw'!B4</f>
        <v>1.9791723202922877</v>
      </c>
      <c r="C29" s="247">
        <f>B29*'GWP N2O_CH4'!B4</f>
        <v>613.54341929060922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4.3399685564370018E-4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3.4666694036850277E-4</v>
      </c>
      <c r="C5" s="437" t="s">
        <v>210</v>
      </c>
      <c r="D5" s="422">
        <f>SUM(D6:D11)</f>
        <v>1.3185500172859014E-3</v>
      </c>
      <c r="E5" s="422">
        <f>SUM(E6:E11)</f>
        <v>1.140251261098042E-3</v>
      </c>
      <c r="F5" s="435" t="s">
        <v>210</v>
      </c>
      <c r="G5" s="422">
        <f>SUM(G6:G11)</f>
        <v>0.48093333412781353</v>
      </c>
      <c r="H5" s="422">
        <f>SUM(H6:H11)</f>
        <v>0.12340303904697303</v>
      </c>
      <c r="I5" s="437" t="s">
        <v>210</v>
      </c>
      <c r="J5" s="437" t="s">
        <v>210</v>
      </c>
      <c r="K5" s="437" t="s">
        <v>210</v>
      </c>
      <c r="L5" s="437" t="s">
        <v>210</v>
      </c>
      <c r="M5" s="422">
        <f>SUM(M6:M11)</f>
        <v>3.5892430450930282E-2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2.0714734209966113E-4</v>
      </c>
      <c r="C6" s="423"/>
      <c r="D6" s="890">
        <f>vkm_GW_PW*SUMIFS(TableVerdeelsleutelVkm[CNG],TableVerdeelsleutelVkm[Voertuigtype],"Lichte voertuigen")*SUMIFS(TableECFTransport[EnergieConsumptieFactor (PJ per km)],TableECFTransport[Index],CONCATENATE($A6,"_CNG_CNG"))</f>
        <v>6.6730494593105697E-4</v>
      </c>
      <c r="E6" s="890">
        <f>vkm_GW_PW*SUMIFS(TableVerdeelsleutelVkm[LPG],TableVerdeelsleutelVkm[Voertuigtype],"Lichte voertuigen")*SUMIFS(TableECFTransport[EnergieConsumptieFactor (PJ per km)],TableECFTransport[Index],CONCATENATE($A6,"_LPG_LPG"))</f>
        <v>5.7066357975701519E-4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0.18435254949454977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6.2512818897186032E-2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1.4765433138701073E-2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6.2527020966990768E-2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8.9408025762668813E-7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3.6042079481697449E-3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9.0057712377973162E-5</v>
      </c>
      <c r="C8" s="423"/>
      <c r="D8" s="425">
        <f>vkm_NGW_PW*SUMIFS(TableVerdeelsleutelVkm[CNG],TableVerdeelsleutelVkm[Voertuigtype],"Lichte voertuigen")*SUMIFS(TableECFTransport[EnergieConsumptieFactor (PJ per km)],TableECFTransport[Index],CONCATENATE($A8,"_CNG_CNG"))</f>
        <v>4.9153191905091482E-4</v>
      </c>
      <c r="E8" s="425">
        <f>vkm_NGW_PW*SUMIFS(TableVerdeelsleutelVkm[LPG],TableVerdeelsleutelVkm[Voertuigtype],"Lichte voertuigen")*SUMIFS(TableECFTransport[EnergieConsumptieFactor (PJ per km)],TableECFTransport[Index],CONCATENATE($A8,"_LPG_LPG"))</f>
        <v>3.9939862314055362E-4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0.12056650710079012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4.5276893628421078E-2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9.9474917875702843E-3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5.0411513393647514E-3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9.1395352749356322E-8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2.905853724355113E-4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4.9461885890868448E-5</v>
      </c>
      <c r="C10" s="423"/>
      <c r="D10" s="425">
        <f>vkm_SW_PW*SUMIFS(TableVerdeelsleutelVkm[CNG],TableVerdeelsleutelVkm[Voertuigtype],"Lichte voertuigen")*SUMIFS(TableECFTransport[EnergieConsumptieFactor (PJ per km)],TableECFTransport[Index],CONCATENATE($A10,"_CNG_CNG"))</f>
        <v>1.5971315230392955E-4</v>
      </c>
      <c r="E10" s="425">
        <f>vkm_SW_PW*SUMIFS(TableVerdeelsleutelVkm[LPG],TableVerdeelsleutelVkm[Voertuigtype],"Lichte voertuigen")*SUMIFS(TableECFTransport[EnergieConsumptieFactor (PJ per km)],TableECFTransport[Index],CONCATENATE($A10,"_LPG_LPG"))</f>
        <v>1.7018905820047317E-4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4.8986361428868544E-2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1.5611432582768106E-2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3.8573056364718068E-3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5.9459743797249671E-2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9.0846298745241444E-7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3.4274065675818604E-3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96.296372324584098</v>
      </c>
      <c r="C14" s="21"/>
      <c r="D14" s="21">
        <f t="shared" ref="D14:M14" si="0">((D5)*10^9/3600)+D12</f>
        <v>366.26389369052816</v>
      </c>
      <c r="E14" s="21">
        <f t="shared" si="0"/>
        <v>316.73646141612272</v>
      </c>
      <c r="F14" s="21"/>
      <c r="G14" s="21">
        <f t="shared" si="0"/>
        <v>133592.59281328155</v>
      </c>
      <c r="H14" s="21">
        <f t="shared" si="0"/>
        <v>34278.621957492513</v>
      </c>
      <c r="I14" s="21"/>
      <c r="J14" s="21"/>
      <c r="K14" s="21"/>
      <c r="L14" s="21"/>
      <c r="M14" s="21">
        <f t="shared" si="0"/>
        <v>9970.1195697028561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0.2122125765954043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20.435301287790374</v>
      </c>
      <c r="C18" s="23"/>
      <c r="D18" s="23">
        <f t="shared" ref="D18:M18" si="1">D14*D16</f>
        <v>73.985306525486692</v>
      </c>
      <c r="E18" s="23">
        <f t="shared" si="1"/>
        <v>71.899176741459854</v>
      </c>
      <c r="F18" s="23"/>
      <c r="G18" s="23">
        <f t="shared" si="1"/>
        <v>35669.222281146176</v>
      </c>
      <c r="H18" s="23">
        <f t="shared" si="1"/>
        <v>8535.3768674156363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1.235925113686524E-2</v>
      </c>
      <c r="H50" s="319">
        <f t="shared" si="2"/>
        <v>0</v>
      </c>
      <c r="I50" s="319">
        <f t="shared" si="2"/>
        <v>0</v>
      </c>
      <c r="J50" s="319">
        <f t="shared" si="2"/>
        <v>0</v>
      </c>
      <c r="K50" s="319">
        <f t="shared" si="2"/>
        <v>0</v>
      </c>
      <c r="L50" s="319">
        <f t="shared" si="2"/>
        <v>0</v>
      </c>
      <c r="M50" s="319">
        <f t="shared" si="2"/>
        <v>6.8682047144496953E-4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1.235925113686524E-2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6.8682047144496953E-4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3433.1253157959</v>
      </c>
      <c r="H54" s="21">
        <f t="shared" si="3"/>
        <v>0</v>
      </c>
      <c r="I54" s="21">
        <f t="shared" si="3"/>
        <v>0</v>
      </c>
      <c r="J54" s="21">
        <f t="shared" si="3"/>
        <v>0</v>
      </c>
      <c r="K54" s="21">
        <f t="shared" si="3"/>
        <v>0</v>
      </c>
      <c r="L54" s="21">
        <f t="shared" si="3"/>
        <v>0</v>
      </c>
      <c r="M54" s="21">
        <f t="shared" si="3"/>
        <v>190.78346429026931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0.2122125765954043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916.64445931750538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53692.060299000004</v>
      </c>
      <c r="D10" s="686">
        <f ca="1">tertiair!C16</f>
        <v>900.00000000000023</v>
      </c>
      <c r="E10" s="686">
        <f ca="1">tertiair!D16</f>
        <v>86606.763025702006</v>
      </c>
      <c r="F10" s="686">
        <f>tertiair!E16</f>
        <v>593.15585656450344</v>
      </c>
      <c r="G10" s="686">
        <f ca="1">tertiair!F16</f>
        <v>5751.7502633654394</v>
      </c>
      <c r="H10" s="686">
        <f>tertiair!G16</f>
        <v>0</v>
      </c>
      <c r="I10" s="686">
        <f>tertiair!H16</f>
        <v>0</v>
      </c>
      <c r="J10" s="686">
        <f>tertiair!I16</f>
        <v>0</v>
      </c>
      <c r="K10" s="686">
        <f>tertiair!J16</f>
        <v>0.10499815658669966</v>
      </c>
      <c r="L10" s="686">
        <f>tertiair!K16</f>
        <v>0</v>
      </c>
      <c r="M10" s="686">
        <f ca="1">tertiair!L16</f>
        <v>0</v>
      </c>
      <c r="N10" s="686">
        <f>tertiair!M16</f>
        <v>0</v>
      </c>
      <c r="O10" s="686">
        <f ca="1">tertiair!N16</f>
        <v>4183.9173548405479</v>
      </c>
      <c r="P10" s="686">
        <f>tertiair!O16</f>
        <v>4.8972607658411542</v>
      </c>
      <c r="Q10" s="687">
        <f>tertiair!P16</f>
        <v>105.07827661299004</v>
      </c>
      <c r="R10" s="689">
        <f ca="1">SUM(C10:Q10)</f>
        <v>151837.72733500792</v>
      </c>
      <c r="S10" s="67"/>
    </row>
    <row r="11" spans="1:19" s="448" customFormat="1">
      <c r="A11" s="808" t="s">
        <v>224</v>
      </c>
      <c r="B11" s="813"/>
      <c r="C11" s="686">
        <f>huishoudens!B8</f>
        <v>68569.482014391557</v>
      </c>
      <c r="D11" s="686">
        <f>huishoudens!C8</f>
        <v>0</v>
      </c>
      <c r="E11" s="686">
        <f>huishoudens!D8</f>
        <v>238050.47416616403</v>
      </c>
      <c r="F11" s="686">
        <f>huishoudens!E8</f>
        <v>3693.8957355990847</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16193.433966322629</v>
      </c>
      <c r="P11" s="686">
        <f>huishoudens!O8</f>
        <v>384.88789456108412</v>
      </c>
      <c r="Q11" s="687">
        <f>huishoudens!P8</f>
        <v>842.71674461480166</v>
      </c>
      <c r="R11" s="689">
        <f>SUM(C11:Q11)</f>
        <v>327734.89052165323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3716.0324209999994</v>
      </c>
      <c r="D13" s="686">
        <f>industrie!C18</f>
        <v>345.21428571428578</v>
      </c>
      <c r="E13" s="686">
        <f>industrie!D18</f>
        <v>4083.7940639734279</v>
      </c>
      <c r="F13" s="686">
        <f>industrie!E18</f>
        <v>594.69129151381333</v>
      </c>
      <c r="G13" s="686">
        <f>industrie!F18</f>
        <v>1834.9582191004565</v>
      </c>
      <c r="H13" s="686">
        <f>industrie!G18</f>
        <v>0</v>
      </c>
      <c r="I13" s="686">
        <f>industrie!H18</f>
        <v>0</v>
      </c>
      <c r="J13" s="686">
        <f>industrie!I18</f>
        <v>0</v>
      </c>
      <c r="K13" s="686">
        <f>industrie!J18</f>
        <v>32.183523354906001</v>
      </c>
      <c r="L13" s="686">
        <f>industrie!K18</f>
        <v>0</v>
      </c>
      <c r="M13" s="686">
        <f>industrie!L18</f>
        <v>0</v>
      </c>
      <c r="N13" s="686">
        <f>industrie!M18</f>
        <v>0</v>
      </c>
      <c r="O13" s="686">
        <f>industrie!N18</f>
        <v>206.54912655531862</v>
      </c>
      <c r="P13" s="686">
        <f>industrie!O18</f>
        <v>0</v>
      </c>
      <c r="Q13" s="687">
        <f>industrie!P18</f>
        <v>0</v>
      </c>
      <c r="R13" s="689">
        <f>SUM(C13:Q13)</f>
        <v>10813.42293121221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125977.57473439156</v>
      </c>
      <c r="D16" s="722">
        <f t="shared" ref="D16:R16" ca="1" si="0">SUM(D9:D15)</f>
        <v>1245.214285714286</v>
      </c>
      <c r="E16" s="722">
        <f t="shared" ca="1" si="0"/>
        <v>328741.03125583945</v>
      </c>
      <c r="F16" s="722">
        <f t="shared" si="0"/>
        <v>4881.7428836774016</v>
      </c>
      <c r="G16" s="722">
        <f t="shared" ca="1" si="0"/>
        <v>7586.7084824658959</v>
      </c>
      <c r="H16" s="722">
        <f t="shared" si="0"/>
        <v>0</v>
      </c>
      <c r="I16" s="722">
        <f t="shared" si="0"/>
        <v>0</v>
      </c>
      <c r="J16" s="722">
        <f t="shared" si="0"/>
        <v>0</v>
      </c>
      <c r="K16" s="722">
        <f t="shared" si="0"/>
        <v>32.288521511492704</v>
      </c>
      <c r="L16" s="722">
        <f t="shared" si="0"/>
        <v>0</v>
      </c>
      <c r="M16" s="722">
        <f t="shared" ca="1" si="0"/>
        <v>0</v>
      </c>
      <c r="N16" s="722">
        <f t="shared" si="0"/>
        <v>0</v>
      </c>
      <c r="O16" s="722">
        <f t="shared" ca="1" si="0"/>
        <v>20583.900447718494</v>
      </c>
      <c r="P16" s="722">
        <f t="shared" si="0"/>
        <v>389.78515532692529</v>
      </c>
      <c r="Q16" s="722">
        <f t="shared" si="0"/>
        <v>947.79502122779172</v>
      </c>
      <c r="R16" s="722">
        <f t="shared" ca="1" si="0"/>
        <v>490386.04078787338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3433.1253157959</v>
      </c>
      <c r="I19" s="686">
        <f>transport!H54</f>
        <v>0</v>
      </c>
      <c r="J19" s="686">
        <f>transport!I54</f>
        <v>0</v>
      </c>
      <c r="K19" s="686">
        <f>transport!J54</f>
        <v>0</v>
      </c>
      <c r="L19" s="686">
        <f>transport!K54</f>
        <v>0</v>
      </c>
      <c r="M19" s="686">
        <f>transport!L54</f>
        <v>0</v>
      </c>
      <c r="N19" s="686">
        <f>transport!M54</f>
        <v>190.78346429026931</v>
      </c>
      <c r="O19" s="686">
        <f>transport!N54</f>
        <v>0</v>
      </c>
      <c r="P19" s="686">
        <f>transport!O54</f>
        <v>0</v>
      </c>
      <c r="Q19" s="687">
        <f>transport!P54</f>
        <v>0</v>
      </c>
      <c r="R19" s="689">
        <f>SUM(C19:Q19)</f>
        <v>3623.9087800861694</v>
      </c>
      <c r="S19" s="67"/>
    </row>
    <row r="20" spans="1:19" s="448" customFormat="1">
      <c r="A20" s="808" t="s">
        <v>306</v>
      </c>
      <c r="B20" s="813"/>
      <c r="C20" s="686">
        <f>transport!B14</f>
        <v>96.296372324584098</v>
      </c>
      <c r="D20" s="686">
        <f>transport!C14</f>
        <v>0</v>
      </c>
      <c r="E20" s="686">
        <f>transport!D14</f>
        <v>366.26389369052816</v>
      </c>
      <c r="F20" s="686">
        <f>transport!E14</f>
        <v>316.73646141612272</v>
      </c>
      <c r="G20" s="686">
        <f>transport!F14</f>
        <v>0</v>
      </c>
      <c r="H20" s="686">
        <f>transport!G14</f>
        <v>133592.59281328155</v>
      </c>
      <c r="I20" s="686">
        <f>transport!H14</f>
        <v>34278.621957492513</v>
      </c>
      <c r="J20" s="686">
        <f>transport!I14</f>
        <v>0</v>
      </c>
      <c r="K20" s="686">
        <f>transport!J14</f>
        <v>0</v>
      </c>
      <c r="L20" s="686">
        <f>transport!K14</f>
        <v>0</v>
      </c>
      <c r="M20" s="686">
        <f>transport!L14</f>
        <v>0</v>
      </c>
      <c r="N20" s="686">
        <f>transport!M14</f>
        <v>9970.1195697028561</v>
      </c>
      <c r="O20" s="686">
        <f>transport!N14</f>
        <v>0</v>
      </c>
      <c r="P20" s="686">
        <f>transport!O14</f>
        <v>0</v>
      </c>
      <c r="Q20" s="687">
        <f>transport!P14</f>
        <v>0</v>
      </c>
      <c r="R20" s="689">
        <f>SUM(C20:Q20)</f>
        <v>178620.63106790817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96.296372324584098</v>
      </c>
      <c r="D22" s="811">
        <f t="shared" ref="D22:R22" si="1">SUM(D18:D21)</f>
        <v>0</v>
      </c>
      <c r="E22" s="811">
        <f t="shared" si="1"/>
        <v>366.26389369052816</v>
      </c>
      <c r="F22" s="811">
        <f t="shared" si="1"/>
        <v>316.73646141612272</v>
      </c>
      <c r="G22" s="811">
        <f t="shared" si="1"/>
        <v>0</v>
      </c>
      <c r="H22" s="811">
        <f t="shared" si="1"/>
        <v>137025.71812907746</v>
      </c>
      <c r="I22" s="811">
        <f t="shared" si="1"/>
        <v>34278.621957492513</v>
      </c>
      <c r="J22" s="811">
        <f t="shared" si="1"/>
        <v>0</v>
      </c>
      <c r="K22" s="811">
        <f t="shared" si="1"/>
        <v>0</v>
      </c>
      <c r="L22" s="811">
        <f t="shared" si="1"/>
        <v>0</v>
      </c>
      <c r="M22" s="811">
        <f t="shared" si="1"/>
        <v>0</v>
      </c>
      <c r="N22" s="811">
        <f t="shared" si="1"/>
        <v>10160.903033993125</v>
      </c>
      <c r="O22" s="811">
        <f t="shared" si="1"/>
        <v>0</v>
      </c>
      <c r="P22" s="811">
        <f t="shared" si="1"/>
        <v>0</v>
      </c>
      <c r="Q22" s="811">
        <f t="shared" si="1"/>
        <v>0</v>
      </c>
      <c r="R22" s="811">
        <f t="shared" si="1"/>
        <v>182244.53984799434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131.335005</v>
      </c>
      <c r="D24" s="686">
        <f>+landbouw!C8</f>
        <v>0</v>
      </c>
      <c r="E24" s="686">
        <f>+landbouw!D8</f>
        <v>400.045136942</v>
      </c>
      <c r="F24" s="686">
        <f>+landbouw!E8</f>
        <v>4.0989221971082825</v>
      </c>
      <c r="G24" s="686">
        <f>+landbouw!F8</f>
        <v>464.15245656938276</v>
      </c>
      <c r="H24" s="686">
        <f>+landbouw!G8</f>
        <v>0</v>
      </c>
      <c r="I24" s="686">
        <f>+landbouw!H8</f>
        <v>0</v>
      </c>
      <c r="J24" s="686">
        <f>+landbouw!I8</f>
        <v>0</v>
      </c>
      <c r="K24" s="686">
        <f>+landbouw!J8</f>
        <v>36.183704677777477</v>
      </c>
      <c r="L24" s="686">
        <f>+landbouw!K8</f>
        <v>0</v>
      </c>
      <c r="M24" s="686">
        <f>+landbouw!L8</f>
        <v>0</v>
      </c>
      <c r="N24" s="686">
        <f>+landbouw!M8</f>
        <v>0</v>
      </c>
      <c r="O24" s="686">
        <f>+landbouw!N8</f>
        <v>0</v>
      </c>
      <c r="P24" s="686">
        <f>+landbouw!O8</f>
        <v>0</v>
      </c>
      <c r="Q24" s="687">
        <f>+landbouw!P8</f>
        <v>0</v>
      </c>
      <c r="R24" s="689">
        <f>SUM(C24:Q24)</f>
        <v>1035.8152253862686</v>
      </c>
      <c r="S24" s="67"/>
    </row>
    <row r="25" spans="1:19" s="448" customFormat="1" ht="15" thickBot="1">
      <c r="A25" s="830" t="s">
        <v>724</v>
      </c>
      <c r="B25" s="949"/>
      <c r="C25" s="950">
        <f>IF(Onbekend_ele_kWh="---",0,Onbekend_ele_kWh)/1000+IF(REST_rest_ele_kWh="---",0,REST_rest_ele_kWh)/1000</f>
        <v>3097.977398</v>
      </c>
      <c r="D25" s="950"/>
      <c r="E25" s="950">
        <f>IF(onbekend_gas_kWh="---",0,onbekend_gas_kWh)/1000+IF(REST_rest_gas_kWh="---",0,REST_rest_gas_kWh)/1000</f>
        <v>8135.690893</v>
      </c>
      <c r="F25" s="950"/>
      <c r="G25" s="950"/>
      <c r="H25" s="950"/>
      <c r="I25" s="950"/>
      <c r="J25" s="950"/>
      <c r="K25" s="950"/>
      <c r="L25" s="950"/>
      <c r="M25" s="950"/>
      <c r="N25" s="950"/>
      <c r="O25" s="950"/>
      <c r="P25" s="950"/>
      <c r="Q25" s="951"/>
      <c r="R25" s="689">
        <f>SUM(C25:Q25)</f>
        <v>11233.668291</v>
      </c>
      <c r="S25" s="67"/>
    </row>
    <row r="26" spans="1:19" s="448" customFormat="1" ht="15.75" thickBot="1">
      <c r="A26" s="694" t="s">
        <v>725</v>
      </c>
      <c r="B26" s="816"/>
      <c r="C26" s="811">
        <f>SUM(C24:C25)</f>
        <v>3229.3124029999999</v>
      </c>
      <c r="D26" s="811">
        <f t="shared" ref="D26:R26" si="2">SUM(D24:D25)</f>
        <v>0</v>
      </c>
      <c r="E26" s="811">
        <f t="shared" si="2"/>
        <v>8535.7360299419997</v>
      </c>
      <c r="F26" s="811">
        <f t="shared" si="2"/>
        <v>4.0989221971082825</v>
      </c>
      <c r="G26" s="811">
        <f t="shared" si="2"/>
        <v>464.15245656938276</v>
      </c>
      <c r="H26" s="811">
        <f t="shared" si="2"/>
        <v>0</v>
      </c>
      <c r="I26" s="811">
        <f t="shared" si="2"/>
        <v>0</v>
      </c>
      <c r="J26" s="811">
        <f t="shared" si="2"/>
        <v>0</v>
      </c>
      <c r="K26" s="811">
        <f t="shared" si="2"/>
        <v>36.183704677777477</v>
      </c>
      <c r="L26" s="811">
        <f t="shared" si="2"/>
        <v>0</v>
      </c>
      <c r="M26" s="811">
        <f t="shared" si="2"/>
        <v>0</v>
      </c>
      <c r="N26" s="811">
        <f t="shared" si="2"/>
        <v>0</v>
      </c>
      <c r="O26" s="811">
        <f t="shared" si="2"/>
        <v>0</v>
      </c>
      <c r="P26" s="811">
        <f t="shared" si="2"/>
        <v>0</v>
      </c>
      <c r="Q26" s="811">
        <f t="shared" si="2"/>
        <v>0</v>
      </c>
      <c r="R26" s="811">
        <f t="shared" si="2"/>
        <v>12269.483516386268</v>
      </c>
      <c r="S26" s="67"/>
    </row>
    <row r="27" spans="1:19" s="448" customFormat="1" ht="17.25" thickTop="1" thickBot="1">
      <c r="A27" s="695" t="s">
        <v>115</v>
      </c>
      <c r="B27" s="803"/>
      <c r="C27" s="696">
        <f ca="1">C22+C16+C26</f>
        <v>129303.18350971614</v>
      </c>
      <c r="D27" s="696">
        <f t="shared" ref="D27:R27" ca="1" si="3">D22+D16+D26</f>
        <v>1245.214285714286</v>
      </c>
      <c r="E27" s="696">
        <f t="shared" ca="1" si="3"/>
        <v>337643.03117947199</v>
      </c>
      <c r="F27" s="696">
        <f t="shared" si="3"/>
        <v>5202.5782672906325</v>
      </c>
      <c r="G27" s="696">
        <f t="shared" ca="1" si="3"/>
        <v>8050.8609390352785</v>
      </c>
      <c r="H27" s="696">
        <f t="shared" si="3"/>
        <v>137025.71812907746</v>
      </c>
      <c r="I27" s="696">
        <f t="shared" si="3"/>
        <v>34278.621957492513</v>
      </c>
      <c r="J27" s="696">
        <f t="shared" si="3"/>
        <v>0</v>
      </c>
      <c r="K27" s="696">
        <f t="shared" si="3"/>
        <v>68.472226189270174</v>
      </c>
      <c r="L27" s="696">
        <f t="shared" si="3"/>
        <v>0</v>
      </c>
      <c r="M27" s="696">
        <f t="shared" ca="1" si="3"/>
        <v>0</v>
      </c>
      <c r="N27" s="696">
        <f t="shared" si="3"/>
        <v>10160.903033993125</v>
      </c>
      <c r="O27" s="696">
        <f t="shared" ca="1" si="3"/>
        <v>20583.900447718494</v>
      </c>
      <c r="P27" s="696">
        <f t="shared" si="3"/>
        <v>389.78515532692529</v>
      </c>
      <c r="Q27" s="696">
        <f t="shared" si="3"/>
        <v>947.79502122779172</v>
      </c>
      <c r="R27" s="696">
        <f t="shared" ca="1" si="3"/>
        <v>684900.06415225402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11394.130458766605</v>
      </c>
      <c r="D40" s="686">
        <f ca="1">tertiair!C20</f>
        <v>213.88235294117658</v>
      </c>
      <c r="E40" s="686">
        <f ca="1">tertiair!D20</f>
        <v>17494.566131191805</v>
      </c>
      <c r="F40" s="686">
        <f>tertiair!E20</f>
        <v>134.64637944014228</v>
      </c>
      <c r="G40" s="686">
        <f ca="1">tertiair!F20</f>
        <v>1535.7173203185723</v>
      </c>
      <c r="H40" s="686">
        <f>tertiair!G20</f>
        <v>0</v>
      </c>
      <c r="I40" s="686">
        <f>tertiair!H20</f>
        <v>0</v>
      </c>
      <c r="J40" s="686">
        <f>tertiair!I20</f>
        <v>0</v>
      </c>
      <c r="K40" s="686">
        <f>tertiair!J20</f>
        <v>3.7169347431691674E-2</v>
      </c>
      <c r="L40" s="686">
        <f>tertiair!K20</f>
        <v>0</v>
      </c>
      <c r="M40" s="686">
        <f ca="1">tertiair!L20</f>
        <v>0</v>
      </c>
      <c r="N40" s="686">
        <f>tertiair!M20</f>
        <v>0</v>
      </c>
      <c r="O40" s="686">
        <f ca="1">tertiair!N20</f>
        <v>0</v>
      </c>
      <c r="P40" s="686">
        <f>tertiair!O20</f>
        <v>0</v>
      </c>
      <c r="Q40" s="769">
        <f>tertiair!P20</f>
        <v>0</v>
      </c>
      <c r="R40" s="849">
        <f t="shared" ca="1" si="4"/>
        <v>30772.979812005731</v>
      </c>
    </row>
    <row r="41" spans="1:18">
      <c r="A41" s="821" t="s">
        <v>224</v>
      </c>
      <c r="B41" s="828"/>
      <c r="C41" s="686">
        <f ca="1">huishoudens!B12</f>
        <v>14551.306454086265</v>
      </c>
      <c r="D41" s="686">
        <f ca="1">huishoudens!C12</f>
        <v>0</v>
      </c>
      <c r="E41" s="686">
        <f>huishoudens!D12</f>
        <v>48086.19578156514</v>
      </c>
      <c r="F41" s="686">
        <f>huishoudens!E12</f>
        <v>838.51433198099221</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63476.016567632403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788.58881477246803</v>
      </c>
      <c r="D43" s="686">
        <f ca="1">industrie!C22</f>
        <v>82.039159663865576</v>
      </c>
      <c r="E43" s="686">
        <f>industrie!D22</f>
        <v>824.92640092263252</v>
      </c>
      <c r="F43" s="686">
        <f>industrie!E22</f>
        <v>134.99492317363564</v>
      </c>
      <c r="G43" s="686">
        <f>industrie!F22</f>
        <v>489.93384449982193</v>
      </c>
      <c r="H43" s="686">
        <f>industrie!G22</f>
        <v>0</v>
      </c>
      <c r="I43" s="686">
        <f>industrie!H22</f>
        <v>0</v>
      </c>
      <c r="J43" s="686">
        <f>industrie!I22</f>
        <v>0</v>
      </c>
      <c r="K43" s="686">
        <f>industrie!J22</f>
        <v>11.392967267636724</v>
      </c>
      <c r="L43" s="686">
        <f>industrie!K22</f>
        <v>0</v>
      </c>
      <c r="M43" s="686">
        <f>industrie!L22</f>
        <v>0</v>
      </c>
      <c r="N43" s="686">
        <f>industrie!M22</f>
        <v>0</v>
      </c>
      <c r="O43" s="686">
        <f>industrie!N22</f>
        <v>0</v>
      </c>
      <c r="P43" s="686">
        <f>industrie!O22</f>
        <v>0</v>
      </c>
      <c r="Q43" s="769">
        <f>industrie!P22</f>
        <v>0</v>
      </c>
      <c r="R43" s="848">
        <f t="shared" ca="1" si="4"/>
        <v>2331.8761103000606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26734.02572762534</v>
      </c>
      <c r="D46" s="722">
        <f t="shared" ref="D46:Q46" ca="1" si="5">SUM(D39:D45)</f>
        <v>295.92151260504215</v>
      </c>
      <c r="E46" s="722">
        <f t="shared" ca="1" si="5"/>
        <v>66405.68831367958</v>
      </c>
      <c r="F46" s="722">
        <f t="shared" si="5"/>
        <v>1108.1556345947702</v>
      </c>
      <c r="G46" s="722">
        <f t="shared" ca="1" si="5"/>
        <v>2025.6511648183941</v>
      </c>
      <c r="H46" s="722">
        <f t="shared" si="5"/>
        <v>0</v>
      </c>
      <c r="I46" s="722">
        <f t="shared" si="5"/>
        <v>0</v>
      </c>
      <c r="J46" s="722">
        <f t="shared" si="5"/>
        <v>0</v>
      </c>
      <c r="K46" s="722">
        <f t="shared" si="5"/>
        <v>11.430136615068415</v>
      </c>
      <c r="L46" s="722">
        <f t="shared" si="5"/>
        <v>0</v>
      </c>
      <c r="M46" s="722">
        <f t="shared" ca="1" si="5"/>
        <v>0</v>
      </c>
      <c r="N46" s="722">
        <f t="shared" si="5"/>
        <v>0</v>
      </c>
      <c r="O46" s="722">
        <f t="shared" ca="1" si="5"/>
        <v>0</v>
      </c>
      <c r="P46" s="722">
        <f t="shared" si="5"/>
        <v>0</v>
      </c>
      <c r="Q46" s="722">
        <f t="shared" si="5"/>
        <v>0</v>
      </c>
      <c r="R46" s="722">
        <f ca="1">SUM(R39:R45)</f>
        <v>96580.872489938192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916.64445931750538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916.64445931750538</v>
      </c>
    </row>
    <row r="50" spans="1:18">
      <c r="A50" s="824" t="s">
        <v>306</v>
      </c>
      <c r="B50" s="834"/>
      <c r="C50" s="692">
        <f ca="1">transport!B18</f>
        <v>20.435301287790374</v>
      </c>
      <c r="D50" s="692">
        <f>transport!C18</f>
        <v>0</v>
      </c>
      <c r="E50" s="692">
        <f>transport!D18</f>
        <v>73.985306525486692</v>
      </c>
      <c r="F50" s="692">
        <f>transport!E18</f>
        <v>71.899176741459854</v>
      </c>
      <c r="G50" s="692">
        <f>transport!F18</f>
        <v>0</v>
      </c>
      <c r="H50" s="692">
        <f>transport!G18</f>
        <v>35669.222281146176</v>
      </c>
      <c r="I50" s="692">
        <f>transport!H18</f>
        <v>8535.3768674156363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44370.918933116554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20.435301287790374</v>
      </c>
      <c r="D52" s="722">
        <f t="shared" ref="D52:Q52" ca="1" si="6">SUM(D48:D51)</f>
        <v>0</v>
      </c>
      <c r="E52" s="722">
        <f t="shared" si="6"/>
        <v>73.985306525486692</v>
      </c>
      <c r="F52" s="722">
        <f t="shared" si="6"/>
        <v>71.899176741459854</v>
      </c>
      <c r="G52" s="722">
        <f t="shared" si="6"/>
        <v>0</v>
      </c>
      <c r="H52" s="722">
        <f t="shared" si="6"/>
        <v>36585.86674046368</v>
      </c>
      <c r="I52" s="722">
        <f t="shared" si="6"/>
        <v>8535.3768674156363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45287.563392434058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27.870939808220307</v>
      </c>
      <c r="D54" s="692">
        <f ca="1">+landbouw!C12</f>
        <v>0</v>
      </c>
      <c r="E54" s="692">
        <f>+landbouw!D12</f>
        <v>80.809117662284009</v>
      </c>
      <c r="F54" s="692">
        <f>+landbouw!E12</f>
        <v>0.93045533874358022</v>
      </c>
      <c r="G54" s="692">
        <f>+landbouw!F12</f>
        <v>123.92870590402521</v>
      </c>
      <c r="H54" s="692">
        <f>+landbouw!G12</f>
        <v>0</v>
      </c>
      <c r="I54" s="692">
        <f>+landbouw!H12</f>
        <v>0</v>
      </c>
      <c r="J54" s="692">
        <f>+landbouw!I12</f>
        <v>0</v>
      </c>
      <c r="K54" s="692">
        <f>+landbouw!J12</f>
        <v>12.809031455933226</v>
      </c>
      <c r="L54" s="692">
        <f>+landbouw!K12</f>
        <v>0</v>
      </c>
      <c r="M54" s="692">
        <f>+landbouw!L12</f>
        <v>0</v>
      </c>
      <c r="N54" s="692">
        <f>+landbouw!M12</f>
        <v>0</v>
      </c>
      <c r="O54" s="692">
        <f>+landbouw!N12</f>
        <v>0</v>
      </c>
      <c r="P54" s="692">
        <f>+landbouw!O12</f>
        <v>0</v>
      </c>
      <c r="Q54" s="693">
        <f>+landbouw!P12</f>
        <v>0</v>
      </c>
      <c r="R54" s="721">
        <f ca="1">SUM(C54:Q54)</f>
        <v>246.34825016920632</v>
      </c>
    </row>
    <row r="55" spans="1:18" ht="15" thickBot="1">
      <c r="A55" s="824" t="s">
        <v>724</v>
      </c>
      <c r="B55" s="834"/>
      <c r="C55" s="692">
        <f ca="1">C25*'EF ele_warmte'!B12</f>
        <v>657.42976586390625</v>
      </c>
      <c r="D55" s="692"/>
      <c r="E55" s="692">
        <f>E25*EF_CO2_aardgas</f>
        <v>1643.4095603860001</v>
      </c>
      <c r="F55" s="692"/>
      <c r="G55" s="692"/>
      <c r="H55" s="692"/>
      <c r="I55" s="692"/>
      <c r="J55" s="692"/>
      <c r="K55" s="692"/>
      <c r="L55" s="692"/>
      <c r="M55" s="692"/>
      <c r="N55" s="692"/>
      <c r="O55" s="692"/>
      <c r="P55" s="692"/>
      <c r="Q55" s="693"/>
      <c r="R55" s="721">
        <f ca="1">SUM(C55:Q55)</f>
        <v>2300.8393262499062</v>
      </c>
    </row>
    <row r="56" spans="1:18" ht="15.75" thickBot="1">
      <c r="A56" s="822" t="s">
        <v>725</v>
      </c>
      <c r="B56" s="835"/>
      <c r="C56" s="722">
        <f ca="1">SUM(C54:C55)</f>
        <v>685.30070567212658</v>
      </c>
      <c r="D56" s="722">
        <f t="shared" ref="D56:Q56" ca="1" si="7">SUM(D54:D55)</f>
        <v>0</v>
      </c>
      <c r="E56" s="722">
        <f t="shared" si="7"/>
        <v>1724.2186780482841</v>
      </c>
      <c r="F56" s="722">
        <f t="shared" si="7"/>
        <v>0.93045533874358022</v>
      </c>
      <c r="G56" s="722">
        <f t="shared" si="7"/>
        <v>123.92870590402521</v>
      </c>
      <c r="H56" s="722">
        <f t="shared" si="7"/>
        <v>0</v>
      </c>
      <c r="I56" s="722">
        <f t="shared" si="7"/>
        <v>0</v>
      </c>
      <c r="J56" s="722">
        <f t="shared" si="7"/>
        <v>0</v>
      </c>
      <c r="K56" s="722">
        <f t="shared" si="7"/>
        <v>12.809031455933226</v>
      </c>
      <c r="L56" s="722">
        <f t="shared" si="7"/>
        <v>0</v>
      </c>
      <c r="M56" s="722">
        <f t="shared" si="7"/>
        <v>0</v>
      </c>
      <c r="N56" s="722">
        <f t="shared" si="7"/>
        <v>0</v>
      </c>
      <c r="O56" s="722">
        <f t="shared" si="7"/>
        <v>0</v>
      </c>
      <c r="P56" s="722">
        <f t="shared" si="7"/>
        <v>0</v>
      </c>
      <c r="Q56" s="723">
        <f t="shared" si="7"/>
        <v>0</v>
      </c>
      <c r="R56" s="724">
        <f ca="1">SUM(R54:R55)</f>
        <v>2547.1875764191127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27439.761734585256</v>
      </c>
      <c r="D61" s="730">
        <f t="shared" ref="D61:Q61" ca="1" si="8">D46+D52+D56</f>
        <v>295.92151260504215</v>
      </c>
      <c r="E61" s="730">
        <f t="shared" ca="1" si="8"/>
        <v>68203.892298253355</v>
      </c>
      <c r="F61" s="730">
        <f t="shared" si="8"/>
        <v>1180.9852666749734</v>
      </c>
      <c r="G61" s="730">
        <f t="shared" ca="1" si="8"/>
        <v>2149.5798707224194</v>
      </c>
      <c r="H61" s="730">
        <f t="shared" si="8"/>
        <v>36585.86674046368</v>
      </c>
      <c r="I61" s="730">
        <f t="shared" si="8"/>
        <v>8535.3768674156363</v>
      </c>
      <c r="J61" s="730">
        <f t="shared" si="8"/>
        <v>0</v>
      </c>
      <c r="K61" s="730">
        <f t="shared" si="8"/>
        <v>24.239168071001643</v>
      </c>
      <c r="L61" s="730">
        <f t="shared" si="8"/>
        <v>0</v>
      </c>
      <c r="M61" s="730">
        <f t="shared" ca="1" si="8"/>
        <v>0</v>
      </c>
      <c r="N61" s="730">
        <f t="shared" si="8"/>
        <v>0</v>
      </c>
      <c r="O61" s="730">
        <f t="shared" ca="1" si="8"/>
        <v>0</v>
      </c>
      <c r="P61" s="730">
        <f t="shared" si="8"/>
        <v>0</v>
      </c>
      <c r="Q61" s="730">
        <f t="shared" si="8"/>
        <v>0</v>
      </c>
      <c r="R61" s="730">
        <f ca="1">R46+R52+R56</f>
        <v>144415.62345879138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0.21221257659540432</v>
      </c>
      <c r="D63" s="776">
        <f t="shared" ca="1" si="9"/>
        <v>0.23764705882352946</v>
      </c>
      <c r="E63" s="975">
        <f t="shared" ca="1" si="9"/>
        <v>0.20200000000000004</v>
      </c>
      <c r="F63" s="776">
        <f t="shared" si="9"/>
        <v>0.22699999999999998</v>
      </c>
      <c r="G63" s="776">
        <f t="shared" ca="1" si="9"/>
        <v>0.26700000000000002</v>
      </c>
      <c r="H63" s="776">
        <f t="shared" si="9"/>
        <v>0.26699999999999996</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5207.0236646404783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871.65000000000009</v>
      </c>
      <c r="D76" s="958">
        <f>'lokale energieproductie'!C8</f>
        <v>1025.4705882352944</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207.14505882352947</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5207.0236646404783</v>
      </c>
      <c r="C78" s="748">
        <f>SUM(C72:C77)</f>
        <v>871.65000000000009</v>
      </c>
      <c r="D78" s="749">
        <f t="shared" ref="D78:H78" si="10">SUM(D76:D77)</f>
        <v>1025.4705882352944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207.14505882352947</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1245.214285714286</v>
      </c>
      <c r="D87" s="772">
        <f>'lokale energieproductie'!C17</f>
        <v>1464.9579831932779</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295.92151260504215</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1245.214285714286</v>
      </c>
      <c r="D90" s="748">
        <f t="shared" ref="D90:H90" si="12">SUM(D87:D89)</f>
        <v>1464.9579831932779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295.92151260504215</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5207.0236646404783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871.65000000000009</v>
      </c>
      <c r="C8" s="548">
        <f>B49</f>
        <v>1025.4705882352944</v>
      </c>
      <c r="D8" s="549"/>
      <c r="E8" s="549">
        <f>E49</f>
        <v>0</v>
      </c>
      <c r="F8" s="550"/>
      <c r="G8" s="551"/>
      <c r="H8" s="549">
        <f>I49</f>
        <v>0</v>
      </c>
      <c r="I8" s="549">
        <f>G49+F49</f>
        <v>0</v>
      </c>
      <c r="J8" s="549">
        <f>H49+D49+C49</f>
        <v>0</v>
      </c>
      <c r="K8" s="549"/>
      <c r="L8" s="549"/>
      <c r="M8" s="549"/>
      <c r="N8" s="552"/>
      <c r="O8" s="553">
        <f>C8*$C$12+D8*$D$12+E8*$E$12+F8*$F$12+G8*$G$12+H8*$H$12+I8*$I$12+J8*$J$12</f>
        <v>207.14505882352947</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6078.6736646404788</v>
      </c>
      <c r="C10" s="563">
        <f t="shared" ref="C10:L10" si="0">SUM(C8:C9)</f>
        <v>1025.4705882352944</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207.14505882352947</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1245.214285714286</v>
      </c>
      <c r="C17" s="579">
        <f>B50</f>
        <v>1464.9579831932779</v>
      </c>
      <c r="D17" s="580"/>
      <c r="E17" s="580">
        <f>E50</f>
        <v>0</v>
      </c>
      <c r="F17" s="581"/>
      <c r="G17" s="582"/>
      <c r="H17" s="579">
        <f>I50</f>
        <v>0</v>
      </c>
      <c r="I17" s="580">
        <f>G50+F50</f>
        <v>0</v>
      </c>
      <c r="J17" s="580">
        <f>H50+D50+C50</f>
        <v>0</v>
      </c>
      <c r="K17" s="580"/>
      <c r="L17" s="580"/>
      <c r="M17" s="580"/>
      <c r="N17" s="972"/>
      <c r="O17" s="583">
        <f>C17*$C$22+E17*$E$22+H17*$H$22+I17*$I$22+J17*$J$22+D17*$D$22+F17*$F$22+G17*$G$22+K17*$K$22+L17*$L$22</f>
        <v>295.92151260504215</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1245.214285714286</v>
      </c>
      <c r="C20" s="562">
        <f>SUM(C17:C19)</f>
        <v>1464.9579831932779</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295.92151260504215</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11008</v>
      </c>
      <c r="C28" s="791">
        <v>2930</v>
      </c>
      <c r="D28" s="640" t="s">
        <v>888</v>
      </c>
      <c r="E28" s="639" t="s">
        <v>889</v>
      </c>
      <c r="F28" s="639" t="s">
        <v>890</v>
      </c>
      <c r="G28" s="639" t="s">
        <v>891</v>
      </c>
      <c r="H28" s="639" t="s">
        <v>892</v>
      </c>
      <c r="I28" s="639" t="s">
        <v>889</v>
      </c>
      <c r="J28" s="790">
        <v>39084</v>
      </c>
      <c r="K28" s="790">
        <v>39630</v>
      </c>
      <c r="L28" s="639" t="s">
        <v>893</v>
      </c>
      <c r="M28" s="639">
        <v>53.7</v>
      </c>
      <c r="N28" s="639">
        <v>241.65000000000003</v>
      </c>
      <c r="O28" s="639">
        <v>345.21428571428578</v>
      </c>
      <c r="P28" s="639">
        <v>690.42857142857156</v>
      </c>
      <c r="Q28" s="639">
        <v>0</v>
      </c>
      <c r="R28" s="639">
        <v>0</v>
      </c>
      <c r="S28" s="639">
        <v>0</v>
      </c>
      <c r="T28" s="639">
        <v>0</v>
      </c>
      <c r="U28" s="639">
        <v>0</v>
      </c>
      <c r="V28" s="639">
        <v>0</v>
      </c>
      <c r="W28" s="639">
        <v>0</v>
      </c>
      <c r="X28" s="639">
        <v>16000</v>
      </c>
      <c r="Y28" s="639" t="s">
        <v>32</v>
      </c>
      <c r="Z28" s="641" t="s">
        <v>384</v>
      </c>
    </row>
    <row r="29" spans="1:26" s="593" customFormat="1" ht="51">
      <c r="A29" s="592"/>
      <c r="B29" s="791">
        <v>11008</v>
      </c>
      <c r="C29" s="791">
        <v>2930</v>
      </c>
      <c r="D29" s="640" t="s">
        <v>894</v>
      </c>
      <c r="E29" s="639" t="s">
        <v>895</v>
      </c>
      <c r="F29" s="639" t="s">
        <v>896</v>
      </c>
      <c r="G29" s="639" t="s">
        <v>891</v>
      </c>
      <c r="H29" s="639" t="s">
        <v>892</v>
      </c>
      <c r="I29" s="639" t="s">
        <v>895</v>
      </c>
      <c r="J29" s="790">
        <v>39599</v>
      </c>
      <c r="K29" s="790">
        <v>39661</v>
      </c>
      <c r="L29" s="639" t="s">
        <v>893</v>
      </c>
      <c r="M29" s="639">
        <v>140</v>
      </c>
      <c r="N29" s="639">
        <v>630.00000000000011</v>
      </c>
      <c r="O29" s="639">
        <v>900.00000000000023</v>
      </c>
      <c r="P29" s="639">
        <v>1800.0000000000005</v>
      </c>
      <c r="Q29" s="639">
        <v>0</v>
      </c>
      <c r="R29" s="639">
        <v>0</v>
      </c>
      <c r="S29" s="639">
        <v>0</v>
      </c>
      <c r="T29" s="639">
        <v>0</v>
      </c>
      <c r="U29" s="639">
        <v>0</v>
      </c>
      <c r="V29" s="639">
        <v>0</v>
      </c>
      <c r="W29" s="639">
        <v>0</v>
      </c>
      <c r="X29" s="639">
        <v>1500</v>
      </c>
      <c r="Y29" s="639" t="s">
        <v>50</v>
      </c>
      <c r="Z29" s="641" t="s">
        <v>155</v>
      </c>
    </row>
    <row r="30" spans="1:26" s="573" customFormat="1">
      <c r="A30" s="595" t="s">
        <v>279</v>
      </c>
      <c r="B30" s="596"/>
      <c r="C30" s="596"/>
      <c r="D30" s="596"/>
      <c r="E30" s="596"/>
      <c r="F30" s="596"/>
      <c r="G30" s="596"/>
      <c r="H30" s="596"/>
      <c r="I30" s="596"/>
      <c r="J30" s="596"/>
      <c r="K30" s="596"/>
      <c r="L30" s="597"/>
      <c r="M30" s="597">
        <f>SUM(M28:M29)</f>
        <v>193.7</v>
      </c>
      <c r="N30" s="597">
        <f>SUM(N28:N29)</f>
        <v>871.65000000000009</v>
      </c>
      <c r="O30" s="597">
        <f>SUM(O28:O29)</f>
        <v>1245.214285714286</v>
      </c>
      <c r="P30" s="597">
        <f>SUM(P28:P29)</f>
        <v>2490.428571428572</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53.7</v>
      </c>
      <c r="N31" s="597">
        <f>SUMIF($Z$28:$Z$29,"industrie",N28:N29)</f>
        <v>241.65000000000003</v>
      </c>
      <c r="O31" s="597">
        <f>SUMIF($Z$28:$Z$29,"industrie",O28:O29)</f>
        <v>345.21428571428578</v>
      </c>
      <c r="P31" s="597">
        <f>SUMIF($Z$28:$Z$29,"industrie",P28:P29)</f>
        <v>690.42857142857156</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140</v>
      </c>
      <c r="N32" s="597">
        <f ca="1">SUMIF($Z$28:AD29,"tertiair",N28:N29)</f>
        <v>630.00000000000011</v>
      </c>
      <c r="O32" s="597">
        <f ca="1">SUMIF($Z$28:AE29,"tertiair",O28:O29)</f>
        <v>900.00000000000023</v>
      </c>
      <c r="P32" s="597">
        <f ca="1">SUMIF($Z$28:AF29,"tertiair",P28:P29)</f>
        <v>1800.0000000000005</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0.58823529411764719</v>
      </c>
      <c r="C46" s="622">
        <f>IF(ISERROR(N30/(O30+N30)),0,N30/(N30+O30))</f>
        <v>0.41176470588235298</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1025.4705882352944</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1464.9579831932779</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68569.482014391557</v>
      </c>
      <c r="C4" s="452">
        <f>huishoudens!C8</f>
        <v>0</v>
      </c>
      <c r="D4" s="452">
        <f>huishoudens!D8</f>
        <v>238050.47416616403</v>
      </c>
      <c r="E4" s="452">
        <f>huishoudens!E8</f>
        <v>3693.8957355990847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16193.433966322629</v>
      </c>
      <c r="O4" s="452">
        <f>huishoudens!O8</f>
        <v>384.88789456108412</v>
      </c>
      <c r="P4" s="453">
        <f>huishoudens!P8</f>
        <v>842.71674461480166</v>
      </c>
      <c r="Q4" s="454">
        <f>SUM(B4:P4)</f>
        <v>327734.89052165323</v>
      </c>
    </row>
    <row r="5" spans="1:17">
      <c r="A5" s="451" t="s">
        <v>155</v>
      </c>
      <c r="B5" s="452">
        <f ca="1">tertiair!B16</f>
        <v>51810.922299000005</v>
      </c>
      <c r="C5" s="452">
        <f ca="1">tertiair!C16</f>
        <v>900.00000000000023</v>
      </c>
      <c r="D5" s="452">
        <f ca="1">tertiair!D16</f>
        <v>86606.763025702006</v>
      </c>
      <c r="E5" s="452">
        <f>tertiair!E16</f>
        <v>593.15585656450344</v>
      </c>
      <c r="F5" s="452">
        <f ca="1">tertiair!F16</f>
        <v>5751.7502633654394</v>
      </c>
      <c r="G5" s="452">
        <f>tertiair!G16</f>
        <v>0</v>
      </c>
      <c r="H5" s="452">
        <f>tertiair!H16</f>
        <v>0</v>
      </c>
      <c r="I5" s="452">
        <f>tertiair!I16</f>
        <v>0</v>
      </c>
      <c r="J5" s="452">
        <f>tertiair!J16</f>
        <v>0.10499815658669966</v>
      </c>
      <c r="K5" s="452">
        <f>tertiair!K16</f>
        <v>0</v>
      </c>
      <c r="L5" s="452">
        <f ca="1">tertiair!L16</f>
        <v>0</v>
      </c>
      <c r="M5" s="452">
        <f>tertiair!M16</f>
        <v>0</v>
      </c>
      <c r="N5" s="452">
        <f ca="1">tertiair!N16</f>
        <v>4183.9173548405479</v>
      </c>
      <c r="O5" s="452">
        <f>tertiair!O16</f>
        <v>4.8972607658411542</v>
      </c>
      <c r="P5" s="453">
        <f>tertiair!P16</f>
        <v>105.07827661299004</v>
      </c>
      <c r="Q5" s="451">
        <f t="shared" ref="Q5:Q14" ca="1" si="0">SUM(B5:P5)</f>
        <v>149956.58933500791</v>
      </c>
    </row>
    <row r="6" spans="1:17">
      <c r="A6" s="451" t="s">
        <v>193</v>
      </c>
      <c r="B6" s="452">
        <f>'openbare verlichting'!B8</f>
        <v>1881.1379999999999</v>
      </c>
      <c r="C6" s="452"/>
      <c r="D6" s="452"/>
      <c r="E6" s="452"/>
      <c r="F6" s="452"/>
      <c r="G6" s="452"/>
      <c r="H6" s="452"/>
      <c r="I6" s="452"/>
      <c r="J6" s="452"/>
      <c r="K6" s="452"/>
      <c r="L6" s="452"/>
      <c r="M6" s="452"/>
      <c r="N6" s="452"/>
      <c r="O6" s="452"/>
      <c r="P6" s="453"/>
      <c r="Q6" s="451">
        <f t="shared" si="0"/>
        <v>1881.1379999999999</v>
      </c>
    </row>
    <row r="7" spans="1:17">
      <c r="A7" s="451" t="s">
        <v>111</v>
      </c>
      <c r="B7" s="452">
        <f>landbouw!B8</f>
        <v>131.335005</v>
      </c>
      <c r="C7" s="452">
        <f>landbouw!C8</f>
        <v>0</v>
      </c>
      <c r="D7" s="452">
        <f>landbouw!D8</f>
        <v>400.045136942</v>
      </c>
      <c r="E7" s="452">
        <f>landbouw!E8</f>
        <v>4.0989221971082825</v>
      </c>
      <c r="F7" s="452">
        <f>landbouw!F8</f>
        <v>464.15245656938276</v>
      </c>
      <c r="G7" s="452">
        <f>landbouw!G8</f>
        <v>0</v>
      </c>
      <c r="H7" s="452">
        <f>landbouw!H8</f>
        <v>0</v>
      </c>
      <c r="I7" s="452">
        <f>landbouw!I8</f>
        <v>0</v>
      </c>
      <c r="J7" s="452">
        <f>landbouw!J8</f>
        <v>36.183704677777477</v>
      </c>
      <c r="K7" s="452">
        <f>landbouw!K8</f>
        <v>0</v>
      </c>
      <c r="L7" s="452">
        <f>landbouw!L8</f>
        <v>0</v>
      </c>
      <c r="M7" s="452">
        <f>landbouw!M8</f>
        <v>0</v>
      </c>
      <c r="N7" s="452">
        <f>landbouw!N8</f>
        <v>0</v>
      </c>
      <c r="O7" s="452">
        <f>landbouw!O8</f>
        <v>0</v>
      </c>
      <c r="P7" s="453">
        <f>landbouw!P8</f>
        <v>0</v>
      </c>
      <c r="Q7" s="451">
        <f t="shared" si="0"/>
        <v>1035.8152253862686</v>
      </c>
    </row>
    <row r="8" spans="1:17">
      <c r="A8" s="451" t="s">
        <v>625</v>
      </c>
      <c r="B8" s="452">
        <f>industrie!B18</f>
        <v>3716.0324209999994</v>
      </c>
      <c r="C8" s="452">
        <f>industrie!C18</f>
        <v>345.21428571428578</v>
      </c>
      <c r="D8" s="452">
        <f>industrie!D18</f>
        <v>4083.7940639734279</v>
      </c>
      <c r="E8" s="452">
        <f>industrie!E18</f>
        <v>594.69129151381333</v>
      </c>
      <c r="F8" s="452">
        <f>industrie!F18</f>
        <v>1834.9582191004565</v>
      </c>
      <c r="G8" s="452">
        <f>industrie!G18</f>
        <v>0</v>
      </c>
      <c r="H8" s="452">
        <f>industrie!H18</f>
        <v>0</v>
      </c>
      <c r="I8" s="452">
        <f>industrie!I18</f>
        <v>0</v>
      </c>
      <c r="J8" s="452">
        <f>industrie!J18</f>
        <v>32.183523354906001</v>
      </c>
      <c r="K8" s="452">
        <f>industrie!K18</f>
        <v>0</v>
      </c>
      <c r="L8" s="452">
        <f>industrie!L18</f>
        <v>0</v>
      </c>
      <c r="M8" s="452">
        <f>industrie!M18</f>
        <v>0</v>
      </c>
      <c r="N8" s="452">
        <f>industrie!N18</f>
        <v>206.54912655531862</v>
      </c>
      <c r="O8" s="452">
        <f>industrie!O18</f>
        <v>0</v>
      </c>
      <c r="P8" s="453">
        <f>industrie!P18</f>
        <v>0</v>
      </c>
      <c r="Q8" s="451">
        <f t="shared" si="0"/>
        <v>10813.42293121221</v>
      </c>
    </row>
    <row r="9" spans="1:17" s="457" customFormat="1">
      <c r="A9" s="455" t="s">
        <v>551</v>
      </c>
      <c r="B9" s="456">
        <f>transport!B14</f>
        <v>96.296372324584098</v>
      </c>
      <c r="C9" s="456">
        <f>transport!C14</f>
        <v>0</v>
      </c>
      <c r="D9" s="456">
        <f>transport!D14</f>
        <v>366.26389369052816</v>
      </c>
      <c r="E9" s="456">
        <f>transport!E14</f>
        <v>316.73646141612272</v>
      </c>
      <c r="F9" s="456">
        <f>transport!F14</f>
        <v>0</v>
      </c>
      <c r="G9" s="456">
        <f>transport!G14</f>
        <v>133592.59281328155</v>
      </c>
      <c r="H9" s="456">
        <f>transport!H14</f>
        <v>34278.621957492513</v>
      </c>
      <c r="I9" s="456">
        <f>transport!I14</f>
        <v>0</v>
      </c>
      <c r="J9" s="456">
        <f>transport!J14</f>
        <v>0</v>
      </c>
      <c r="K9" s="456">
        <f>transport!K14</f>
        <v>0</v>
      </c>
      <c r="L9" s="456">
        <f>transport!L14</f>
        <v>0</v>
      </c>
      <c r="M9" s="456">
        <f>transport!M14</f>
        <v>9970.1195697028561</v>
      </c>
      <c r="N9" s="456">
        <f>transport!N14</f>
        <v>0</v>
      </c>
      <c r="O9" s="456">
        <f>transport!O14</f>
        <v>0</v>
      </c>
      <c r="P9" s="456">
        <f>transport!P14</f>
        <v>0</v>
      </c>
      <c r="Q9" s="455">
        <f>SUM(B9:P9)</f>
        <v>178620.63106790817</v>
      </c>
    </row>
    <row r="10" spans="1:17">
      <c r="A10" s="451" t="s">
        <v>541</v>
      </c>
      <c r="B10" s="452">
        <f>transport!B54</f>
        <v>0</v>
      </c>
      <c r="C10" s="452">
        <f>transport!C54</f>
        <v>0</v>
      </c>
      <c r="D10" s="452">
        <f>transport!D54</f>
        <v>0</v>
      </c>
      <c r="E10" s="452">
        <f>transport!E54</f>
        <v>0</v>
      </c>
      <c r="F10" s="452">
        <f>transport!F54</f>
        <v>0</v>
      </c>
      <c r="G10" s="452">
        <f>transport!G54</f>
        <v>3433.1253157959</v>
      </c>
      <c r="H10" s="452">
        <f>transport!H54</f>
        <v>0</v>
      </c>
      <c r="I10" s="452">
        <f>transport!I54</f>
        <v>0</v>
      </c>
      <c r="J10" s="452">
        <f>transport!J54</f>
        <v>0</v>
      </c>
      <c r="K10" s="452">
        <f>transport!K54</f>
        <v>0</v>
      </c>
      <c r="L10" s="452">
        <f>transport!L54</f>
        <v>0</v>
      </c>
      <c r="M10" s="452">
        <f>transport!M54</f>
        <v>190.78346429026931</v>
      </c>
      <c r="N10" s="452">
        <f>transport!N54</f>
        <v>0</v>
      </c>
      <c r="O10" s="452">
        <f>transport!O54</f>
        <v>0</v>
      </c>
      <c r="P10" s="453">
        <f>transport!P54</f>
        <v>0</v>
      </c>
      <c r="Q10" s="451">
        <f t="shared" si="0"/>
        <v>3623.9087800861694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3097.977398</v>
      </c>
      <c r="C14" s="459"/>
      <c r="D14" s="459">
        <f>'SEAP template'!E25</f>
        <v>8135.690893</v>
      </c>
      <c r="E14" s="459"/>
      <c r="F14" s="459"/>
      <c r="G14" s="459"/>
      <c r="H14" s="459"/>
      <c r="I14" s="459"/>
      <c r="J14" s="459"/>
      <c r="K14" s="459"/>
      <c r="L14" s="459"/>
      <c r="M14" s="459"/>
      <c r="N14" s="459"/>
      <c r="O14" s="459"/>
      <c r="P14" s="460"/>
      <c r="Q14" s="451">
        <f t="shared" si="0"/>
        <v>11233.668291</v>
      </c>
    </row>
    <row r="15" spans="1:17" s="463" customFormat="1">
      <c r="A15" s="461" t="s">
        <v>545</v>
      </c>
      <c r="B15" s="462">
        <f ca="1">SUM(B4:B14)</f>
        <v>129303.18350971615</v>
      </c>
      <c r="C15" s="462">
        <f t="shared" ref="C15:Q15" ca="1" si="1">SUM(C4:C14)</f>
        <v>1245.214285714286</v>
      </c>
      <c r="D15" s="462">
        <f t="shared" ca="1" si="1"/>
        <v>337643.03117947199</v>
      </c>
      <c r="E15" s="462">
        <f t="shared" si="1"/>
        <v>5202.5782672906325</v>
      </c>
      <c r="F15" s="462">
        <f t="shared" ca="1" si="1"/>
        <v>8050.8609390352785</v>
      </c>
      <c r="G15" s="462">
        <f t="shared" si="1"/>
        <v>137025.71812907746</v>
      </c>
      <c r="H15" s="462">
        <f t="shared" si="1"/>
        <v>34278.621957492513</v>
      </c>
      <c r="I15" s="462">
        <f t="shared" si="1"/>
        <v>0</v>
      </c>
      <c r="J15" s="462">
        <f t="shared" si="1"/>
        <v>68.472226189270174</v>
      </c>
      <c r="K15" s="462">
        <f t="shared" si="1"/>
        <v>0</v>
      </c>
      <c r="L15" s="462">
        <f t="shared" ca="1" si="1"/>
        <v>0</v>
      </c>
      <c r="M15" s="462">
        <f t="shared" si="1"/>
        <v>10160.903033993125</v>
      </c>
      <c r="N15" s="462">
        <f t="shared" ca="1" si="1"/>
        <v>20583.900447718494</v>
      </c>
      <c r="O15" s="462">
        <f t="shared" si="1"/>
        <v>389.78515532692529</v>
      </c>
      <c r="P15" s="462">
        <f t="shared" si="1"/>
        <v>947.79502122779172</v>
      </c>
      <c r="Q15" s="462">
        <f t="shared" ca="1" si="1"/>
        <v>684900.06415225402</v>
      </c>
    </row>
    <row r="17" spans="1:17">
      <c r="A17" s="464" t="s">
        <v>546</v>
      </c>
      <c r="B17" s="781">
        <f ca="1">huishoudens!B10</f>
        <v>0.2122125765954043</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14551.306454086265</v>
      </c>
      <c r="C22" s="452">
        <f t="shared" ref="C22:C32" ca="1" si="3">C4*$C$17</f>
        <v>0</v>
      </c>
      <c r="D22" s="452">
        <f t="shared" ref="D22:D32" si="4">D4*$D$17</f>
        <v>48086.19578156514</v>
      </c>
      <c r="E22" s="452">
        <f t="shared" ref="E22:E32" si="5">E4*$E$17</f>
        <v>838.51433198099221</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63476.016567632403</v>
      </c>
    </row>
    <row r="23" spans="1:17">
      <c r="A23" s="451" t="s">
        <v>155</v>
      </c>
      <c r="B23" s="452">
        <f t="shared" ca="1" si="2"/>
        <v>10994.929316855079</v>
      </c>
      <c r="C23" s="452">
        <f t="shared" ca="1" si="3"/>
        <v>213.88235294117658</v>
      </c>
      <c r="D23" s="452">
        <f t="shared" ca="1" si="4"/>
        <v>17494.566131191805</v>
      </c>
      <c r="E23" s="452">
        <f t="shared" si="5"/>
        <v>134.64637944014228</v>
      </c>
      <c r="F23" s="452">
        <f t="shared" ca="1" si="6"/>
        <v>1535.7173203185723</v>
      </c>
      <c r="G23" s="452">
        <f t="shared" si="7"/>
        <v>0</v>
      </c>
      <c r="H23" s="452">
        <f t="shared" si="8"/>
        <v>0</v>
      </c>
      <c r="I23" s="452">
        <f t="shared" si="9"/>
        <v>0</v>
      </c>
      <c r="J23" s="452">
        <f t="shared" si="10"/>
        <v>3.7169347431691674E-2</v>
      </c>
      <c r="K23" s="452">
        <f t="shared" si="11"/>
        <v>0</v>
      </c>
      <c r="L23" s="452">
        <f t="shared" ca="1" si="12"/>
        <v>0</v>
      </c>
      <c r="M23" s="452">
        <f t="shared" si="13"/>
        <v>0</v>
      </c>
      <c r="N23" s="452">
        <f t="shared" ca="1" si="14"/>
        <v>0</v>
      </c>
      <c r="O23" s="452">
        <f t="shared" si="15"/>
        <v>0</v>
      </c>
      <c r="P23" s="453">
        <f t="shared" si="16"/>
        <v>0</v>
      </c>
      <c r="Q23" s="451">
        <f t="shared" ref="Q23:Q31" ca="1" si="17">SUM(B23:P23)</f>
        <v>30373.778670094209</v>
      </c>
    </row>
    <row r="24" spans="1:17">
      <c r="A24" s="451" t="s">
        <v>193</v>
      </c>
      <c r="B24" s="452">
        <f t="shared" ca="1" si="2"/>
        <v>399.20114191152561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399.20114191152561</v>
      </c>
    </row>
    <row r="25" spans="1:17">
      <c r="A25" s="451" t="s">
        <v>111</v>
      </c>
      <c r="B25" s="452">
        <f t="shared" ca="1" si="2"/>
        <v>27.870939808220307</v>
      </c>
      <c r="C25" s="452">
        <f t="shared" ca="1" si="3"/>
        <v>0</v>
      </c>
      <c r="D25" s="452">
        <f t="shared" si="4"/>
        <v>80.809117662284009</v>
      </c>
      <c r="E25" s="452">
        <f t="shared" si="5"/>
        <v>0.93045533874358022</v>
      </c>
      <c r="F25" s="452">
        <f t="shared" si="6"/>
        <v>123.92870590402521</v>
      </c>
      <c r="G25" s="452">
        <f t="shared" si="7"/>
        <v>0</v>
      </c>
      <c r="H25" s="452">
        <f t="shared" si="8"/>
        <v>0</v>
      </c>
      <c r="I25" s="452">
        <f t="shared" si="9"/>
        <v>0</v>
      </c>
      <c r="J25" s="452">
        <f t="shared" si="10"/>
        <v>12.809031455933226</v>
      </c>
      <c r="K25" s="452">
        <f t="shared" si="11"/>
        <v>0</v>
      </c>
      <c r="L25" s="452">
        <f t="shared" si="12"/>
        <v>0</v>
      </c>
      <c r="M25" s="452">
        <f t="shared" si="13"/>
        <v>0</v>
      </c>
      <c r="N25" s="452">
        <f t="shared" si="14"/>
        <v>0</v>
      </c>
      <c r="O25" s="452">
        <f t="shared" si="15"/>
        <v>0</v>
      </c>
      <c r="P25" s="453">
        <f t="shared" si="16"/>
        <v>0</v>
      </c>
      <c r="Q25" s="451">
        <f t="shared" ca="1" si="17"/>
        <v>246.34825016920632</v>
      </c>
    </row>
    <row r="26" spans="1:17">
      <c r="A26" s="451" t="s">
        <v>625</v>
      </c>
      <c r="B26" s="452">
        <f t="shared" ca="1" si="2"/>
        <v>788.58881477246803</v>
      </c>
      <c r="C26" s="452">
        <f t="shared" ca="1" si="3"/>
        <v>82.039159663865576</v>
      </c>
      <c r="D26" s="452">
        <f t="shared" si="4"/>
        <v>824.92640092263252</v>
      </c>
      <c r="E26" s="452">
        <f t="shared" si="5"/>
        <v>134.99492317363564</v>
      </c>
      <c r="F26" s="452">
        <f t="shared" si="6"/>
        <v>489.93384449982193</v>
      </c>
      <c r="G26" s="452">
        <f t="shared" si="7"/>
        <v>0</v>
      </c>
      <c r="H26" s="452">
        <f t="shared" si="8"/>
        <v>0</v>
      </c>
      <c r="I26" s="452">
        <f t="shared" si="9"/>
        <v>0</v>
      </c>
      <c r="J26" s="452">
        <f t="shared" si="10"/>
        <v>11.392967267636724</v>
      </c>
      <c r="K26" s="452">
        <f t="shared" si="11"/>
        <v>0</v>
      </c>
      <c r="L26" s="452">
        <f t="shared" si="12"/>
        <v>0</v>
      </c>
      <c r="M26" s="452">
        <f t="shared" si="13"/>
        <v>0</v>
      </c>
      <c r="N26" s="452">
        <f t="shared" si="14"/>
        <v>0</v>
      </c>
      <c r="O26" s="452">
        <f t="shared" si="15"/>
        <v>0</v>
      </c>
      <c r="P26" s="453">
        <f t="shared" si="16"/>
        <v>0</v>
      </c>
      <c r="Q26" s="451">
        <f t="shared" ca="1" si="17"/>
        <v>2331.8761103000606</v>
      </c>
    </row>
    <row r="27" spans="1:17" s="457" customFormat="1">
      <c r="A27" s="455" t="s">
        <v>551</v>
      </c>
      <c r="B27" s="775">
        <f t="shared" ca="1" si="2"/>
        <v>20.435301287790374</v>
      </c>
      <c r="C27" s="456">
        <f t="shared" ca="1" si="3"/>
        <v>0</v>
      </c>
      <c r="D27" s="456">
        <f t="shared" si="4"/>
        <v>73.985306525486692</v>
      </c>
      <c r="E27" s="456">
        <f t="shared" si="5"/>
        <v>71.899176741459854</v>
      </c>
      <c r="F27" s="456">
        <f t="shared" si="6"/>
        <v>0</v>
      </c>
      <c r="G27" s="456">
        <f t="shared" si="7"/>
        <v>35669.222281146176</v>
      </c>
      <c r="H27" s="456">
        <f t="shared" si="8"/>
        <v>8535.3768674156363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44370.918933116554</v>
      </c>
    </row>
    <row r="28" spans="1:17" ht="16.5" customHeight="1">
      <c r="A28" s="451" t="s">
        <v>541</v>
      </c>
      <c r="B28" s="452">
        <f t="shared" ca="1" si="2"/>
        <v>0</v>
      </c>
      <c r="C28" s="452">
        <f t="shared" ca="1" si="3"/>
        <v>0</v>
      </c>
      <c r="D28" s="452">
        <f t="shared" si="4"/>
        <v>0</v>
      </c>
      <c r="E28" s="452">
        <f t="shared" si="5"/>
        <v>0</v>
      </c>
      <c r="F28" s="452">
        <f t="shared" si="6"/>
        <v>0</v>
      </c>
      <c r="G28" s="452">
        <f t="shared" si="7"/>
        <v>916.64445931750538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916.64445931750538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657.42976586390625</v>
      </c>
      <c r="C32" s="452">
        <f t="shared" ca="1" si="3"/>
        <v>0</v>
      </c>
      <c r="D32" s="452">
        <f t="shared" si="4"/>
        <v>1643.4095603860001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2300.8393262499062</v>
      </c>
    </row>
    <row r="33" spans="1:17" s="463" customFormat="1">
      <c r="A33" s="461" t="s">
        <v>545</v>
      </c>
      <c r="B33" s="462">
        <f ca="1">SUM(B22:B32)</f>
        <v>27439.76173458526</v>
      </c>
      <c r="C33" s="462">
        <f t="shared" ref="C33:Q33" ca="1" si="19">SUM(C22:C32)</f>
        <v>295.92151260504215</v>
      </c>
      <c r="D33" s="462">
        <f t="shared" ca="1" si="19"/>
        <v>68203.892298253355</v>
      </c>
      <c r="E33" s="462">
        <f t="shared" si="19"/>
        <v>1180.9852666749734</v>
      </c>
      <c r="F33" s="462">
        <f t="shared" ca="1" si="19"/>
        <v>2149.5798707224194</v>
      </c>
      <c r="G33" s="462">
        <f t="shared" si="19"/>
        <v>36585.86674046368</v>
      </c>
      <c r="H33" s="462">
        <f t="shared" si="19"/>
        <v>8535.3768674156363</v>
      </c>
      <c r="I33" s="462">
        <f t="shared" si="19"/>
        <v>0</v>
      </c>
      <c r="J33" s="462">
        <f t="shared" si="19"/>
        <v>24.239168071001643</v>
      </c>
      <c r="K33" s="462">
        <f t="shared" si="19"/>
        <v>0</v>
      </c>
      <c r="L33" s="462">
        <f t="shared" ca="1" si="19"/>
        <v>0</v>
      </c>
      <c r="M33" s="462">
        <f t="shared" si="19"/>
        <v>0</v>
      </c>
      <c r="N33" s="462">
        <f t="shared" ca="1" si="19"/>
        <v>0</v>
      </c>
      <c r="O33" s="462">
        <f t="shared" si="19"/>
        <v>0</v>
      </c>
      <c r="P33" s="462">
        <f t="shared" si="19"/>
        <v>0</v>
      </c>
      <c r="Q33" s="462">
        <f t="shared" ca="1" si="19"/>
        <v>144415.62345879135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5207.0236646404783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871.65000000000009</v>
      </c>
      <c r="D8" s="1029">
        <f>'SEAP template'!D76</f>
        <v>1025.4705882352944</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207.14505882352947</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5207.0236646404783</v>
      </c>
      <c r="C10" s="1031">
        <f>SUM(C4:C9)</f>
        <v>871.65000000000009</v>
      </c>
      <c r="D10" s="1031">
        <f t="shared" ref="D10:H10" si="0">SUM(D8:D9)</f>
        <v>1025.4705882352944</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207.14505882352947</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0.2122125765954043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1245.214285714286</v>
      </c>
      <c r="D17" s="1030">
        <f>'SEAP template'!D87</f>
        <v>1464.9579831932779</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295.92151260504215</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1245.214285714286</v>
      </c>
      <c r="D20" s="1031">
        <f t="shared" ref="D20:H20" si="2">SUM(D17:D19)</f>
        <v>1464.9579831932779</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295.92151260504215</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0.2122125765954043</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2020-06-20T15:27:47Z</dcterms:modified>
</cp:coreProperties>
</file>