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C13" i="15"/>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C49" i="18"/>
  <c r="E49" i="18"/>
  <c r="E17" i="18" s="1"/>
  <c r="G49" i="18"/>
  <c r="O9" i="18"/>
  <c r="I49" i="18"/>
  <c r="H17" i="18" s="1"/>
  <c r="M87" i="14" s="1"/>
  <c r="F49" i="18"/>
  <c r="H78" i="14"/>
  <c r="H9" i="61"/>
  <c r="H10" i="61" s="1"/>
  <c r="O90" i="14"/>
  <c r="O18" i="61"/>
  <c r="O20" i="61" s="1"/>
  <c r="B88" i="14"/>
  <c r="B18" i="61" s="1"/>
  <c r="B77" i="14"/>
  <c r="B9" i="61" s="1"/>
  <c r="Q77" i="14"/>
  <c r="P9" i="61" s="1"/>
  <c r="J17" i="18"/>
  <c r="H20" i="18"/>
  <c r="J8" i="18"/>
  <c r="M76" i="14"/>
  <c r="H10" i="18"/>
  <c r="E20" i="18"/>
  <c r="F87" i="14"/>
  <c r="C77" i="14"/>
  <c r="C9" i="61" s="1"/>
  <c r="C20" i="18"/>
  <c r="D87" i="14"/>
  <c r="D17" i="61" s="1"/>
  <c r="D20" i="61" s="1"/>
  <c r="D76" i="14"/>
  <c r="D8" i="61" s="1"/>
  <c r="D10" i="61" s="1"/>
  <c r="O8" i="18"/>
  <c r="C10" i="18"/>
  <c r="C88" i="14"/>
  <c r="C18" i="61" s="1"/>
  <c r="F76" i="14"/>
  <c r="E10" i="18"/>
  <c r="I17" i="18"/>
  <c r="I10" i="18"/>
  <c r="I76" i="14"/>
  <c r="I8" i="61" s="1"/>
  <c r="I10" i="61" s="1"/>
  <c r="Q88" i="14"/>
  <c r="P18" i="61" s="1"/>
  <c r="I33" i="48"/>
  <c r="O1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K10" i="14"/>
  <c r="J5" i="48"/>
  <c r="J23" i="48" s="1"/>
  <c r="J20" i="15"/>
  <c r="K40" i="14" s="1"/>
  <c r="N52" i="14"/>
  <c r="N61" i="14" s="1"/>
  <c r="N63"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E8" i="48" l="1"/>
  <c r="E26" i="48" s="1"/>
  <c r="E33" i="48" s="1"/>
  <c r="F13" i="14"/>
  <c r="F16" i="14" s="1"/>
  <c r="F27" i="14" s="1"/>
  <c r="K13" i="14"/>
  <c r="K16" i="14" s="1"/>
  <c r="K27" i="14" s="1"/>
  <c r="J8" i="48"/>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<sst xmlns="http://schemas.openxmlformats.org/spreadsheetml/2006/main" count="2407" uniqueCount="893">
  <si>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</si>
  <si>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</si>
  <si>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</si>
  <si>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</si>
  <si>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</si>
  <si>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</si>
  <si>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</si>
  <si>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</si>
  <si>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</si>
  <si>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</si>
  <si>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</si>
  <si>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</si>
  <si>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</si>
  <si>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</si>
  <si>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</si>
  <si>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</si>
  <si>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</si>
  <si>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</si>
  <si>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</si>
  <si>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</si>
  <si>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</si>
  <si>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</si>
  <si>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</si>
  <si>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</si>
  <si>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</si>
  <si>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</si>
  <si>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</si>
  <si>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</si>
  <si>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</si>
  <si>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</si>
  <si>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</si>
  <si>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</si>
  <si>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</si>
  <si>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</si>
  <si>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</si>
  <si>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</si>
  <si>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</si>
  <si>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</si>
  <si>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</si>
  <si>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</si>
  <si>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</si>
  <si>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</si>
  <si>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</si>
  <si>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</si>
  <si>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</si>
  <si>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</si>
  <si>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</si>
  <si>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</si>
  <si>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</si>
  <si>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</si>
  <si>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</si>
  <si>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</si>
  <si>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</si>
  <si>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</si>
  <si>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</si>
  <si>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</si>
  <si>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</si>
  <si>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</si>
  <si>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</si>
  <si>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</si>
  <si>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</si>
  <si>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</si>
  <si>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</si>
  <si>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</si>
  <si>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</si>
  <si>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</si>
  <si>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</si>
  <si>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</si>
  <si>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</si>
  <si>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</si>
  <si>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</si>
  <si>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</si>
  <si>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</si>
  <si>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</si>
  <si>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</si>
  <si>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</si>
  <si>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</si>
  <si>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</si>
  <si>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</si>
  <si>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</si>
  <si>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</si>
  <si>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</si>
  <si>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</si>
  <si>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</si>
  <si>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</si>
  <si>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</si>
  <si>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</si>
  <si>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</si>
  <si>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</si>
  <si>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</si>
  <si>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</si>
  <si>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</si>
  <si>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</si>
  <si>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</si>
  <si>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</si>
  <si>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</si>
  <si>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</si>
  <si>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</si>
  <si>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</si>
  <si>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</si>
  <si>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</si>
  <si>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</si>
  <si>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</si>
  <si>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</si>
  <si>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</si>
  <si>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</si>
  <si>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</si>
  <si>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</si>
  <si>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</si>
  <si>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</si>
  <si>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</si>
  <si>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</si>
  <si>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</si>
  <si>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</si>
  <si>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</si>
  <si>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</si>
  <si>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</si>
  <si>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</si>
  <si>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</si>
  <si>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</si>
  <si>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</si>
  <si>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</si>
  <si>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</si>
  <si>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</si>
  <si>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</si>
  <si>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</si>
  <si>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</si>
  <si>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</si>
  <si>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</si>
  <si>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</si>
  <si>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</si>
  <si>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</si>
  <si>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</si>
  <si>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</si>
  <si>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</si>
  <si>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</si>
  <si>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</si>
  <si>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</si>
  <si>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</si>
  <si>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</si>
  <si>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</si>
  <si>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</si>
  <si>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</si>
  <si>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</si>
  <si>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</si>
  <si>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</si>
  <si>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</si>
  <si>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</si>
  <si>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</si>
  <si>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</si>
  <si>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</si>
  <si>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</si>
  <si>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</si>
  <si>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</si>
  <si>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</si>
  <si>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</si>
  <si>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</si>
  <si>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</si>
  <si>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</si>
  <si>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</si>
  <si>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</si>
  <si>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</si>
  <si>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</si>
  <si>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</si>
  <si>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</si>
  <si>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</si>
  <si>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</si>
  <si>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</si>
  <si>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</si>
  <si>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</si>
  <si>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</si>
  <si>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</si>
  <si>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</si>
  <si>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</si>
  <si>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</si>
  <si>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</si>
  <si>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</si>
  <si>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</si>
  <si>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</si>
  <si>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</si>
  <si>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</si>
  <si>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</si>
  <si>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</si>
  <si>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</si>
  <si>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</si>
  <si>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</si>
  <si>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</si>
  <si>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</si>
  <si>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</si>
  <si>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</si>
  <si>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</si>
  <si>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</si>
  <si>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</si>
  <si>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</si>
  <si>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</si>
  <si>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</si>
  <si>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</si>
  <si>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</si>
  <si>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</si>
  <si>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</si>
  <si>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</si>
  <si>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</si>
  <si>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</si>
  <si>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</si>
  <si>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</si>
  <si>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</si>
  <si>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</si>
  <si>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</si>
  <si>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</si>
  <si>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</si>
  <si>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</si>
  <si>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</si>
  <si>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</si>
  <si>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</si>
  <si>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</si>
  <si>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</si>
  <si>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</si>
  <si>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</si>
  <si>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</si>
  <si>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</si>
  <si>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</si>
  <si>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</si>
  <si>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</si>
  <si>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</si>
  <si>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</si>
  <si>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</si>
  <si>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</si>
  <si>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</si>
  <si>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</si>
  <si>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</si>
  <si>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</si>
  <si>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</si>
  <si>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</si>
  <si>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</si>
  <si>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</si>
  <si>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</si>
  <si>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</si>
  <si>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</si>
  <si>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</si>
  <si>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</si>
  <si>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</si>
  <si>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</si>
  <si>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</si>
  <si>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</si>
  <si>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</si>
  <si>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</si>
  <si>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</si>
  <si>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</si>
  <si>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</si>
  <si>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</si>
  <si>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</si>
  <si>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</si>
  <si>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</si>
  <si>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</si>
  <si>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</si>
  <si>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</si>
  <si>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</si>
  <si>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</si>
  <si>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</si>
  <si>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</si>
  <si>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</si>
  <si>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</si>
  <si>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</si>
  <si>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</si>
  <si>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</si>
  <si>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</si>
  <si>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</si>
  <si>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</si>
  <si>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</si>
  <si>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</si>
  <si>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</si>
  <si>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</si>
  <si>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</si>
  <si>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</si>
  <si>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</si>
  <si>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</si>
  <si>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</si>
  <si>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</si>
  <si>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</si>
  <si>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</si>
  <si>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</si>
  <si>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</si>
  <si>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</si>
  <si>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</si>
  <si>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</si>
  <si>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</si>
  <si>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</si>
  <si>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</si>
  <si>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</si>
  <si>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</si>
  <si>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</si>
  <si>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</si>
  <si>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</si>
  <si>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</si>
  <si>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</si>
  <si>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</si>
  <si>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</si>
  <si>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</si>
  <si>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</si>
  <si>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</si>
  <si>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</si>
  <si>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</si>
  <si>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</si>
  <si>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</si>
  <si>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</si>
  <si>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</si>
  <si>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</si>
  <si>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</si>
  <si>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</si>
  <si>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</si>
  <si>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</si>
  <si>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</si>
  <si>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</si>
  <si>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</si>
  <si>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</si>
  <si>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</si>
  <si>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</si>
  <si>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</si>
  <si>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</si>
  <si>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</si>
  <si>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</si>
  <si>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</si>
  <si>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</si>
  <si>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</si>
  <si>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</si>
  <si>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</si>
  <si>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</si>
  <si>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</si>
  <si>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</si>
  <si>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</si>
  <si>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</si>
  <si>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</si>
  <si>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</si>
  <si>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</si>
  <si>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</si>
  <si>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</si>
  <si>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</si>
  <si>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</si>
  <si>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</si>
  <si>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</si>
  <si>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</si>
  <si>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</si>
  <si>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</si>
  <si>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</si>
  <si>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</si>
  <si>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</si>
  <si>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</si>
  <si>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</si>
  <si>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</si>
  <si>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</si>
  <si>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</si>
  <si>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</si>
  <si>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</si>
  <si>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</si>
  <si>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</si>
  <si>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</si>
  <si>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</si>
  <si>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</si>
  <si>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</si>
  <si>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</si>
  <si>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</si>
  <si>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</si>
  <si>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</si>
  <si>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</si>
  <si>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</si>
  <si>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</si>
  <si>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</si>
  <si>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</si>
  <si>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</si>
  <si>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</si>
  <si>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</si>
  <si>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</si>
  <si>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</si>
  <si>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</si>
  <si>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</si>
  <si>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</si>
  <si>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</si>
  <si>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</si>
  <si>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</si>
  <si>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</si>
  <si>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</si>
  <si>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</si>
  <si>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</si>
  <si>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</si>
  <si>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</si>
  <si>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</si>
  <si>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</si>
  <si>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</si>
  <si>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</si>
  <si>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</si>
  <si>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</si>
  <si>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</si>
  <si>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</si>
  <si>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</si>
  <si>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</si>
  <si>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</si>
  <si>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</si>
  <si>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</si>
  <si>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</si>
  <si>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</si>
  <si>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</si>
  <si>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</si>
  <si>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</si>
  <si>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</si>
  <si>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</si>
  <si>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</si>
  <si>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</si>
  <si>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</si>
  <si>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</si>
  <si>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</si>
  <si>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</si>
  <si>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</si>
  <si>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</si>
  <si>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</si>
  <si>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</si>
  <si>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</si>
  <si>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</si>
  <si>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</si>
  <si>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</si>
  <si>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</si>
  <si>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</si>
  <si>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</si>
  <si>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</si>
  <si>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</si>
  <si>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</si>
  <si>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</si>
  <si>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</si>
  <si>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</si>
  <si>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</si>
  <si>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</si>
  <si>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</si>
  <si>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</si>
  <si>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</si>
  <si>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</si>
  <si>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</si>
  <si>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</si>
  <si>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</si>
  <si>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</si>
  <si>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</si>
  <si>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</si>
  <si>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</si>
  <si>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</si>
  <si>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</si>
  <si>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</si>
  <si>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</si>
  <si>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</si>
  <si>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</si>
  <si>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</si>
  <si>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</si>
  <si>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</si>
  <si>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</si>
  <si>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</si>
  <si>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</si>
  <si>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</si>
  <si>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</si>
  <si>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</si>
  <si>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</si>
  <si>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</si>
  <si>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</si>
  <si>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</si>
  <si>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</si>
  <si>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</si>
  <si>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</si>
  <si>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</si>
  <si>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</si>
  <si>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</si>
  <si>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</si>
  <si>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</si>
  <si>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</si>
  <si>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</si>
  <si>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</si>
  <si>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</si>
  <si>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</si>
  <si>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</si>
  <si>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</si>
  <si>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</si>
  <si>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</si>
  <si>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</si>
  <si>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</si>
  <si>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</si>
  <si>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</si>
  <si>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</si>
  <si>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</si>
  <si>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</si>
  <si>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</si>
  <si>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</si>
  <si>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</si>
  <si>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</si>
  <si>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</si>
  <si>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</si>
  <si>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</si>
  <si>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</si>
  <si>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</si>
  <si>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</si>
  <si>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</si>
  <si>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</si>
  <si>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</si>
  <si>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</si>
  <si>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</si>
  <si>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</si>
  <si>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</si>
  <si>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</si>
  <si>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</si>
  <si>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</si>
  <si>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</si>
  <si>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</si>
  <si>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</si>
  <si>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</si>
  <si>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</si>
  <si>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</si>
  <si>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</si>
  <si>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</si>
  <si>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</si>
  <si>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</si>
  <si>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</si>
  <si>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</si>
  <si>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</si>
  <si>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</si>
  <si>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</si>
  <si>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</si>
  <si>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</si>
  <si>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</si>
  <si>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</si>
  <si>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</si>
  <si>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</si>
  <si>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</si>
  <si>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</si>
  <si>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</si>
  <si>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</si>
  <si>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</si>
  <si>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</si>
  <si>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</si>
  <si>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</si>
  <si>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</si>
  <si>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</si>
  <si>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</si>
  <si>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</si>
  <si>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</si>
  <si>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</si>
  <si>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</si>
  <si>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</si>
  <si>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</si>
  <si>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</si>
  <si>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</si>
  <si>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</si>
  <si>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</si>
  <si>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</si>
  <si>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</si>
  <si>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</si>
  <si>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</si>
  <si>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</si>
  <si>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</si>
  <si>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</si>
  <si>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</si>
  <si>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</si>
  <si>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</si>
  <si>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</si>
  <si>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</si>
  <si>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</si>
  <si>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</si>
  <si>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</si>
  <si>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</si>
  <si>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</si>
  <si>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</si>
  <si>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</si>
  <si>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</si>
  <si>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</si>
  <si>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</si>
  <si>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</si>
  <si>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</si>
  <si>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</si>
  <si>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</si>
  <si>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</si>
  <si>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</si>
  <si>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</si>
  <si>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</si>
  <si>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</si>
  <si>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</si>
  <si>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</si>
  <si>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</si>
  <si>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</si>
  <si>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</si>
  <si>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</si>
  <si>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</si>
  <si>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</si>
  <si>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</si>
  <si>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</si>
  <si>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</si>
  <si>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</si>
  <si>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</si>
  <si>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</si>
  <si>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</si>
  <si>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</si>
  <si>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</si>
  <si>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</si>
  <si>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</si>
  <si>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</si>
  <si>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</si>
  <si>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</si>
  <si>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</si>
  <si>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</si>
  <si>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</si>
  <si>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</si>
  <si>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</si>
  <si>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</si>
  <si>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</si>
  <si>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</si>
  <si>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</si>
  <si>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</si>
  <si>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</si>
  <si>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</si>
  <si>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</si>
  <si>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</si>
  <si>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</si>
  <si>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</si>
  <si>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</si>
  <si>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</si>
  <si>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</si>
  <si>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</si>
  <si>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</si>
  <si>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</si>
  <si>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</si>
  <si>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</si>
  <si>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</si>
  <si>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</si>
  <si>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</si>
  <si>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</si>
  <si>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</si>
  <si>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</si>
  <si>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</si>
  <si>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</si>
  <si>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</si>
  <si>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</si>
  <si>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</si>
  <si>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</si>
  <si>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</si>
  <si>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</si>
  <si>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</si>
  <si>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</si>
  <si>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</si>
  <si>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</si>
  <si>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</si>
  <si>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</si>
  <si>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</si>
  <si>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</si>
  <si>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</si>
  <si>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</si>
  <si>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</si>
  <si>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</si>
  <si>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</si>
  <si>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</si>
  <si>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</si>
  <si>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</si>
  <si>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</si>
  <si>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</si>
  <si>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</si>
  <si>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</si>
  <si>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</si>
  <si>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</si>
  <si>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</si>
  <si>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</si>
  <si>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</si>
  <si>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</si>
  <si>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</si>
  <si>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</si>
  <si>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</si>
  <si>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</si>
  <si>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</si>
  <si>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</si>
  <si>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</si>
  <si>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</si>
  <si>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</si>
  <si>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</si>
  <si>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</si>
  <si>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</si>
  <si>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</si>
  <si>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</si>
  <si>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</si>
  <si>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</si>
  <si>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</si>
  <si>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</si>
  <si>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</si>
  <si>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</si>
  <si>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</si>
  <si>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</si>
  <si>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</si>
  <si>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</si>
  <si>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</si>
  <si>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</si>
  <si>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</si>
  <si>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</si>
  <si>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</si>
  <si>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</si>
  <si>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</si>
  <si>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</si>
  <si>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</si>
  <si>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</si>
  <si>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</si>
  <si>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</si>
  <si>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</si>
  <si>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</si>
  <si>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</si>
  <si>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</si>
  <si>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</si>
  <si>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</si>
  <si>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</si>
  <si>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</si>
  <si>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</si>
  <si>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</si>
  <si>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</si>
  <si>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</si>
  <si>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</si>
  <si>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</si>
  <si>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</si>
  <si>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</si>
  <si>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</si>
  <si>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</si>
  <si>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</si>
  <si>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</si>
  <si>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</si>
  <si>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</si>
  <si>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</si>
  <si>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</si>
  <si>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</si>
  <si>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</si>
  <si>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</si>
  <si>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</si>
  <si>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</si>
  <si>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</si>
  <si>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</si>
  <si>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</si>
  <si>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</si>
  <si>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</si>
  <si>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</si>
  <si>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</si>
  <si>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</si>
  <si>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</si>
  <si>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</si>
  <si>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</si>
  <si>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</si>
  <si>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</si>
  <si>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</si>
  <si>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</si>
  <si>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</si>
  <si>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</si>
  <si>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</si>
  <si>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</si>
  <si>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</si>
  <si>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</si>
  <si>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</si>
  <si>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</si>
  <si>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</si>
  <si>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</si>
  <si>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</si>
  <si>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</si>
  <si>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</si>
  <si>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</si>
  <si>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</si>
  <si>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</si>
  <si>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</si>
  <si>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</si>
  <si>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</si>
  <si>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</si>
  <si>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</si>
  <si>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</si>
  <si>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</si>
  <si>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</si>
  <si>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</si>
  <si>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</si>
  <si>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</si>
  <si>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</si>
  <si>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</si>
  <si>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</si>
  <si>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</si>
  <si>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</si>
  <si>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</si>
  <si>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</si>
  <si>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</si>
  <si>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</si>
  <si>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</si>
  <si>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</si>
  <si>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</si>
  <si>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</si>
  <si>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</si>
  <si>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</si>
  <si>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</si>
  <si>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</si>
  <si>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</si>
  <si>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</si>
  <si>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</si>
  <si>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</si>
  <si>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</si>
  <si>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</si>
  <si>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</si>
  <si>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</si>
  <si>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</si>
  <si>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</si>
  <si>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</si>
  <si>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</si>
  <si>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</si>
  <si>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</si>
  <si>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</si>
  <si>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</si>
  <si>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</si>
  <si>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</si>
  <si>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</si>
  <si>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</si>
  <si>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</si>
  <si>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</si>
  <si>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</si>
  <si>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</si>
  <si>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</si>
  <si>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</si>
  <si>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</si>
  <si>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</si>
  <si>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</si>
  <si>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</si>
  <si>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</si>
  <si>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</si>
  <si>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</si>
  <si>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</si>
  <si>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</si>
  <si>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</si>
  <si>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</si>
  <si>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</si>
  <si>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</si>
  <si>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</si>
  <si>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</si>
  <si>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</si>
  <si>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</si>
  <si>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</si>
  <si>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</si>
  <si>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</si>
  <si>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</si>
  <si>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</si>
  <si>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</si>
  <si>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</si>
  <si>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</si>
  <si>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</si>
  <si>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</si>
  <si>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</si>
  <si>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</si>
  <si>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</si>
  <si>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</si>
  <si>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</si>
  <si>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</si>
  <si>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</si>
  <si>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</si>
  <si>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</si>
  <si>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</si>
  <si>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</si>
  <si>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</si>
  <si>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</si>
  <si>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</si>
  <si>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</si>
  <si>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</si>
  <si>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</si>
  <si>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</si>
  <si>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</si>
  <si>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</si>
  <si>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</si>
  <si>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</si>
  <si>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</si>
  <si>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</si>
  <si>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</si>
  <si>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</si>
  <si>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</si>
  <si>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</si>
  <si>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</si>
  <si>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</si>
  <si>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</si>
  <si>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</si>
  <si>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</si>
  <si>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</si>
  <si>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</si>
  <si>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</si>
  <si>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</si>
  <si>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</si>
  <si>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</si>
  <si>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</si>
  <si>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</si>
  <si>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</si>
  <si>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</si>
  <si>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73066</t>
  </si>
  <si>
    <t>RIEMST</t>
  </si>
  <si>
    <t>Fluvius</t>
  </si>
  <si>
    <t>referentietaak LNE (2017); Jaarverslag De Lijn</t>
  </si>
  <si>
    <t>Heereveldhoeve bvba</t>
  </si>
  <si>
    <t>Heerestraat 1 , 3770 Millen</t>
  </si>
  <si>
    <t>WKK-0419 Heereveldhoeve</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</si>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</sst>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153225.49298797254</c:v>
                </c:pt>
                <c:pt idx="1">
                  <c:v>23924.28784656569</c:v>
                </c:pt>
                <c:pt idx="2">
                  <c:v>895.76900000000001</c:v>
                </c:pt>
                <c:pt idx="3">
                  <c:v>47597.821674993007</c:v>
                </c:pt>
                <c:pt idx="4">
                  <c:v>12304.744106271068</c:v>
                </c:pt>
                <c:pt idx="5">
                  <c:v>134622.37823745268</c:v>
                </c:pt>
                <c:pt idx="6">
                  <c:v>1695.5124395235155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153225.49298797254</c:v>
                </c:pt>
                <c:pt idx="1">
                  <c:v>23924.28784656569</c:v>
                </c:pt>
                <c:pt idx="2">
                  <c:v>895.76900000000001</c:v>
                </c:pt>
                <c:pt idx="3">
                  <c:v>47597.821674993007</c:v>
                </c:pt>
                <c:pt idx="4">
                  <c:v>12304.744106271068</c:v>
                </c:pt>
                <c:pt idx="5">
                  <c:v>134622.37823745268</c:v>
                </c:pt>
                <c:pt idx="6">
                  <c:v>1695.5124395235155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32015.415335127054</c:v>
                </c:pt>
                <c:pt idx="2">
                  <c:v>4549.2653248439328</c:v>
                </c:pt>
                <c:pt idx="3">
                  <c:v>166.61351640076242</c:v>
                </c:pt>
                <c:pt idx="4">
                  <c:v>11866.273216059381</c:v>
                </c:pt>
                <c:pt idx="5">
                  <c:v>2466.8323288967458</c:v>
                </c:pt>
                <c:pt idx="6">
                  <c:v>33704.516359042245</c:v>
                </c:pt>
                <c:pt idx="7">
                  <c:v>428.37391208406422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32015.415335127054</c:v>
                </c:pt>
                <c:pt idx="2">
                  <c:v>4549.2653248439328</c:v>
                </c:pt>
                <c:pt idx="3">
                  <c:v>166.61351640076242</c:v>
                </c:pt>
                <c:pt idx="4">
                  <c:v>11866.273216059381</c:v>
                </c:pt>
                <c:pt idx="5">
                  <c:v>2466.8323288967458</c:v>
                </c:pt>
                <c:pt idx="6">
                  <c:v>33704.516359042245</c:v>
                </c:pt>
                <c:pt idx="7">
                  <c:v>428.37391208406422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73066</v>
      </c>
      <c r="B6" s="390"/>
      <c r="C6" s="391"/>
    </row>
    <row r="7" spans="1:7" s="388" customFormat="1" ht="15.75" customHeight="1">
      <c r="A7" s="392" t="str">
        <f>txtMunicipality</f>
        <v>RIEMST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12232.100180000001</v>
      </c>
      <c r="D10" s="979">
        <f ca="1">tertiair!C16</f>
        <v>0</v>
      </c>
      <c r="E10" s="979">
        <f ca="1">tertiair!D16</f>
        <v>9213.8838645039996</v>
      </c>
      <c r="F10" s="979">
        <f>tertiair!E16</f>
        <v>197.70908012079258</v>
      </c>
      <c r="G10" s="979">
        <f ca="1">tertiair!F16</f>
        <v>2002.2731313627414</v>
      </c>
      <c r="H10" s="979">
        <f>tertiair!G16</f>
        <v>0</v>
      </c>
      <c r="I10" s="979">
        <f>tertiair!H16</f>
        <v>0</v>
      </c>
      <c r="J10" s="979">
        <f>tertiair!I16</f>
        <v>0</v>
      </c>
      <c r="K10" s="979">
        <f>tertiair!J16</f>
        <v>2.8792343308541943E-2</v>
      </c>
      <c r="L10" s="979">
        <f>tertiair!K16</f>
        <v>0</v>
      </c>
      <c r="M10" s="979">
        <f ca="1">tertiair!L16</f>
        <v>0</v>
      </c>
      <c r="N10" s="979">
        <f>tertiair!M16</f>
        <v>0</v>
      </c>
      <c r="O10" s="979">
        <f ca="1">tertiair!N16</f>
        <v>1150.3051315681812</v>
      </c>
      <c r="P10" s="979">
        <f>tertiair!O16</f>
        <v>4.6900000000000004</v>
      </c>
      <c r="Q10" s="980">
        <f>tertiair!P16</f>
        <v>19.066666666666666</v>
      </c>
      <c r="R10" s="674">
        <f ca="1">SUM(C10:Q10)</f>
        <v>24820.056846565691</v>
      </c>
      <c r="S10" s="67"/>
    </row>
    <row r="11" spans="1:19" s="447" customFormat="1">
      <c r="A11" s="783" t="s">
        <v>224</v>
      </c>
      <c r="B11" s="788"/>
      <c r="C11" s="979">
        <f>huishoudens!B8</f>
        <v>28690.467938869966</v>
      </c>
      <c r="D11" s="979">
        <f>huishoudens!C8</f>
        <v>0</v>
      </c>
      <c r="E11" s="979">
        <f>huishoudens!D8</f>
        <v>39646.635587900004</v>
      </c>
      <c r="F11" s="979">
        <f>huishoudens!E8</f>
        <v>12985.32291148729</v>
      </c>
      <c r="G11" s="979">
        <f>huishoudens!F8</f>
        <v>58886.457520910139</v>
      </c>
      <c r="H11" s="979">
        <f>huishoudens!G8</f>
        <v>0</v>
      </c>
      <c r="I11" s="979">
        <f>huishoudens!H8</f>
        <v>0</v>
      </c>
      <c r="J11" s="979">
        <f>huishoudens!I8</f>
        <v>0</v>
      </c>
      <c r="K11" s="979">
        <f>huishoudens!J8</f>
        <v>0</v>
      </c>
      <c r="L11" s="979">
        <f>huishoudens!K8</f>
        <v>0</v>
      </c>
      <c r="M11" s="979">
        <f>huishoudens!L8</f>
        <v>0</v>
      </c>
      <c r="N11" s="979">
        <f>huishoudens!M8</f>
        <v>0</v>
      </c>
      <c r="O11" s="979">
        <f>huishoudens!N8</f>
        <v>11527.112362138465</v>
      </c>
      <c r="P11" s="979">
        <f>huishoudens!O8</f>
        <v>345.49666666666667</v>
      </c>
      <c r="Q11" s="980">
        <f>huishoudens!P8</f>
        <v>1144</v>
      </c>
      <c r="R11" s="674">
        <f>SUM(C11:Q11)</f>
        <v>153225.49298797254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2585.6673539999997</v>
      </c>
      <c r="D13" s="979">
        <f>industrie!C18</f>
        <v>0</v>
      </c>
      <c r="E13" s="979">
        <f>industrie!D18</f>
        <v>8088.0962799340014</v>
      </c>
      <c r="F13" s="979">
        <f>industrie!E18</f>
        <v>308.51347254127938</v>
      </c>
      <c r="G13" s="979">
        <f>industrie!F18</f>
        <v>1055.083505577707</v>
      </c>
      <c r="H13" s="979">
        <f>industrie!G18</f>
        <v>0</v>
      </c>
      <c r="I13" s="979">
        <f>industrie!H18</f>
        <v>0</v>
      </c>
      <c r="J13" s="979">
        <f>industrie!I18</f>
        <v>0</v>
      </c>
      <c r="K13" s="979">
        <f>industrie!J18</f>
        <v>1.0212027794621634</v>
      </c>
      <c r="L13" s="979">
        <f>industrie!K18</f>
        <v>0</v>
      </c>
      <c r="M13" s="979">
        <f>industrie!L18</f>
        <v>0</v>
      </c>
      <c r="N13" s="979">
        <f>industrie!M18</f>
        <v>0</v>
      </c>
      <c r="O13" s="979">
        <f>industrie!N18</f>
        <v>266.362291438618</v>
      </c>
      <c r="P13" s="979">
        <f>industrie!O18</f>
        <v>0</v>
      </c>
      <c r="Q13" s="980">
        <f>industrie!P18</f>
        <v>0</v>
      </c>
      <c r="R13" s="674">
        <f>SUM(C13:Q13)</f>
        <v>12304.744106271068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43508.235472869965</v>
      </c>
      <c r="D16" s="706">
        <f t="shared" ref="D16:R16" ca="1" si="0">SUM(D9:D15)</f>
        <v>0</v>
      </c>
      <c r="E16" s="706">
        <f t="shared" ca="1" si="0"/>
        <v>56948.615732338003</v>
      </c>
      <c r="F16" s="706">
        <f t="shared" si="0"/>
        <v>13491.545464149362</v>
      </c>
      <c r="G16" s="706">
        <f t="shared" ca="1" si="0"/>
        <v>61943.814157850589</v>
      </c>
      <c r="H16" s="706">
        <f t="shared" si="0"/>
        <v>0</v>
      </c>
      <c r="I16" s="706">
        <f t="shared" si="0"/>
        <v>0</v>
      </c>
      <c r="J16" s="706">
        <f t="shared" si="0"/>
        <v>0</v>
      </c>
      <c r="K16" s="706">
        <f t="shared" si="0"/>
        <v>1.0499951227707054</v>
      </c>
      <c r="L16" s="706">
        <f t="shared" si="0"/>
        <v>0</v>
      </c>
      <c r="M16" s="706">
        <f t="shared" ca="1" si="0"/>
        <v>0</v>
      </c>
      <c r="N16" s="706">
        <f t="shared" si="0"/>
        <v>0</v>
      </c>
      <c r="O16" s="706">
        <f t="shared" ca="1" si="0"/>
        <v>12943.779785145263</v>
      </c>
      <c r="P16" s="706">
        <f t="shared" si="0"/>
        <v>350.18666666666667</v>
      </c>
      <c r="Q16" s="706">
        <f t="shared" si="0"/>
        <v>1163.0666666666666</v>
      </c>
      <c r="R16" s="706">
        <f t="shared" ca="1" si="0"/>
        <v>190350.29394080929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1604.3966744721506</v>
      </c>
      <c r="I19" s="979">
        <f>transport!H54</f>
        <v>0</v>
      </c>
      <c r="J19" s="979">
        <f>transport!I54</f>
        <v>0</v>
      </c>
      <c r="K19" s="979">
        <f>transport!J54</f>
        <v>0</v>
      </c>
      <c r="L19" s="979">
        <f>transport!K54</f>
        <v>0</v>
      </c>
      <c r="M19" s="979">
        <f>transport!L54</f>
        <v>0</v>
      </c>
      <c r="N19" s="979">
        <f>transport!M54</f>
        <v>91.115765051364903</v>
      </c>
      <c r="O19" s="979">
        <f>transport!N54</f>
        <v>0</v>
      </c>
      <c r="P19" s="979">
        <f>transport!O54</f>
        <v>0</v>
      </c>
      <c r="Q19" s="980">
        <f>transport!P54</f>
        <v>0</v>
      </c>
      <c r="R19" s="674">
        <f>SUM(C19:Q19)</f>
        <v>1695.5124395235155</v>
      </c>
      <c r="S19" s="67"/>
    </row>
    <row r="20" spans="1:19" s="447" customFormat="1">
      <c r="A20" s="783" t="s">
        <v>306</v>
      </c>
      <c r="B20" s="788"/>
      <c r="C20" s="979">
        <f>transport!B14</f>
        <v>46.843062799309671</v>
      </c>
      <c r="D20" s="979">
        <f>transport!C14</f>
        <v>0</v>
      </c>
      <c r="E20" s="979">
        <f>transport!D14</f>
        <v>131.49107349411562</v>
      </c>
      <c r="F20" s="979">
        <f>transport!E14</f>
        <v>236.1508573440907</v>
      </c>
      <c r="G20" s="979">
        <f>transport!F14</f>
        <v>0</v>
      </c>
      <c r="H20" s="979">
        <f>transport!G14</f>
        <v>104973.41814335989</v>
      </c>
      <c r="I20" s="979">
        <f>transport!H14</f>
        <v>22440.696539739154</v>
      </c>
      <c r="J20" s="979">
        <f>transport!I14</f>
        <v>0</v>
      </c>
      <c r="K20" s="979">
        <f>transport!J14</f>
        <v>0</v>
      </c>
      <c r="L20" s="979">
        <f>transport!K14</f>
        <v>0</v>
      </c>
      <c r="M20" s="979">
        <f>transport!L14</f>
        <v>0</v>
      </c>
      <c r="N20" s="979">
        <f>transport!M14</f>
        <v>6793.7785607161413</v>
      </c>
      <c r="O20" s="979">
        <f>transport!N14</f>
        <v>0</v>
      </c>
      <c r="P20" s="979">
        <f>transport!O14</f>
        <v>0</v>
      </c>
      <c r="Q20" s="980">
        <f>transport!P14</f>
        <v>0</v>
      </c>
      <c r="R20" s="674">
        <f>SUM(C20:Q20)</f>
        <v>134622.37823745268</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46.843062799309671</v>
      </c>
      <c r="D22" s="786">
        <f t="shared" ref="D22:R22" si="1">SUM(D18:D21)</f>
        <v>0</v>
      </c>
      <c r="E22" s="786">
        <f t="shared" si="1"/>
        <v>131.49107349411562</v>
      </c>
      <c r="F22" s="786">
        <f t="shared" si="1"/>
        <v>236.1508573440907</v>
      </c>
      <c r="G22" s="786">
        <f t="shared" si="1"/>
        <v>0</v>
      </c>
      <c r="H22" s="786">
        <f t="shared" si="1"/>
        <v>106577.81481783204</v>
      </c>
      <c r="I22" s="786">
        <f t="shared" si="1"/>
        <v>22440.696539739154</v>
      </c>
      <c r="J22" s="786">
        <f t="shared" si="1"/>
        <v>0</v>
      </c>
      <c r="K22" s="786">
        <f t="shared" si="1"/>
        <v>0</v>
      </c>
      <c r="L22" s="786">
        <f t="shared" si="1"/>
        <v>0</v>
      </c>
      <c r="M22" s="786">
        <f t="shared" si="1"/>
        <v>0</v>
      </c>
      <c r="N22" s="786">
        <f t="shared" si="1"/>
        <v>6884.8943257675064</v>
      </c>
      <c r="O22" s="786">
        <f t="shared" si="1"/>
        <v>0</v>
      </c>
      <c r="P22" s="786">
        <f t="shared" si="1"/>
        <v>0</v>
      </c>
      <c r="Q22" s="786">
        <f t="shared" si="1"/>
        <v>0</v>
      </c>
      <c r="R22" s="786">
        <f t="shared" si="1"/>
        <v>136317.89067697618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8168.4384890000001</v>
      </c>
      <c r="D24" s="979">
        <f>+landbouw!C8</f>
        <v>77.142857142857139</v>
      </c>
      <c r="E24" s="979">
        <f>+landbouw!D8</f>
        <v>3899.4403086100001</v>
      </c>
      <c r="F24" s="979">
        <f>+landbouw!E8</f>
        <v>240.09535648253998</v>
      </c>
      <c r="G24" s="979">
        <f>+landbouw!F8</f>
        <v>34029.273345926071</v>
      </c>
      <c r="H24" s="979">
        <f>+landbouw!G8</f>
        <v>0</v>
      </c>
      <c r="I24" s="979">
        <f>+landbouw!H8</f>
        <v>0</v>
      </c>
      <c r="J24" s="979">
        <f>+landbouw!I8</f>
        <v>0</v>
      </c>
      <c r="K24" s="979">
        <f>+landbouw!J8</f>
        <v>1183.4313178315447</v>
      </c>
      <c r="L24" s="979">
        <f>+landbouw!K8</f>
        <v>0</v>
      </c>
      <c r="M24" s="979">
        <f>+landbouw!L8</f>
        <v>0</v>
      </c>
      <c r="N24" s="979">
        <f>+landbouw!M8</f>
        <v>0</v>
      </c>
      <c r="O24" s="979">
        <f>+landbouw!N8</f>
        <v>0</v>
      </c>
      <c r="P24" s="979">
        <f>+landbouw!O8</f>
        <v>0</v>
      </c>
      <c r="Q24" s="980">
        <f>+landbouw!P8</f>
        <v>0</v>
      </c>
      <c r="R24" s="674">
        <f>SUM(C24:Q24)</f>
        <v>47597.821674993007</v>
      </c>
      <c r="S24" s="67"/>
    </row>
    <row r="25" spans="1:19" s="447" customFormat="1" ht="15" thickBot="1">
      <c r="A25" s="805" t="s">
        <v>823</v>
      </c>
      <c r="B25" s="982"/>
      <c r="C25" s="983">
        <f>IF(Onbekend_ele_kWh="---",0,Onbekend_ele_kWh)/1000+IF(REST_rest_ele_kWh="---",0,REST_rest_ele_kWh)/1000</f>
        <v>499.08634999999998</v>
      </c>
      <c r="D25" s="983"/>
      <c r="E25" s="983">
        <f>IF(onbekend_gas_kWh="---",0,onbekend_gas_kWh)/1000+IF(REST_rest_gas_kWh="---",0,REST_rest_gas_kWh)/1000</f>
        <v>1185.4760000000001</v>
      </c>
      <c r="F25" s="983"/>
      <c r="G25" s="983"/>
      <c r="H25" s="983"/>
      <c r="I25" s="983"/>
      <c r="J25" s="983"/>
      <c r="K25" s="983"/>
      <c r="L25" s="983"/>
      <c r="M25" s="983"/>
      <c r="N25" s="983"/>
      <c r="O25" s="983"/>
      <c r="P25" s="983"/>
      <c r="Q25" s="984"/>
      <c r="R25" s="674">
        <f>SUM(C25:Q25)</f>
        <v>1684.5623500000002</v>
      </c>
      <c r="S25" s="67"/>
    </row>
    <row r="26" spans="1:19" s="447" customFormat="1" ht="15.75" thickBot="1">
      <c r="A26" s="679" t="s">
        <v>824</v>
      </c>
      <c r="B26" s="791"/>
      <c r="C26" s="786">
        <f>SUM(C24:C25)</f>
        <v>8667.5248389999997</v>
      </c>
      <c r="D26" s="786">
        <f t="shared" ref="D26:R26" si="2">SUM(D24:D25)</f>
        <v>77.142857142857139</v>
      </c>
      <c r="E26" s="786">
        <f t="shared" si="2"/>
        <v>5084.9163086099998</v>
      </c>
      <c r="F26" s="786">
        <f t="shared" si="2"/>
        <v>240.09535648253998</v>
      </c>
      <c r="G26" s="786">
        <f t="shared" si="2"/>
        <v>34029.273345926071</v>
      </c>
      <c r="H26" s="786">
        <f t="shared" si="2"/>
        <v>0</v>
      </c>
      <c r="I26" s="786">
        <f t="shared" si="2"/>
        <v>0</v>
      </c>
      <c r="J26" s="786">
        <f t="shared" si="2"/>
        <v>0</v>
      </c>
      <c r="K26" s="786">
        <f t="shared" si="2"/>
        <v>1183.4313178315447</v>
      </c>
      <c r="L26" s="786">
        <f t="shared" si="2"/>
        <v>0</v>
      </c>
      <c r="M26" s="786">
        <f t="shared" si="2"/>
        <v>0</v>
      </c>
      <c r="N26" s="786">
        <f t="shared" si="2"/>
        <v>0</v>
      </c>
      <c r="O26" s="786">
        <f t="shared" si="2"/>
        <v>0</v>
      </c>
      <c r="P26" s="786">
        <f t="shared" si="2"/>
        <v>0</v>
      </c>
      <c r="Q26" s="786">
        <f t="shared" si="2"/>
        <v>0</v>
      </c>
      <c r="R26" s="786">
        <f t="shared" si="2"/>
        <v>49282.384024993007</v>
      </c>
      <c r="S26" s="67"/>
    </row>
    <row r="27" spans="1:19" s="447" customFormat="1" ht="17.25" thickTop="1" thickBot="1">
      <c r="A27" s="680" t="s">
        <v>115</v>
      </c>
      <c r="B27" s="779"/>
      <c r="C27" s="681">
        <f ca="1">C22+C16+C26</f>
        <v>52222.60337466927</v>
      </c>
      <c r="D27" s="681">
        <f t="shared" ref="D27:R27" ca="1" si="3">D22+D16+D26</f>
        <v>77.142857142857139</v>
      </c>
      <c r="E27" s="681">
        <f t="shared" ca="1" si="3"/>
        <v>62165.02311444212</v>
      </c>
      <c r="F27" s="681">
        <f t="shared" si="3"/>
        <v>13967.791677975993</v>
      </c>
      <c r="G27" s="681">
        <f t="shared" ca="1" si="3"/>
        <v>95973.087503776653</v>
      </c>
      <c r="H27" s="681">
        <f t="shared" si="3"/>
        <v>106577.81481783204</v>
      </c>
      <c r="I27" s="681">
        <f t="shared" si="3"/>
        <v>22440.696539739154</v>
      </c>
      <c r="J27" s="681">
        <f t="shared" si="3"/>
        <v>0</v>
      </c>
      <c r="K27" s="681">
        <f t="shared" si="3"/>
        <v>1184.4813129543154</v>
      </c>
      <c r="L27" s="681">
        <f t="shared" si="3"/>
        <v>0</v>
      </c>
      <c r="M27" s="681">
        <f t="shared" ca="1" si="3"/>
        <v>0</v>
      </c>
      <c r="N27" s="681">
        <f t="shared" si="3"/>
        <v>6884.8943257675064</v>
      </c>
      <c r="O27" s="681">
        <f t="shared" ca="1" si="3"/>
        <v>12943.779785145263</v>
      </c>
      <c r="P27" s="681">
        <f t="shared" si="3"/>
        <v>350.18666666666667</v>
      </c>
      <c r="Q27" s="681">
        <f t="shared" si="3"/>
        <v>1163.0666666666666</v>
      </c>
      <c r="R27" s="681">
        <f t="shared" ca="1" si="3"/>
        <v>375950.5686427785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2275.1772208640832</v>
      </c>
      <c r="D40" s="979">
        <f ca="1">tertiair!C20</f>
        <v>0</v>
      </c>
      <c r="E40" s="979">
        <f ca="1">tertiair!D20</f>
        <v>1861.204540629808</v>
      </c>
      <c r="F40" s="979">
        <f>tertiair!E20</f>
        <v>44.879961187419916</v>
      </c>
      <c r="G40" s="979">
        <f ca="1">tertiair!F20</f>
        <v>534.60692607385204</v>
      </c>
      <c r="H40" s="979">
        <f>tertiair!G20</f>
        <v>0</v>
      </c>
      <c r="I40" s="979">
        <f>tertiair!H20</f>
        <v>0</v>
      </c>
      <c r="J40" s="979">
        <f>tertiair!I20</f>
        <v>0</v>
      </c>
      <c r="K40" s="979">
        <f>tertiair!J20</f>
        <v>1.0192489531223847E-2</v>
      </c>
      <c r="L40" s="979">
        <f>tertiair!K20</f>
        <v>0</v>
      </c>
      <c r="M40" s="979">
        <f ca="1">tertiair!L20</f>
        <v>0</v>
      </c>
      <c r="N40" s="979">
        <f>tertiair!M20</f>
        <v>0</v>
      </c>
      <c r="O40" s="979">
        <f ca="1">tertiair!N20</f>
        <v>0</v>
      </c>
      <c r="P40" s="979">
        <f>tertiair!O20</f>
        <v>0</v>
      </c>
      <c r="Q40" s="748">
        <f>tertiair!P20</f>
        <v>0</v>
      </c>
      <c r="R40" s="824">
        <f t="shared" ca="1" si="4"/>
        <v>4715.8788412446947</v>
      </c>
    </row>
    <row r="41" spans="1:18">
      <c r="A41" s="796" t="s">
        <v>224</v>
      </c>
      <c r="B41" s="803"/>
      <c r="C41" s="979">
        <f ca="1">huishoudens!B12</f>
        <v>5336.4424873806292</v>
      </c>
      <c r="D41" s="979">
        <f ca="1">huishoudens!C12</f>
        <v>0</v>
      </c>
      <c r="E41" s="979">
        <f>huishoudens!D12</f>
        <v>8008.6203887558013</v>
      </c>
      <c r="F41" s="979">
        <f>huishoudens!E12</f>
        <v>2947.668300907615</v>
      </c>
      <c r="G41" s="979">
        <f>huishoudens!F12</f>
        <v>15722.684158083008</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32015.415335127054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480.93552031002957</v>
      </c>
      <c r="D43" s="979">
        <f ca="1">industrie!C22</f>
        <v>0</v>
      </c>
      <c r="E43" s="979">
        <f>industrie!D22</f>
        <v>1633.7954485466685</v>
      </c>
      <c r="F43" s="979">
        <f>industrie!E22</f>
        <v>70.032558266870424</v>
      </c>
      <c r="G43" s="979">
        <f>industrie!F22</f>
        <v>281.70729598924777</v>
      </c>
      <c r="H43" s="979">
        <f>industrie!G22</f>
        <v>0</v>
      </c>
      <c r="I43" s="979">
        <f>industrie!H22</f>
        <v>0</v>
      </c>
      <c r="J43" s="979">
        <f>industrie!I22</f>
        <v>0</v>
      </c>
      <c r="K43" s="979">
        <f>industrie!J22</f>
        <v>0.36150578392960581</v>
      </c>
      <c r="L43" s="979">
        <f>industrie!K22</f>
        <v>0</v>
      </c>
      <c r="M43" s="979">
        <f>industrie!L22</f>
        <v>0</v>
      </c>
      <c r="N43" s="979">
        <f>industrie!M22</f>
        <v>0</v>
      </c>
      <c r="O43" s="979">
        <f>industrie!N22</f>
        <v>0</v>
      </c>
      <c r="P43" s="979">
        <f>industrie!O22</f>
        <v>0</v>
      </c>
      <c r="Q43" s="748">
        <f>industrie!P22</f>
        <v>0</v>
      </c>
      <c r="R43" s="823">
        <f t="shared" ca="1" si="4"/>
        <v>2466.8323288967458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8092.5552285547419</v>
      </c>
      <c r="D46" s="706">
        <f t="shared" ref="D46:Q46" ca="1" si="5">SUM(D39:D45)</f>
        <v>0</v>
      </c>
      <c r="E46" s="706">
        <f t="shared" ca="1" si="5"/>
        <v>11503.620377932279</v>
      </c>
      <c r="F46" s="706">
        <f t="shared" si="5"/>
        <v>3062.5808203619058</v>
      </c>
      <c r="G46" s="706">
        <f t="shared" ca="1" si="5"/>
        <v>16538.998380146106</v>
      </c>
      <c r="H46" s="706">
        <f t="shared" si="5"/>
        <v>0</v>
      </c>
      <c r="I46" s="706">
        <f t="shared" si="5"/>
        <v>0</v>
      </c>
      <c r="J46" s="706">
        <f t="shared" si="5"/>
        <v>0</v>
      </c>
      <c r="K46" s="706">
        <f t="shared" si="5"/>
        <v>0.37169827346082968</v>
      </c>
      <c r="L46" s="706">
        <f t="shared" si="5"/>
        <v>0</v>
      </c>
      <c r="M46" s="706">
        <f t="shared" ca="1" si="5"/>
        <v>0</v>
      </c>
      <c r="N46" s="706">
        <f t="shared" si="5"/>
        <v>0</v>
      </c>
      <c r="O46" s="706">
        <f t="shared" ca="1" si="5"/>
        <v>0</v>
      </c>
      <c r="P46" s="706">
        <f t="shared" si="5"/>
        <v>0</v>
      </c>
      <c r="Q46" s="706">
        <f t="shared" si="5"/>
        <v>0</v>
      </c>
      <c r="R46" s="706">
        <f ca="1">SUM(R39:R45)</f>
        <v>39198.12650526849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428.37391208406422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428.37391208406422</v>
      </c>
    </row>
    <row r="50" spans="1:18">
      <c r="A50" s="799" t="s">
        <v>306</v>
      </c>
      <c r="B50" s="809"/>
      <c r="C50" s="677">
        <f ca="1">transport!B18</f>
        <v>8.7128349071855862</v>
      </c>
      <c r="D50" s="677">
        <f>transport!C18</f>
        <v>0</v>
      </c>
      <c r="E50" s="677">
        <f>transport!D18</f>
        <v>26.561196845811359</v>
      </c>
      <c r="F50" s="677">
        <f>transport!E18</f>
        <v>53.606244617108587</v>
      </c>
      <c r="G50" s="677">
        <f>transport!F18</f>
        <v>0</v>
      </c>
      <c r="H50" s="677">
        <f>transport!G18</f>
        <v>28027.902644277092</v>
      </c>
      <c r="I50" s="677">
        <f>transport!H18</f>
        <v>5587.7334383950492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33704.516359042245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8.7128349071855862</v>
      </c>
      <c r="D52" s="706">
        <f t="shared" ref="D52:Q52" ca="1" si="6">SUM(D48:D51)</f>
        <v>0</v>
      </c>
      <c r="E52" s="706">
        <f t="shared" si="6"/>
        <v>26.561196845811359</v>
      </c>
      <c r="F52" s="706">
        <f t="shared" si="6"/>
        <v>53.606244617108587</v>
      </c>
      <c r="G52" s="706">
        <f t="shared" si="6"/>
        <v>0</v>
      </c>
      <c r="H52" s="706">
        <f t="shared" si="6"/>
        <v>28456.276556361157</v>
      </c>
      <c r="I52" s="706">
        <f t="shared" si="6"/>
        <v>5587.7334383950492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34132.890271126307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1519.3339579239964</v>
      </c>
      <c r="D54" s="677">
        <f ca="1">+landbouw!C12</f>
        <v>0</v>
      </c>
      <c r="E54" s="677">
        <f>+landbouw!D12</f>
        <v>787.68694233922008</v>
      </c>
      <c r="F54" s="677">
        <f>+landbouw!E12</f>
        <v>54.501645921536578</v>
      </c>
      <c r="G54" s="677">
        <f>+landbouw!F12</f>
        <v>9085.8159833622612</v>
      </c>
      <c r="H54" s="677">
        <f>+landbouw!G12</f>
        <v>0</v>
      </c>
      <c r="I54" s="677">
        <f>+landbouw!H12</f>
        <v>0</v>
      </c>
      <c r="J54" s="677">
        <f>+landbouw!I12</f>
        <v>0</v>
      </c>
      <c r="K54" s="677">
        <f>+landbouw!J12</f>
        <v>418.9346865123668</v>
      </c>
      <c r="L54" s="677">
        <f>+landbouw!K12</f>
        <v>0</v>
      </c>
      <c r="M54" s="677">
        <f>+landbouw!L12</f>
        <v>0</v>
      </c>
      <c r="N54" s="677">
        <f>+landbouw!M12</f>
        <v>0</v>
      </c>
      <c r="O54" s="677">
        <f>+landbouw!N12</f>
        <v>0</v>
      </c>
      <c r="P54" s="677">
        <f>+landbouw!O12</f>
        <v>0</v>
      </c>
      <c r="Q54" s="678">
        <f>+landbouw!P12</f>
        <v>0</v>
      </c>
      <c r="R54" s="705">
        <f ca="1">SUM(C54:Q54)</f>
        <v>11866.273216059381</v>
      </c>
    </row>
    <row r="55" spans="1:18" ht="15" thickBot="1">
      <c r="A55" s="799" t="s">
        <v>823</v>
      </c>
      <c r="B55" s="809"/>
      <c r="C55" s="677">
        <f ca="1">C25*'EF ele_warmte'!B12</f>
        <v>92.830329874243972</v>
      </c>
      <c r="D55" s="677"/>
      <c r="E55" s="677">
        <f>E25*EF_CO2_aardgas</f>
        <v>239.46615200000005</v>
      </c>
      <c r="F55" s="677"/>
      <c r="G55" s="677"/>
      <c r="H55" s="677"/>
      <c r="I55" s="677"/>
      <c r="J55" s="677"/>
      <c r="K55" s="677"/>
      <c r="L55" s="677"/>
      <c r="M55" s="677"/>
      <c r="N55" s="677"/>
      <c r="O55" s="677"/>
      <c r="P55" s="677"/>
      <c r="Q55" s="678"/>
      <c r="R55" s="705">
        <f ca="1">SUM(C55:Q55)</f>
        <v>332.29648187424402</v>
      </c>
    </row>
    <row r="56" spans="1:18" ht="15.75" thickBot="1">
      <c r="A56" s="797" t="s">
        <v>824</v>
      </c>
      <c r="B56" s="810"/>
      <c r="C56" s="706">
        <f ca="1">SUM(C54:C55)</f>
        <v>1612.1642877982404</v>
      </c>
      <c r="D56" s="706">
        <f t="shared" ref="D56:Q56" ca="1" si="7">SUM(D54:D55)</f>
        <v>0</v>
      </c>
      <c r="E56" s="706">
        <f t="shared" si="7"/>
        <v>1027.1530943392202</v>
      </c>
      <c r="F56" s="706">
        <f t="shared" si="7"/>
        <v>54.501645921536578</v>
      </c>
      <c r="G56" s="706">
        <f t="shared" si="7"/>
        <v>9085.8159833622612</v>
      </c>
      <c r="H56" s="706">
        <f t="shared" si="7"/>
        <v>0</v>
      </c>
      <c r="I56" s="706">
        <f t="shared" si="7"/>
        <v>0</v>
      </c>
      <c r="J56" s="706">
        <f t="shared" si="7"/>
        <v>0</v>
      </c>
      <c r="K56" s="706">
        <f t="shared" si="7"/>
        <v>418.9346865123668</v>
      </c>
      <c r="L56" s="706">
        <f t="shared" si="7"/>
        <v>0</v>
      </c>
      <c r="M56" s="706">
        <f t="shared" si="7"/>
        <v>0</v>
      </c>
      <c r="N56" s="706">
        <f t="shared" si="7"/>
        <v>0</v>
      </c>
      <c r="O56" s="706">
        <f t="shared" si="7"/>
        <v>0</v>
      </c>
      <c r="P56" s="706">
        <f t="shared" si="7"/>
        <v>0</v>
      </c>
      <c r="Q56" s="707">
        <f t="shared" si="7"/>
        <v>0</v>
      </c>
      <c r="R56" s="708">
        <f ca="1">SUM(R54:R55)</f>
        <v>12198.569697933624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9713.4323512601677</v>
      </c>
      <c r="D61" s="714">
        <f t="shared" ref="D61:Q61" ca="1" si="8">D46+D52+D56</f>
        <v>0</v>
      </c>
      <c r="E61" s="714">
        <f t="shared" ca="1" si="8"/>
        <v>12557.33466911731</v>
      </c>
      <c r="F61" s="714">
        <f t="shared" si="8"/>
        <v>3170.6887109005511</v>
      </c>
      <c r="G61" s="714">
        <f t="shared" ca="1" si="8"/>
        <v>25624.814363508369</v>
      </c>
      <c r="H61" s="714">
        <f t="shared" si="8"/>
        <v>28456.276556361157</v>
      </c>
      <c r="I61" s="714">
        <f t="shared" si="8"/>
        <v>5587.7334383950492</v>
      </c>
      <c r="J61" s="714">
        <f t="shared" si="8"/>
        <v>0</v>
      </c>
      <c r="K61" s="714">
        <f t="shared" si="8"/>
        <v>419.30638478582762</v>
      </c>
      <c r="L61" s="714">
        <f t="shared" si="8"/>
        <v>0</v>
      </c>
      <c r="M61" s="714">
        <f t="shared" ca="1" si="8"/>
        <v>0</v>
      </c>
      <c r="N61" s="714">
        <f t="shared" si="8"/>
        <v>0</v>
      </c>
      <c r="O61" s="714">
        <f t="shared" ca="1" si="8"/>
        <v>0</v>
      </c>
      <c r="P61" s="714">
        <f t="shared" si="8"/>
        <v>0</v>
      </c>
      <c r="Q61" s="714">
        <f t="shared" si="8"/>
        <v>0</v>
      </c>
      <c r="R61" s="714">
        <f ca="1">R46+R52+R56</f>
        <v>85529.586474328418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0.18600053853254847</v>
      </c>
      <c r="D63" s="755">
        <f t="shared" ca="1" si="9"/>
        <v>0</v>
      </c>
      <c r="E63" s="990">
        <f t="shared" ca="1" si="9"/>
        <v>0.20200000000000004</v>
      </c>
      <c r="F63" s="755">
        <f t="shared" si="9"/>
        <v>0.22700000000000006</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8216.4207897816323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54</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63.529411764705898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8270.4207897816323</v>
      </c>
      <c r="C78" s="729">
        <f>SUM(C72:C77)</f>
        <v>0</v>
      </c>
      <c r="D78" s="730">
        <f t="shared" ref="D78:H78" si="10">SUM(D76:D77)</f>
        <v>0</v>
      </c>
      <c r="E78" s="730">
        <f t="shared" si="10"/>
        <v>0</v>
      </c>
      <c r="F78" s="730">
        <f t="shared" si="10"/>
        <v>0</v>
      </c>
      <c r="G78" s="730">
        <f t="shared" si="10"/>
        <v>0</v>
      </c>
      <c r="H78" s="730">
        <f t="shared" si="10"/>
        <v>0</v>
      </c>
      <c r="I78" s="730">
        <f>SUM(I76:I77)</f>
        <v>0</v>
      </c>
      <c r="J78" s="730">
        <f>SUM(J76:J77)</f>
        <v>63.529411764705898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77.142857142857139</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90.756302521008422</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77.142857142857139</v>
      </c>
      <c r="C90" s="729">
        <f>SUM(C87:C89)</f>
        <v>0</v>
      </c>
      <c r="D90" s="729">
        <f t="shared" ref="D90:H90" si="12">SUM(D87:D89)</f>
        <v>0</v>
      </c>
      <c r="E90" s="729">
        <f t="shared" si="12"/>
        <v>0</v>
      </c>
      <c r="F90" s="729">
        <f t="shared" si="12"/>
        <v>0</v>
      </c>
      <c r="G90" s="729">
        <f t="shared" si="12"/>
        <v>0</v>
      </c>
      <c r="H90" s="729">
        <f t="shared" si="12"/>
        <v>0</v>
      </c>
      <c r="I90" s="729">
        <f>SUM(I87:I89)</f>
        <v>0</v>
      </c>
      <c r="J90" s="729">
        <f>SUM(J87:J89)</f>
        <v>90.756302521008422</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28690.467938869966</v>
      </c>
      <c r="C4" s="451">
        <f>huishoudens!C8</f>
        <v>0</v>
      </c>
      <c r="D4" s="451">
        <f>huishoudens!D8</f>
        <v>39646.635587900004</v>
      </c>
      <c r="E4" s="451">
        <f>huishoudens!E8</f>
        <v>12985.32291148729</v>
      </c>
      <c r="F4" s="451">
        <f>huishoudens!F8</f>
        <v>58886.457520910139</v>
      </c>
      <c r="G4" s="451">
        <f>huishoudens!G8</f>
        <v>0</v>
      </c>
      <c r="H4" s="451">
        <f>huishoudens!H8</f>
        <v>0</v>
      </c>
      <c r="I4" s="451">
        <f>huishoudens!I8</f>
        <v>0</v>
      </c>
      <c r="J4" s="451">
        <f>huishoudens!J8</f>
        <v>0</v>
      </c>
      <c r="K4" s="451">
        <f>huishoudens!K8</f>
        <v>0</v>
      </c>
      <c r="L4" s="451">
        <f>huishoudens!L8</f>
        <v>0</v>
      </c>
      <c r="M4" s="451">
        <f>huishoudens!M8</f>
        <v>0</v>
      </c>
      <c r="N4" s="451">
        <f>huishoudens!N8</f>
        <v>11527.112362138465</v>
      </c>
      <c r="O4" s="451">
        <f>huishoudens!O8</f>
        <v>345.49666666666667</v>
      </c>
      <c r="P4" s="452">
        <f>huishoudens!P8</f>
        <v>1144</v>
      </c>
      <c r="Q4" s="453">
        <f>SUM(B4:P4)</f>
        <v>153225.49298797254</v>
      </c>
    </row>
    <row r="5" spans="1:17">
      <c r="A5" s="450" t="s">
        <v>155</v>
      </c>
      <c r="B5" s="451">
        <f ca="1">tertiair!B16</f>
        <v>11336.331180000001</v>
      </c>
      <c r="C5" s="451">
        <f ca="1">tertiair!C16</f>
        <v>0</v>
      </c>
      <c r="D5" s="451">
        <f ca="1">tertiair!D16</f>
        <v>9213.8838645039996</v>
      </c>
      <c r="E5" s="451">
        <f>tertiair!E16</f>
        <v>197.70908012079258</v>
      </c>
      <c r="F5" s="451">
        <f ca="1">tertiair!F16</f>
        <v>2002.2731313627414</v>
      </c>
      <c r="G5" s="451">
        <f>tertiair!G16</f>
        <v>0</v>
      </c>
      <c r="H5" s="451">
        <f>tertiair!H16</f>
        <v>0</v>
      </c>
      <c r="I5" s="451">
        <f>tertiair!I16</f>
        <v>0</v>
      </c>
      <c r="J5" s="451">
        <f>tertiair!J16</f>
        <v>2.8792343308541943E-2</v>
      </c>
      <c r="K5" s="451">
        <f>tertiair!K16</f>
        <v>0</v>
      </c>
      <c r="L5" s="451">
        <f ca="1">tertiair!L16</f>
        <v>0</v>
      </c>
      <c r="M5" s="451">
        <f>tertiair!M16</f>
        <v>0</v>
      </c>
      <c r="N5" s="451">
        <f ca="1">tertiair!N16</f>
        <v>1150.3051315681812</v>
      </c>
      <c r="O5" s="451">
        <f>tertiair!O16</f>
        <v>4.6900000000000004</v>
      </c>
      <c r="P5" s="452">
        <f>tertiair!P16</f>
        <v>19.066666666666666</v>
      </c>
      <c r="Q5" s="450">
        <f t="shared" ref="Q5:Q14" ca="1" si="0">SUM(B5:P5)</f>
        <v>23924.28784656569</v>
      </c>
    </row>
    <row r="6" spans="1:17">
      <c r="A6" s="450" t="s">
        <v>193</v>
      </c>
      <c r="B6" s="451">
        <f>'openbare verlichting'!B8</f>
        <v>895.76900000000001</v>
      </c>
      <c r="C6" s="451"/>
      <c r="D6" s="451"/>
      <c r="E6" s="451"/>
      <c r="F6" s="451"/>
      <c r="G6" s="451"/>
      <c r="H6" s="451"/>
      <c r="I6" s="451"/>
      <c r="J6" s="451"/>
      <c r="K6" s="451"/>
      <c r="L6" s="451"/>
      <c r="M6" s="451"/>
      <c r="N6" s="451"/>
      <c r="O6" s="451"/>
      <c r="P6" s="452"/>
      <c r="Q6" s="450">
        <f t="shared" si="0"/>
        <v>895.76900000000001</v>
      </c>
    </row>
    <row r="7" spans="1:17">
      <c r="A7" s="450" t="s">
        <v>111</v>
      </c>
      <c r="B7" s="451">
        <f>landbouw!B8</f>
        <v>8168.4384890000001</v>
      </c>
      <c r="C7" s="451">
        <f>landbouw!C8</f>
        <v>77.142857142857139</v>
      </c>
      <c r="D7" s="451">
        <f>landbouw!D8</f>
        <v>3899.4403086100001</v>
      </c>
      <c r="E7" s="451">
        <f>landbouw!E8</f>
        <v>240.09535648253998</v>
      </c>
      <c r="F7" s="451">
        <f>landbouw!F8</f>
        <v>34029.273345926071</v>
      </c>
      <c r="G7" s="451">
        <f>landbouw!G8</f>
        <v>0</v>
      </c>
      <c r="H7" s="451">
        <f>landbouw!H8</f>
        <v>0</v>
      </c>
      <c r="I7" s="451">
        <f>landbouw!I8</f>
        <v>0</v>
      </c>
      <c r="J7" s="451">
        <f>landbouw!J8</f>
        <v>1183.4313178315447</v>
      </c>
      <c r="K7" s="451">
        <f>landbouw!K8</f>
        <v>0</v>
      </c>
      <c r="L7" s="451">
        <f>landbouw!L8</f>
        <v>0</v>
      </c>
      <c r="M7" s="451">
        <f>landbouw!M8</f>
        <v>0</v>
      </c>
      <c r="N7" s="451">
        <f>landbouw!N8</f>
        <v>0</v>
      </c>
      <c r="O7" s="451">
        <f>landbouw!O8</f>
        <v>0</v>
      </c>
      <c r="P7" s="452">
        <f>landbouw!P8</f>
        <v>0</v>
      </c>
      <c r="Q7" s="450">
        <f t="shared" si="0"/>
        <v>47597.821674993007</v>
      </c>
    </row>
    <row r="8" spans="1:17">
      <c r="A8" s="450" t="s">
        <v>634</v>
      </c>
      <c r="B8" s="451">
        <f>industrie!B18</f>
        <v>2585.6673539999997</v>
      </c>
      <c r="C8" s="451">
        <f>industrie!C18</f>
        <v>0</v>
      </c>
      <c r="D8" s="451">
        <f>industrie!D18</f>
        <v>8088.0962799340014</v>
      </c>
      <c r="E8" s="451">
        <f>industrie!E18</f>
        <v>308.51347254127938</v>
      </c>
      <c r="F8" s="451">
        <f>industrie!F18</f>
        <v>1055.083505577707</v>
      </c>
      <c r="G8" s="451">
        <f>industrie!G18</f>
        <v>0</v>
      </c>
      <c r="H8" s="451">
        <f>industrie!H18</f>
        <v>0</v>
      </c>
      <c r="I8" s="451">
        <f>industrie!I18</f>
        <v>0</v>
      </c>
      <c r="J8" s="451">
        <f>industrie!J18</f>
        <v>1.0212027794621634</v>
      </c>
      <c r="K8" s="451">
        <f>industrie!K18</f>
        <v>0</v>
      </c>
      <c r="L8" s="451">
        <f>industrie!L18</f>
        <v>0</v>
      </c>
      <c r="M8" s="451">
        <f>industrie!M18</f>
        <v>0</v>
      </c>
      <c r="N8" s="451">
        <f>industrie!N18</f>
        <v>266.362291438618</v>
      </c>
      <c r="O8" s="451">
        <f>industrie!O18</f>
        <v>0</v>
      </c>
      <c r="P8" s="452">
        <f>industrie!P18</f>
        <v>0</v>
      </c>
      <c r="Q8" s="450">
        <f t="shared" si="0"/>
        <v>12304.744106271068</v>
      </c>
    </row>
    <row r="9" spans="1:17" s="456" customFormat="1">
      <c r="A9" s="454" t="s">
        <v>560</v>
      </c>
      <c r="B9" s="455">
        <f>transport!B14</f>
        <v>46.843062799309671</v>
      </c>
      <c r="C9" s="455">
        <f>transport!C14</f>
        <v>0</v>
      </c>
      <c r="D9" s="455">
        <f>transport!D14</f>
        <v>131.49107349411562</v>
      </c>
      <c r="E9" s="455">
        <f>transport!E14</f>
        <v>236.1508573440907</v>
      </c>
      <c r="F9" s="455">
        <f>transport!F14</f>
        <v>0</v>
      </c>
      <c r="G9" s="455">
        <f>transport!G14</f>
        <v>104973.41814335989</v>
      </c>
      <c r="H9" s="455">
        <f>transport!H14</f>
        <v>22440.696539739154</v>
      </c>
      <c r="I9" s="455">
        <f>transport!I14</f>
        <v>0</v>
      </c>
      <c r="J9" s="455">
        <f>transport!J14</f>
        <v>0</v>
      </c>
      <c r="K9" s="455">
        <f>transport!K14</f>
        <v>0</v>
      </c>
      <c r="L9" s="455">
        <f>transport!L14</f>
        <v>0</v>
      </c>
      <c r="M9" s="455">
        <f>transport!M14</f>
        <v>6793.7785607161413</v>
      </c>
      <c r="N9" s="455">
        <f>transport!N14</f>
        <v>0</v>
      </c>
      <c r="O9" s="455">
        <f>transport!O14</f>
        <v>0</v>
      </c>
      <c r="P9" s="455">
        <f>transport!P14</f>
        <v>0</v>
      </c>
      <c r="Q9" s="454">
        <f>SUM(B9:P9)</f>
        <v>134622.37823745268</v>
      </c>
    </row>
    <row r="10" spans="1:17">
      <c r="A10" s="450" t="s">
        <v>550</v>
      </c>
      <c r="B10" s="451">
        <f>transport!B54</f>
        <v>0</v>
      </c>
      <c r="C10" s="451">
        <f>transport!C54</f>
        <v>0</v>
      </c>
      <c r="D10" s="451">
        <f>transport!D54</f>
        <v>0</v>
      </c>
      <c r="E10" s="451">
        <f>transport!E54</f>
        <v>0</v>
      </c>
      <c r="F10" s="451">
        <f>transport!F54</f>
        <v>0</v>
      </c>
      <c r="G10" s="451">
        <f>transport!G54</f>
        <v>1604.3966744721506</v>
      </c>
      <c r="H10" s="451">
        <f>transport!H54</f>
        <v>0</v>
      </c>
      <c r="I10" s="451">
        <f>transport!I54</f>
        <v>0</v>
      </c>
      <c r="J10" s="451">
        <f>transport!J54</f>
        <v>0</v>
      </c>
      <c r="K10" s="451">
        <f>transport!K54</f>
        <v>0</v>
      </c>
      <c r="L10" s="451">
        <f>transport!L54</f>
        <v>0</v>
      </c>
      <c r="M10" s="451">
        <f>transport!M54</f>
        <v>91.115765051364903</v>
      </c>
      <c r="N10" s="451">
        <f>transport!N54</f>
        <v>0</v>
      </c>
      <c r="O10" s="451">
        <f>transport!O54</f>
        <v>0</v>
      </c>
      <c r="P10" s="452">
        <f>transport!P54</f>
        <v>0</v>
      </c>
      <c r="Q10" s="450">
        <f t="shared" si="0"/>
        <v>1695.5124395235155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499.08634999999998</v>
      </c>
      <c r="C14" s="458"/>
      <c r="D14" s="458">
        <f>'SEAP template'!E25</f>
        <v>1185.4760000000001</v>
      </c>
      <c r="E14" s="458"/>
      <c r="F14" s="458"/>
      <c r="G14" s="458"/>
      <c r="H14" s="458"/>
      <c r="I14" s="458"/>
      <c r="J14" s="458"/>
      <c r="K14" s="458"/>
      <c r="L14" s="458"/>
      <c r="M14" s="458"/>
      <c r="N14" s="458"/>
      <c r="O14" s="458"/>
      <c r="P14" s="459"/>
      <c r="Q14" s="450">
        <f t="shared" si="0"/>
        <v>1684.5623500000002</v>
      </c>
    </row>
    <row r="15" spans="1:17" s="460" customFormat="1">
      <c r="A15" s="1005" t="s">
        <v>554</v>
      </c>
      <c r="B15" s="953">
        <f ca="1">SUM(B4:B14)</f>
        <v>52222.60337466927</v>
      </c>
      <c r="C15" s="953">
        <f t="shared" ref="C15:Q15" ca="1" si="1">SUM(C4:C14)</f>
        <v>77.142857142857139</v>
      </c>
      <c r="D15" s="953">
        <f t="shared" ca="1" si="1"/>
        <v>62165.023114442127</v>
      </c>
      <c r="E15" s="953">
        <f t="shared" si="1"/>
        <v>13967.791677975993</v>
      </c>
      <c r="F15" s="953">
        <f t="shared" ca="1" si="1"/>
        <v>95973.087503776667</v>
      </c>
      <c r="G15" s="953">
        <f t="shared" si="1"/>
        <v>106577.81481783204</v>
      </c>
      <c r="H15" s="953">
        <f t="shared" si="1"/>
        <v>22440.696539739154</v>
      </c>
      <c r="I15" s="953">
        <f t="shared" si="1"/>
        <v>0</v>
      </c>
      <c r="J15" s="953">
        <f t="shared" si="1"/>
        <v>1184.4813129543154</v>
      </c>
      <c r="K15" s="953">
        <f t="shared" si="1"/>
        <v>0</v>
      </c>
      <c r="L15" s="953">
        <f t="shared" ca="1" si="1"/>
        <v>0</v>
      </c>
      <c r="M15" s="953">
        <f t="shared" si="1"/>
        <v>6884.8943257675064</v>
      </c>
      <c r="N15" s="953">
        <f t="shared" ca="1" si="1"/>
        <v>12943.779785145263</v>
      </c>
      <c r="O15" s="953">
        <f t="shared" si="1"/>
        <v>350.18666666666667</v>
      </c>
      <c r="P15" s="953">
        <f t="shared" si="1"/>
        <v>1163.0666666666666</v>
      </c>
      <c r="Q15" s="953">
        <f t="shared" ca="1" si="1"/>
        <v>375950.5686427785</v>
      </c>
    </row>
    <row r="17" spans="1:17">
      <c r="A17" s="461" t="s">
        <v>555</v>
      </c>
      <c r="B17" s="760">
        <f ca="1">huishoudens!B10</f>
        <v>0.18600053853254847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5336.4424873806292</v>
      </c>
      <c r="C22" s="451">
        <f t="shared" ref="C22:C32" ca="1" si="3">C4*$C$17</f>
        <v>0</v>
      </c>
      <c r="D22" s="451">
        <f t="shared" ref="D22:D32" si="4">D4*$D$17</f>
        <v>8008.6203887558013</v>
      </c>
      <c r="E22" s="451">
        <f t="shared" ref="E22:E32" si="5">E4*$E$17</f>
        <v>2947.668300907615</v>
      </c>
      <c r="F22" s="451">
        <f t="shared" ref="F22:F32" si="6">F4*$F$17</f>
        <v>15722.684158083008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32015.415335127054</v>
      </c>
    </row>
    <row r="23" spans="1:17">
      <c r="A23" s="450" t="s">
        <v>155</v>
      </c>
      <c r="B23" s="451">
        <f t="shared" ca="1" si="2"/>
        <v>2108.5637044633208</v>
      </c>
      <c r="C23" s="451">
        <f t="shared" ca="1" si="3"/>
        <v>0</v>
      </c>
      <c r="D23" s="451">
        <f t="shared" ca="1" si="4"/>
        <v>1861.204540629808</v>
      </c>
      <c r="E23" s="451">
        <f t="shared" si="5"/>
        <v>44.879961187419916</v>
      </c>
      <c r="F23" s="451">
        <f t="shared" ca="1" si="6"/>
        <v>534.60692607385204</v>
      </c>
      <c r="G23" s="451">
        <f t="shared" si="7"/>
        <v>0</v>
      </c>
      <c r="H23" s="451">
        <f t="shared" si="8"/>
        <v>0</v>
      </c>
      <c r="I23" s="451">
        <f t="shared" si="9"/>
        <v>0</v>
      </c>
      <c r="J23" s="451">
        <f t="shared" si="10"/>
        <v>1.0192489531223847E-2</v>
      </c>
      <c r="K23" s="451">
        <f t="shared" si="11"/>
        <v>0</v>
      </c>
      <c r="L23" s="451">
        <f t="shared" ca="1" si="12"/>
        <v>0</v>
      </c>
      <c r="M23" s="451">
        <f t="shared" si="13"/>
        <v>0</v>
      </c>
      <c r="N23" s="451">
        <f t="shared" ca="1" si="14"/>
        <v>0</v>
      </c>
      <c r="O23" s="451">
        <f t="shared" si="15"/>
        <v>0</v>
      </c>
      <c r="P23" s="452">
        <f t="shared" si="16"/>
        <v>0</v>
      </c>
      <c r="Q23" s="450">
        <f t="shared" ref="Q23:Q32" ca="1" si="17">SUM(B23:P23)</f>
        <v>4549.2653248439328</v>
      </c>
    </row>
    <row r="24" spans="1:17">
      <c r="A24" s="450" t="s">
        <v>193</v>
      </c>
      <c r="B24" s="451">
        <f t="shared" ca="1" si="2"/>
        <v>166.61351640076242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166.61351640076242</v>
      </c>
    </row>
    <row r="25" spans="1:17">
      <c r="A25" s="450" t="s">
        <v>111</v>
      </c>
      <c r="B25" s="451">
        <f t="shared" ca="1" si="2"/>
        <v>1519.3339579239964</v>
      </c>
      <c r="C25" s="451">
        <f t="shared" ca="1" si="3"/>
        <v>0</v>
      </c>
      <c r="D25" s="451">
        <f t="shared" si="4"/>
        <v>787.68694233922008</v>
      </c>
      <c r="E25" s="451">
        <f t="shared" si="5"/>
        <v>54.501645921536578</v>
      </c>
      <c r="F25" s="451">
        <f t="shared" si="6"/>
        <v>9085.8159833622612</v>
      </c>
      <c r="G25" s="451">
        <f t="shared" si="7"/>
        <v>0</v>
      </c>
      <c r="H25" s="451">
        <f t="shared" si="8"/>
        <v>0</v>
      </c>
      <c r="I25" s="451">
        <f t="shared" si="9"/>
        <v>0</v>
      </c>
      <c r="J25" s="451">
        <f t="shared" si="10"/>
        <v>418.9346865123668</v>
      </c>
      <c r="K25" s="451">
        <f t="shared" si="11"/>
        <v>0</v>
      </c>
      <c r="L25" s="451">
        <f t="shared" si="12"/>
        <v>0</v>
      </c>
      <c r="M25" s="451">
        <f t="shared" si="13"/>
        <v>0</v>
      </c>
      <c r="N25" s="451">
        <f t="shared" si="14"/>
        <v>0</v>
      </c>
      <c r="O25" s="451">
        <f t="shared" si="15"/>
        <v>0</v>
      </c>
      <c r="P25" s="452">
        <f t="shared" si="16"/>
        <v>0</v>
      </c>
      <c r="Q25" s="450">
        <f t="shared" ca="1" si="17"/>
        <v>11866.273216059381</v>
      </c>
    </row>
    <row r="26" spans="1:17">
      <c r="A26" s="450" t="s">
        <v>634</v>
      </c>
      <c r="B26" s="451">
        <f t="shared" ca="1" si="2"/>
        <v>480.93552031002957</v>
      </c>
      <c r="C26" s="451">
        <f t="shared" ca="1" si="3"/>
        <v>0</v>
      </c>
      <c r="D26" s="451">
        <f t="shared" si="4"/>
        <v>1633.7954485466685</v>
      </c>
      <c r="E26" s="451">
        <f t="shared" si="5"/>
        <v>70.032558266870424</v>
      </c>
      <c r="F26" s="451">
        <f t="shared" si="6"/>
        <v>281.70729598924777</v>
      </c>
      <c r="G26" s="451">
        <f t="shared" si="7"/>
        <v>0</v>
      </c>
      <c r="H26" s="451">
        <f t="shared" si="8"/>
        <v>0</v>
      </c>
      <c r="I26" s="451">
        <f t="shared" si="9"/>
        <v>0</v>
      </c>
      <c r="J26" s="451">
        <f t="shared" si="10"/>
        <v>0.36150578392960581</v>
      </c>
      <c r="K26" s="451">
        <f t="shared" si="11"/>
        <v>0</v>
      </c>
      <c r="L26" s="451">
        <f t="shared" si="12"/>
        <v>0</v>
      </c>
      <c r="M26" s="451">
        <f t="shared" si="13"/>
        <v>0</v>
      </c>
      <c r="N26" s="451">
        <f t="shared" si="14"/>
        <v>0</v>
      </c>
      <c r="O26" s="451">
        <f t="shared" si="15"/>
        <v>0</v>
      </c>
      <c r="P26" s="452">
        <f t="shared" si="16"/>
        <v>0</v>
      </c>
      <c r="Q26" s="450">
        <f t="shared" ca="1" si="17"/>
        <v>2466.8323288967458</v>
      </c>
    </row>
    <row r="27" spans="1:17" s="456" customFormat="1">
      <c r="A27" s="454" t="s">
        <v>560</v>
      </c>
      <c r="B27" s="754">
        <f t="shared" ca="1" si="2"/>
        <v>8.7128349071855862</v>
      </c>
      <c r="C27" s="455">
        <f t="shared" ca="1" si="3"/>
        <v>0</v>
      </c>
      <c r="D27" s="455">
        <f t="shared" si="4"/>
        <v>26.561196845811359</v>
      </c>
      <c r="E27" s="455">
        <f t="shared" si="5"/>
        <v>53.606244617108587</v>
      </c>
      <c r="F27" s="455">
        <f t="shared" si="6"/>
        <v>0</v>
      </c>
      <c r="G27" s="455">
        <f t="shared" si="7"/>
        <v>28027.902644277092</v>
      </c>
      <c r="H27" s="455">
        <f t="shared" si="8"/>
        <v>5587.7334383950492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33704.516359042245</v>
      </c>
    </row>
    <row r="28" spans="1:17">
      <c r="A28" s="450" t="s">
        <v>550</v>
      </c>
      <c r="B28" s="451">
        <f t="shared" ca="1" si="2"/>
        <v>0</v>
      </c>
      <c r="C28" s="451">
        <f t="shared" ca="1" si="3"/>
        <v>0</v>
      </c>
      <c r="D28" s="451">
        <f t="shared" si="4"/>
        <v>0</v>
      </c>
      <c r="E28" s="451">
        <f t="shared" si="5"/>
        <v>0</v>
      </c>
      <c r="F28" s="451">
        <f t="shared" si="6"/>
        <v>0</v>
      </c>
      <c r="G28" s="451">
        <f t="shared" si="7"/>
        <v>428.37391208406422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428.37391208406422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92.830329874243972</v>
      </c>
      <c r="C32" s="451">
        <f t="shared" ca="1" si="3"/>
        <v>0</v>
      </c>
      <c r="D32" s="451">
        <f t="shared" si="4"/>
        <v>239.46615200000005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332.29648187424402</v>
      </c>
    </row>
    <row r="33" spans="1:17" s="460" customFormat="1">
      <c r="A33" s="1005" t="s">
        <v>554</v>
      </c>
      <c r="B33" s="953">
        <f ca="1">SUM(B22:B32)</f>
        <v>9713.4323512601695</v>
      </c>
      <c r="C33" s="953">
        <f t="shared" ref="C33:Q33" ca="1" si="18">SUM(C22:C32)</f>
        <v>0</v>
      </c>
      <c r="D33" s="953">
        <f t="shared" ca="1" si="18"/>
        <v>12557.33466911731</v>
      </c>
      <c r="E33" s="953">
        <f t="shared" si="18"/>
        <v>3170.6887109005511</v>
      </c>
      <c r="F33" s="953">
        <f t="shared" ca="1" si="18"/>
        <v>25624.814363508369</v>
      </c>
      <c r="G33" s="953">
        <f t="shared" si="18"/>
        <v>28456.276556361157</v>
      </c>
      <c r="H33" s="953">
        <f t="shared" si="18"/>
        <v>5587.7334383950492</v>
      </c>
      <c r="I33" s="953">
        <f t="shared" si="18"/>
        <v>0</v>
      </c>
      <c r="J33" s="953">
        <f t="shared" si="18"/>
        <v>419.30638478582762</v>
      </c>
      <c r="K33" s="953">
        <f t="shared" si="18"/>
        <v>0</v>
      </c>
      <c r="L33" s="953">
        <f t="shared" ca="1" si="18"/>
        <v>0</v>
      </c>
      <c r="M33" s="953">
        <f t="shared" si="18"/>
        <v>0</v>
      </c>
      <c r="N33" s="953">
        <f t="shared" ca="1" si="18"/>
        <v>0</v>
      </c>
      <c r="O33" s="953">
        <f t="shared" si="18"/>
        <v>0</v>
      </c>
      <c r="P33" s="953">
        <f t="shared" si="18"/>
        <v>0</v>
      </c>
      <c r="Q33" s="953">
        <f t="shared" ca="1" si="18"/>
        <v>85529.586474328433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8216.4207897816323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54</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63.529411764705898</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8270.4207897816323</v>
      </c>
      <c r="C10" s="1026">
        <f>SUM(C4:C9)</f>
        <v>0</v>
      </c>
      <c r="D10" s="1026">
        <f t="shared" ref="D10:H10" si="0">SUM(D8:D9)</f>
        <v>0</v>
      </c>
      <c r="E10" s="1026">
        <f t="shared" si="0"/>
        <v>0</v>
      </c>
      <c r="F10" s="1026">
        <f t="shared" si="0"/>
        <v>0</v>
      </c>
      <c r="G10" s="1026">
        <f t="shared" si="0"/>
        <v>0</v>
      </c>
      <c r="H10" s="1026">
        <f t="shared" si="0"/>
        <v>0</v>
      </c>
      <c r="I10" s="1026">
        <f>SUM(I8:I9)</f>
        <v>0</v>
      </c>
      <c r="J10" s="1026">
        <f>SUM(J8:J9)</f>
        <v>63.529411764705898</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0.18600053853254847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77.142857142857139</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90.756302521008422</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77.142857142857139</v>
      </c>
      <c r="C20" s="1026">
        <f>SUM(C17:C19)</f>
        <v>0</v>
      </c>
      <c r="D20" s="1026">
        <f t="shared" ref="D20:H20" si="2">SUM(D17:D19)</f>
        <v>0</v>
      </c>
      <c r="E20" s="1026">
        <f t="shared" si="2"/>
        <v>0</v>
      </c>
      <c r="F20" s="1026">
        <f t="shared" si="2"/>
        <v>0</v>
      </c>
      <c r="G20" s="1026">
        <f t="shared" si="2"/>
        <v>0</v>
      </c>
      <c r="H20" s="1026">
        <f t="shared" si="2"/>
        <v>0</v>
      </c>
      <c r="I20" s="1026">
        <f>SUM(I17:I19)</f>
        <v>0</v>
      </c>
      <c r="J20" s="1026">
        <f>SUM(J17:J19)</f>
        <v>90.756302521008422</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0.18600053853254847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0.18600053853254847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0.18600053853254847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6746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4295.45</v>
      </c>
      <c r="C14" s="330"/>
      <c r="D14" s="330"/>
      <c r="E14" s="330"/>
      <c r="F14" s="330"/>
    </row>
    <row r="15" spans="1:6">
      <c r="A15" s="1293" t="s">
        <v>183</v>
      </c>
      <c r="B15" s="1294">
        <v>8</v>
      </c>
      <c r="C15" s="330"/>
      <c r="D15" s="330"/>
      <c r="E15" s="330"/>
      <c r="F15" s="330"/>
    </row>
    <row r="16" spans="1:6">
      <c r="A16" s="1293" t="s">
        <v>6</v>
      </c>
      <c r="B16" s="1294">
        <v>243</v>
      </c>
      <c r="C16" s="330"/>
      <c r="D16" s="330"/>
      <c r="E16" s="330"/>
      <c r="F16" s="330"/>
    </row>
    <row r="17" spans="1:6">
      <c r="A17" s="1293" t="s">
        <v>7</v>
      </c>
      <c r="B17" s="1294">
        <v>863</v>
      </c>
      <c r="C17" s="330"/>
      <c r="D17" s="330"/>
      <c r="E17" s="330"/>
      <c r="F17" s="330"/>
    </row>
    <row r="18" spans="1:6">
      <c r="A18" s="1293" t="s">
        <v>8</v>
      </c>
      <c r="B18" s="1294">
        <v>901</v>
      </c>
      <c r="C18" s="330"/>
      <c r="D18" s="330"/>
      <c r="E18" s="330"/>
      <c r="F18" s="330"/>
    </row>
    <row r="19" spans="1:6">
      <c r="A19" s="1293" t="s">
        <v>9</v>
      </c>
      <c r="B19" s="1294">
        <v>965</v>
      </c>
      <c r="C19" s="330"/>
      <c r="D19" s="330"/>
      <c r="E19" s="330"/>
      <c r="F19" s="330"/>
    </row>
    <row r="20" spans="1:6">
      <c r="A20" s="1293" t="s">
        <v>10</v>
      </c>
      <c r="B20" s="1294">
        <v>410</v>
      </c>
      <c r="C20" s="330"/>
      <c r="D20" s="330"/>
      <c r="E20" s="330"/>
      <c r="F20" s="330"/>
    </row>
    <row r="21" spans="1:6">
      <c r="A21" s="1293" t="s">
        <v>11</v>
      </c>
      <c r="B21" s="1294">
        <v>6439</v>
      </c>
      <c r="C21" s="330"/>
      <c r="D21" s="330"/>
      <c r="E21" s="330"/>
      <c r="F21" s="330"/>
    </row>
    <row r="22" spans="1:6">
      <c r="A22" s="1293" t="s">
        <v>12</v>
      </c>
      <c r="B22" s="1294">
        <v>20248</v>
      </c>
      <c r="C22" s="330"/>
      <c r="D22" s="330"/>
      <c r="E22" s="330"/>
      <c r="F22" s="330"/>
    </row>
    <row r="23" spans="1:6">
      <c r="A23" s="1293" t="s">
        <v>13</v>
      </c>
      <c r="B23" s="1294">
        <v>245</v>
      </c>
      <c r="C23" s="330"/>
      <c r="D23" s="330"/>
      <c r="E23" s="330"/>
      <c r="F23" s="330"/>
    </row>
    <row r="24" spans="1:6">
      <c r="A24" s="1293" t="s">
        <v>14</v>
      </c>
      <c r="B24" s="1294">
        <v>15</v>
      </c>
      <c r="C24" s="330"/>
      <c r="D24" s="330"/>
      <c r="E24" s="330"/>
      <c r="F24" s="330"/>
    </row>
    <row r="25" spans="1:6">
      <c r="A25" s="1293" t="s">
        <v>15</v>
      </c>
      <c r="B25" s="1294">
        <v>1337</v>
      </c>
      <c r="C25" s="330"/>
      <c r="D25" s="330"/>
      <c r="E25" s="330"/>
      <c r="F25" s="330"/>
    </row>
    <row r="26" spans="1:6">
      <c r="A26" s="1293" t="s">
        <v>16</v>
      </c>
      <c r="B26" s="1294">
        <v>346</v>
      </c>
      <c r="C26" s="330"/>
      <c r="D26" s="330"/>
      <c r="E26" s="330"/>
      <c r="F26" s="330"/>
    </row>
    <row r="27" spans="1:6">
      <c r="A27" s="1293" t="s">
        <v>17</v>
      </c>
      <c r="B27" s="1294">
        <v>554</v>
      </c>
      <c r="C27" s="330"/>
      <c r="D27" s="330"/>
      <c r="E27" s="330"/>
      <c r="F27" s="330"/>
    </row>
    <row r="28" spans="1:6" s="43" customFormat="1">
      <c r="A28" s="1295" t="s">
        <v>18</v>
      </c>
      <c r="B28" s="1296">
        <v>30</v>
      </c>
      <c r="C28" s="336"/>
      <c r="D28" s="336"/>
      <c r="E28" s="336"/>
      <c r="F28" s="336"/>
    </row>
    <row r="29" spans="1:6">
      <c r="A29" s="1295" t="s">
        <v>734</v>
      </c>
      <c r="B29" s="1296">
        <v>85</v>
      </c>
      <c r="C29" s="336"/>
      <c r="D29" s="336"/>
      <c r="E29" s="336"/>
      <c r="F29" s="336"/>
    </row>
    <row r="30" spans="1:6">
      <c r="A30" s="1288" t="s">
        <v>735</v>
      </c>
      <c r="B30" s="1297">
        <v>20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8</v>
      </c>
      <c r="F36" s="1294">
        <v>103260</v>
      </c>
    </row>
    <row r="37" spans="1:6">
      <c r="A37" s="1293" t="s">
        <v>24</v>
      </c>
      <c r="B37" s="1293" t="s">
        <v>27</v>
      </c>
      <c r="C37" s="1294">
        <v>0</v>
      </c>
      <c r="D37" s="1294">
        <v>0</v>
      </c>
      <c r="E37" s="1294">
        <v>0</v>
      </c>
      <c r="F37" s="1294">
        <v>0</v>
      </c>
    </row>
    <row r="38" spans="1:6">
      <c r="A38" s="1293" t="s">
        <v>24</v>
      </c>
      <c r="B38" s="1293" t="s">
        <v>28</v>
      </c>
      <c r="C38" s="1294">
        <v>1</v>
      </c>
      <c r="D38" s="1294">
        <v>145976</v>
      </c>
      <c r="E38" s="1294">
        <v>1</v>
      </c>
      <c r="F38" s="1294">
        <v>3497</v>
      </c>
    </row>
    <row r="39" spans="1:6">
      <c r="A39" s="1293" t="s">
        <v>29</v>
      </c>
      <c r="B39" s="1293" t="s">
        <v>30</v>
      </c>
      <c r="C39" s="1294">
        <v>2581</v>
      </c>
      <c r="D39" s="1294">
        <v>43954141.450000003</v>
      </c>
      <c r="E39" s="1294">
        <v>6668</v>
      </c>
      <c r="F39" s="1294">
        <v>23080239.949999999</v>
      </c>
    </row>
    <row r="40" spans="1:6">
      <c r="A40" s="1293" t="s">
        <v>29</v>
      </c>
      <c r="B40" s="1293" t="s">
        <v>28</v>
      </c>
      <c r="C40" s="1294">
        <v>0</v>
      </c>
      <c r="D40" s="1294">
        <v>0</v>
      </c>
      <c r="E40" s="1294">
        <v>0</v>
      </c>
      <c r="F40" s="1294">
        <v>0</v>
      </c>
    </row>
    <row r="41" spans="1:6">
      <c r="A41" s="1293" t="s">
        <v>31</v>
      </c>
      <c r="B41" s="1293" t="s">
        <v>32</v>
      </c>
      <c r="C41" s="1294">
        <v>53</v>
      </c>
      <c r="D41" s="1294">
        <v>1292560.6499999999</v>
      </c>
      <c r="E41" s="1294">
        <v>143</v>
      </c>
      <c r="F41" s="1294">
        <v>980751.75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19</v>
      </c>
      <c r="F44" s="1294">
        <v>284976</v>
      </c>
    </row>
    <row r="45" spans="1:6">
      <c r="A45" s="1293" t="s">
        <v>31</v>
      </c>
      <c r="B45" s="1293" t="s">
        <v>36</v>
      </c>
      <c r="C45" s="1294">
        <v>0</v>
      </c>
      <c r="D45" s="1294">
        <v>0</v>
      </c>
      <c r="E45" s="1294">
        <v>5</v>
      </c>
      <c r="F45" s="1294">
        <v>544987.10400000005</v>
      </c>
    </row>
    <row r="46" spans="1:6">
      <c r="A46" s="1293" t="s">
        <v>31</v>
      </c>
      <c r="B46" s="1293" t="s">
        <v>37</v>
      </c>
      <c r="C46" s="1294">
        <v>0</v>
      </c>
      <c r="D46" s="1294">
        <v>0</v>
      </c>
      <c r="E46" s="1294">
        <v>0</v>
      </c>
      <c r="F46" s="1294">
        <v>0</v>
      </c>
    </row>
    <row r="47" spans="1:6">
      <c r="A47" s="1293" t="s">
        <v>31</v>
      </c>
      <c r="B47" s="1293" t="s">
        <v>38</v>
      </c>
      <c r="C47" s="1294">
        <v>0</v>
      </c>
      <c r="D47" s="1294">
        <v>0</v>
      </c>
      <c r="E47" s="1294">
        <v>4</v>
      </c>
      <c r="F47" s="1294">
        <v>37566</v>
      </c>
    </row>
    <row r="48" spans="1:6">
      <c r="A48" s="1293" t="s">
        <v>31</v>
      </c>
      <c r="B48" s="1293" t="s">
        <v>28</v>
      </c>
      <c r="C48" s="1294">
        <v>7</v>
      </c>
      <c r="D48" s="1294">
        <v>6508113.6670000004</v>
      </c>
      <c r="E48" s="1294">
        <v>1</v>
      </c>
      <c r="F48" s="1294">
        <v>33468</v>
      </c>
    </row>
    <row r="49" spans="1:6">
      <c r="A49" s="1293" t="s">
        <v>31</v>
      </c>
      <c r="B49" s="1293" t="s">
        <v>39</v>
      </c>
      <c r="C49" s="1294">
        <v>0</v>
      </c>
      <c r="D49" s="1294">
        <v>0</v>
      </c>
      <c r="E49" s="1294">
        <v>3</v>
      </c>
      <c r="F49" s="1294">
        <v>15469</v>
      </c>
    </row>
    <row r="50" spans="1:6">
      <c r="A50" s="1293" t="s">
        <v>31</v>
      </c>
      <c r="B50" s="1293" t="s">
        <v>40</v>
      </c>
      <c r="C50" s="1294">
        <v>6</v>
      </c>
      <c r="D50" s="1294">
        <v>1166173</v>
      </c>
      <c r="E50" s="1294">
        <v>19</v>
      </c>
      <c r="F50" s="1294">
        <v>688449.5</v>
      </c>
    </row>
    <row r="51" spans="1:6">
      <c r="A51" s="1293" t="s">
        <v>41</v>
      </c>
      <c r="B51" s="1293" t="s">
        <v>42</v>
      </c>
      <c r="C51" s="1294">
        <v>16</v>
      </c>
      <c r="D51" s="1294">
        <v>4323104.5549999997</v>
      </c>
      <c r="E51" s="1294">
        <v>147</v>
      </c>
      <c r="F51" s="1294">
        <v>8168438.4890000001</v>
      </c>
    </row>
    <row r="52" spans="1:6">
      <c r="A52" s="1293" t="s">
        <v>41</v>
      </c>
      <c r="B52" s="1293" t="s">
        <v>28</v>
      </c>
      <c r="C52" s="1294">
        <v>0</v>
      </c>
      <c r="D52" s="1294">
        <v>0</v>
      </c>
      <c r="E52" s="1294">
        <v>0</v>
      </c>
      <c r="F52" s="1294">
        <v>0</v>
      </c>
    </row>
    <row r="53" spans="1:6">
      <c r="A53" s="1293" t="s">
        <v>43</v>
      </c>
      <c r="B53" s="1293" t="s">
        <v>44</v>
      </c>
      <c r="C53" s="1294">
        <v>45</v>
      </c>
      <c r="D53" s="1294">
        <v>1185476</v>
      </c>
      <c r="E53" s="1294">
        <v>152</v>
      </c>
      <c r="F53" s="1294">
        <v>499086.35</v>
      </c>
    </row>
    <row r="54" spans="1:6">
      <c r="A54" s="1293" t="s">
        <v>45</v>
      </c>
      <c r="B54" s="1293" t="s">
        <v>46</v>
      </c>
      <c r="C54" s="1294">
        <v>0</v>
      </c>
      <c r="D54" s="1294">
        <v>0</v>
      </c>
      <c r="E54" s="1294">
        <v>3</v>
      </c>
      <c r="F54" s="1294">
        <v>895769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18</v>
      </c>
      <c r="D57" s="1294">
        <v>859045</v>
      </c>
      <c r="E57" s="1294">
        <v>77</v>
      </c>
      <c r="F57" s="1294">
        <v>1326464.436</v>
      </c>
    </row>
    <row r="58" spans="1:6">
      <c r="A58" s="1293" t="s">
        <v>48</v>
      </c>
      <c r="B58" s="1293" t="s">
        <v>50</v>
      </c>
      <c r="C58" s="1294">
        <v>30</v>
      </c>
      <c r="D58" s="1294">
        <v>1864540</v>
      </c>
      <c r="E58" s="1294">
        <v>36</v>
      </c>
      <c r="F58" s="1294">
        <v>919824.51399999997</v>
      </c>
    </row>
    <row r="59" spans="1:6">
      <c r="A59" s="1293" t="s">
        <v>48</v>
      </c>
      <c r="B59" s="1293" t="s">
        <v>51</v>
      </c>
      <c r="C59" s="1294">
        <v>65</v>
      </c>
      <c r="D59" s="1294">
        <v>2812961.0520000001</v>
      </c>
      <c r="E59" s="1294">
        <v>176</v>
      </c>
      <c r="F59" s="1294">
        <v>4579872.5089999996</v>
      </c>
    </row>
    <row r="60" spans="1:6">
      <c r="A60" s="1293" t="s">
        <v>48</v>
      </c>
      <c r="B60" s="1293" t="s">
        <v>52</v>
      </c>
      <c r="C60" s="1294">
        <v>37</v>
      </c>
      <c r="D60" s="1294">
        <v>1997214</v>
      </c>
      <c r="E60" s="1294">
        <v>95</v>
      </c>
      <c r="F60" s="1294">
        <v>1919508.095</v>
      </c>
    </row>
    <row r="61" spans="1:6">
      <c r="A61" s="1293" t="s">
        <v>48</v>
      </c>
      <c r="B61" s="1293" t="s">
        <v>53</v>
      </c>
      <c r="C61" s="1294">
        <v>66</v>
      </c>
      <c r="D61" s="1294">
        <v>2410007.7999999998</v>
      </c>
      <c r="E61" s="1294">
        <v>218</v>
      </c>
      <c r="F61" s="1294">
        <v>2427839.2370000002</v>
      </c>
    </row>
    <row r="62" spans="1:6">
      <c r="A62" s="1293" t="s">
        <v>48</v>
      </c>
      <c r="B62" s="1293" t="s">
        <v>54</v>
      </c>
      <c r="C62" s="1294">
        <v>6</v>
      </c>
      <c r="D62" s="1294">
        <v>271181</v>
      </c>
      <c r="E62" s="1294">
        <v>16</v>
      </c>
      <c r="F62" s="1294">
        <v>162822.389</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88574.6</v>
      </c>
      <c r="E65" s="1294">
        <v>0</v>
      </c>
      <c r="F65" s="1294">
        <v>0</v>
      </c>
    </row>
    <row r="66" spans="1:6">
      <c r="A66" s="1293" t="s">
        <v>55</v>
      </c>
      <c r="B66" s="1293" t="s">
        <v>57</v>
      </c>
      <c r="C66" s="1294">
        <v>0</v>
      </c>
      <c r="D66" s="1294">
        <v>0</v>
      </c>
      <c r="E66" s="1294">
        <v>28</v>
      </c>
      <c r="F66" s="1294">
        <v>237911.99900000001</v>
      </c>
    </row>
    <row r="67" spans="1:6">
      <c r="A67" s="1295" t="s">
        <v>55</v>
      </c>
      <c r="B67" s="1295" t="s">
        <v>58</v>
      </c>
      <c r="C67" s="1294">
        <v>0</v>
      </c>
      <c r="D67" s="1294">
        <v>0</v>
      </c>
      <c r="E67" s="1294">
        <v>0</v>
      </c>
      <c r="F67" s="1294">
        <v>0</v>
      </c>
    </row>
    <row r="68" spans="1:6">
      <c r="A68" s="1288" t="s">
        <v>55</v>
      </c>
      <c r="B68" s="1288" t="s">
        <v>59</v>
      </c>
      <c r="C68" s="1297">
        <v>0</v>
      </c>
      <c r="D68" s="1297">
        <v>0</v>
      </c>
      <c r="E68" s="1297">
        <v>16</v>
      </c>
      <c r="F68" s="1297">
        <v>147540.54999999999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74146742</v>
      </c>
      <c r="E73" s="449"/>
      <c r="F73" s="330"/>
    </row>
    <row r="74" spans="1:6">
      <c r="A74" s="1293" t="s">
        <v>63</v>
      </c>
      <c r="B74" s="1293" t="s">
        <v>656</v>
      </c>
      <c r="C74" s="1307" t="s">
        <v>658</v>
      </c>
      <c r="D74" s="1308">
        <v>4451790</v>
      </c>
      <c r="E74" s="449"/>
      <c r="F74" s="330"/>
    </row>
    <row r="75" spans="1:6">
      <c r="A75" s="1293" t="s">
        <v>64</v>
      </c>
      <c r="B75" s="1293" t="s">
        <v>655</v>
      </c>
      <c r="C75" s="1307" t="s">
        <v>659</v>
      </c>
      <c r="D75" s="1308">
        <v>26954030</v>
      </c>
      <c r="E75" s="449"/>
      <c r="F75" s="330"/>
    </row>
    <row r="76" spans="1:6">
      <c r="A76" s="1293" t="s">
        <v>64</v>
      </c>
      <c r="B76" s="1293" t="s">
        <v>656</v>
      </c>
      <c r="C76" s="1307" t="s">
        <v>660</v>
      </c>
      <c r="D76" s="1308">
        <v>51987</v>
      </c>
      <c r="E76" s="449"/>
      <c r="F76" s="330"/>
    </row>
    <row r="77" spans="1:6">
      <c r="A77" s="1293" t="s">
        <v>65</v>
      </c>
      <c r="B77" s="1293" t="s">
        <v>655</v>
      </c>
      <c r="C77" s="1307" t="s">
        <v>661</v>
      </c>
      <c r="D77" s="1308">
        <v>38965160</v>
      </c>
      <c r="E77" s="449"/>
      <c r="F77" s="330"/>
    </row>
    <row r="78" spans="1:6">
      <c r="A78" s="1288" t="s">
        <v>65</v>
      </c>
      <c r="B78" s="1288" t="s">
        <v>656</v>
      </c>
      <c r="C78" s="1288" t="s">
        <v>662</v>
      </c>
      <c r="D78" s="1309">
        <v>9718981</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462420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5610.227988869965</v>
      </c>
      <c r="C91" s="330"/>
      <c r="D91" s="330"/>
      <c r="E91" s="330"/>
      <c r="F91" s="330"/>
    </row>
    <row r="92" spans="1:6">
      <c r="A92" s="1288" t="s">
        <v>68</v>
      </c>
      <c r="B92" s="1289">
        <v>2606.1928009116668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571</v>
      </c>
      <c r="C97" s="330"/>
      <c r="D97" s="330"/>
      <c r="E97" s="330"/>
      <c r="F97" s="330"/>
    </row>
    <row r="98" spans="1:6">
      <c r="A98" s="1293" t="s">
        <v>71</v>
      </c>
      <c r="B98" s="1294">
        <v>1</v>
      </c>
      <c r="C98" s="330"/>
      <c r="D98" s="330"/>
      <c r="E98" s="330"/>
      <c r="F98" s="330"/>
    </row>
    <row r="99" spans="1:6">
      <c r="A99" s="1293" t="s">
        <v>72</v>
      </c>
      <c r="B99" s="1294">
        <v>59</v>
      </c>
      <c r="C99" s="330"/>
      <c r="D99" s="330"/>
      <c r="E99" s="330"/>
      <c r="F99" s="330"/>
    </row>
    <row r="100" spans="1:6">
      <c r="A100" s="1293" t="s">
        <v>73</v>
      </c>
      <c r="B100" s="1294">
        <v>211</v>
      </c>
      <c r="C100" s="330"/>
      <c r="D100" s="330"/>
      <c r="E100" s="330"/>
      <c r="F100" s="330"/>
    </row>
    <row r="101" spans="1:6">
      <c r="A101" s="1293" t="s">
        <v>74</v>
      </c>
      <c r="B101" s="1294">
        <v>38</v>
      </c>
      <c r="C101" s="330"/>
      <c r="D101" s="330"/>
      <c r="E101" s="330"/>
      <c r="F101" s="330"/>
    </row>
    <row r="102" spans="1:6">
      <c r="A102" s="1293" t="s">
        <v>75</v>
      </c>
      <c r="B102" s="1294">
        <v>87</v>
      </c>
      <c r="C102" s="330"/>
      <c r="D102" s="330"/>
      <c r="E102" s="330"/>
      <c r="F102" s="330"/>
    </row>
    <row r="103" spans="1:6">
      <c r="A103" s="1293" t="s">
        <v>76</v>
      </c>
      <c r="B103" s="1294">
        <v>136</v>
      </c>
      <c r="C103" s="330"/>
      <c r="D103" s="330"/>
      <c r="E103" s="330"/>
      <c r="F103" s="330"/>
    </row>
    <row r="104" spans="1:6">
      <c r="A104" s="1293" t="s">
        <v>77</v>
      </c>
      <c r="B104" s="1294">
        <v>4632</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24</v>
      </c>
      <c r="C123" s="1294">
        <v>12</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209</v>
      </c>
      <c r="C129" s="330"/>
      <c r="D129" s="330"/>
      <c r="E129" s="330"/>
      <c r="F129" s="330"/>
    </row>
    <row r="130" spans="1:6">
      <c r="A130" s="1293" t="s">
        <v>294</v>
      </c>
      <c r="B130" s="1294">
        <v>3</v>
      </c>
      <c r="C130" s="330"/>
      <c r="D130" s="330"/>
      <c r="E130" s="330"/>
      <c r="F130" s="330"/>
    </row>
    <row r="131" spans="1:6">
      <c r="A131" s="1293" t="s">
        <v>295</v>
      </c>
      <c r="B131" s="1294">
        <v>1</v>
      </c>
      <c r="C131" s="330"/>
      <c r="D131" s="330"/>
      <c r="E131" s="330"/>
      <c r="F131" s="330"/>
    </row>
    <row r="132" spans="1:6">
      <c r="A132" s="1288" t="s">
        <v>296</v>
      </c>
      <c r="B132" s="1289">
        <v>35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52222.60337466927</v>
      </c>
      <c r="C3" s="43" t="s">
        <v>169</v>
      </c>
      <c r="D3" s="43"/>
      <c r="E3" s="154"/>
      <c r="F3" s="43"/>
      <c r="G3" s="43"/>
      <c r="H3" s="43"/>
      <c r="I3" s="43"/>
      <c r="J3" s="43"/>
      <c r="K3" s="96"/>
    </row>
    <row r="4" spans="1:11">
      <c r="A4" s="358" t="s">
        <v>170</v>
      </c>
      <c r="B4" s="49">
        <f>IF(ISERROR('SEAP template'!B78+'SEAP template'!C78),0,'SEAP template'!B78+'SEAP template'!C78)</f>
        <v>8270.4207897816323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0.18600053853254847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77.142857142857139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895.76900000000001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895.76900000000001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0.18600053853254847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166.61351640076242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23080.239949999999</v>
      </c>
      <c r="C5" s="17">
        <f>IF(ISERROR('Eigen informatie GS &amp; warmtenet'!B57),0,'Eigen informatie GS &amp; warmtenet'!B57)</f>
        <v>0</v>
      </c>
      <c r="D5" s="30">
        <f>(SUM(HH_hh_gas_kWh,HH_rest_gas_kWh)/1000)*0.902</f>
        <v>39646.635587900004</v>
      </c>
      <c r="E5" s="17">
        <f>B46*B57</f>
        <v>12985.32291148729</v>
      </c>
      <c r="F5" s="17">
        <f>B51*B62</f>
        <v>58886.457520910139</v>
      </c>
      <c r="G5" s="18"/>
      <c r="H5" s="17"/>
      <c r="I5" s="17"/>
      <c r="J5" s="17">
        <f>B50*B61+C50*C61</f>
        <v>0</v>
      </c>
      <c r="K5" s="17"/>
      <c r="L5" s="17"/>
      <c r="M5" s="17"/>
      <c r="N5" s="17">
        <f>B48*B59+C48*C59</f>
        <v>11527.112362138465</v>
      </c>
      <c r="O5" s="17">
        <f>B69*B70*B71</f>
        <v>345.49666666666667</v>
      </c>
      <c r="P5" s="17">
        <f>B77*B78*B79/1000-B77*B78*B79/1000/B80</f>
        <v>1144</v>
      </c>
    </row>
    <row r="6" spans="1:16">
      <c r="A6" s="16" t="s">
        <v>620</v>
      </c>
      <c r="B6" s="762">
        <f>kWh_PV_kleiner_dan_10kW</f>
        <v>5610.227988869965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28690.467938869966</v>
      </c>
      <c r="C8" s="21">
        <f>C5</f>
        <v>0</v>
      </c>
      <c r="D8" s="21">
        <f>D5</f>
        <v>39646.635587900004</v>
      </c>
      <c r="E8" s="21">
        <f>E5</f>
        <v>12985.32291148729</v>
      </c>
      <c r="F8" s="21">
        <f>F5</f>
        <v>58886.457520910139</v>
      </c>
      <c r="G8" s="21"/>
      <c r="H8" s="21"/>
      <c r="I8" s="21"/>
      <c r="J8" s="21">
        <f>J5</f>
        <v>0</v>
      </c>
      <c r="K8" s="21"/>
      <c r="L8" s="21">
        <f>L5</f>
        <v>0</v>
      </c>
      <c r="M8" s="21">
        <f>M5</f>
        <v>0</v>
      </c>
      <c r="N8" s="21">
        <f>N5</f>
        <v>11527.112362138465</v>
      </c>
      <c r="O8" s="21">
        <f>O5</f>
        <v>345.49666666666667</v>
      </c>
      <c r="P8" s="21">
        <f>P5</f>
        <v>1144</v>
      </c>
    </row>
    <row r="9" spans="1:16">
      <c r="B9" s="19"/>
      <c r="C9" s="19"/>
      <c r="D9" s="258"/>
      <c r="E9" s="19"/>
      <c r="F9" s="19"/>
      <c r="G9" s="19"/>
      <c r="H9" s="19"/>
      <c r="I9" s="19"/>
      <c r="J9" s="19"/>
      <c r="K9" s="19"/>
      <c r="L9" s="19"/>
      <c r="M9" s="19"/>
      <c r="N9" s="19"/>
      <c r="O9" s="19"/>
      <c r="P9" s="19"/>
    </row>
    <row r="10" spans="1:16">
      <c r="A10" s="24" t="s">
        <v>213</v>
      </c>
      <c r="B10" s="25">
        <f ca="1">'EF ele_warmte'!B12</f>
        <v>0.18600053853254847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5336.4424873806292</v>
      </c>
      <c r="C12" s="23">
        <f ca="1">C10*C8</f>
        <v>0</v>
      </c>
      <c r="D12" s="23">
        <f>D8*D10</f>
        <v>8008.6203887558013</v>
      </c>
      <c r="E12" s="23">
        <f>E10*E8</f>
        <v>2947.668300907615</v>
      </c>
      <c r="F12" s="23">
        <f>F10*F8</f>
        <v>15722.684158083008</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571</v>
      </c>
      <c r="C18" s="166" t="s">
        <v>110</v>
      </c>
      <c r="D18" s="228"/>
      <c r="E18" s="15"/>
    </row>
    <row r="19" spans="1:7">
      <c r="A19" s="171" t="s">
        <v>71</v>
      </c>
      <c r="B19" s="37">
        <f>aantalw2001_ander</f>
        <v>1</v>
      </c>
      <c r="C19" s="166" t="s">
        <v>110</v>
      </c>
      <c r="D19" s="229"/>
      <c r="E19" s="15"/>
    </row>
    <row r="20" spans="1:7">
      <c r="A20" s="171" t="s">
        <v>72</v>
      </c>
      <c r="B20" s="37">
        <f>aantalw2001_propaan</f>
        <v>59</v>
      </c>
      <c r="C20" s="167">
        <f>IF(ISERROR(B20/SUM($B$20,$B$21,$B$22)*100),0,B20/SUM($B$20,$B$21,$B$22)*100)</f>
        <v>19.155844155844157</v>
      </c>
      <c r="D20" s="229"/>
      <c r="E20" s="15"/>
    </row>
    <row r="21" spans="1:7">
      <c r="A21" s="171" t="s">
        <v>73</v>
      </c>
      <c r="B21" s="37">
        <f>aantalw2001_elektriciteit</f>
        <v>211</v>
      </c>
      <c r="C21" s="167">
        <f>IF(ISERROR(B21/SUM($B$20,$B$21,$B$22)*100),0,B21/SUM($B$20,$B$21,$B$22)*100)</f>
        <v>68.506493506493499</v>
      </c>
      <c r="D21" s="229"/>
      <c r="E21" s="15"/>
    </row>
    <row r="22" spans="1:7">
      <c r="A22" s="171" t="s">
        <v>74</v>
      </c>
      <c r="B22" s="37">
        <f>aantalw2001_hout</f>
        <v>38</v>
      </c>
      <c r="C22" s="167">
        <f>IF(ISERROR(B22/SUM($B$20,$B$21,$B$22)*100),0,B22/SUM($B$20,$B$21,$B$22)*100)</f>
        <v>12.337662337662337</v>
      </c>
      <c r="D22" s="229"/>
      <c r="E22" s="15"/>
    </row>
    <row r="23" spans="1:7">
      <c r="A23" s="171" t="s">
        <v>75</v>
      </c>
      <c r="B23" s="37">
        <f>aantalw2001_niet_gespec</f>
        <v>87</v>
      </c>
      <c r="C23" s="166" t="s">
        <v>110</v>
      </c>
      <c r="D23" s="228"/>
      <c r="E23" s="15"/>
    </row>
    <row r="24" spans="1:7">
      <c r="A24" s="171" t="s">
        <v>76</v>
      </c>
      <c r="B24" s="37">
        <f>aantalw2001_steenkool</f>
        <v>136</v>
      </c>
      <c r="C24" s="166" t="s">
        <v>110</v>
      </c>
      <c r="D24" s="229"/>
      <c r="E24" s="15"/>
    </row>
    <row r="25" spans="1:7">
      <c r="A25" s="171" t="s">
        <v>77</v>
      </c>
      <c r="B25" s="37">
        <f>aantalw2001_stookolie</f>
        <v>4632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6746</v>
      </c>
      <c r="C28" s="36"/>
      <c r="D28" s="228"/>
    </row>
    <row r="29" spans="1:7" s="15" customFormat="1">
      <c r="A29" s="230" t="s">
        <v>781</v>
      </c>
      <c r="B29" s="37">
        <f>SUM(HH_hh_gas_aantal,HH_rest_gas_aantal)</f>
        <v>2581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2581</v>
      </c>
      <c r="C32" s="167">
        <f>IF(ISERROR(B32/SUM($B$32,$B$34,$B$35,$B$36,$B$38,$B$39)*100),0,B32/SUM($B$32,$B$34,$B$35,$B$36,$B$38,$B$39)*100)</f>
        <v>38.603051151660182</v>
      </c>
      <c r="D32" s="233"/>
      <c r="G32" s="15"/>
    </row>
    <row r="33" spans="1:7">
      <c r="A33" s="171" t="s">
        <v>71</v>
      </c>
      <c r="B33" s="34" t="s">
        <v>110</v>
      </c>
      <c r="C33" s="167"/>
      <c r="D33" s="233"/>
      <c r="G33" s="15"/>
    </row>
    <row r="34" spans="1:7">
      <c r="A34" s="171" t="s">
        <v>72</v>
      </c>
      <c r="B34" s="33">
        <f>IF((($B$28-$B$32-$B$39-$B$77-$B$38)*C20/100)&lt;0,0,($B$28-$B$32-$B$39-$B$77-$B$38)*C20/100)</f>
        <v>245.5779220779221</v>
      </c>
      <c r="C34" s="167">
        <f>IF(ISERROR(B34/SUM($B$32,$B$34,$B$35,$B$36,$B$38,$B$39)*100),0,B34/SUM($B$32,$B$34,$B$35,$B$36,$B$38,$B$39)*100)</f>
        <v>3.6730170816320982</v>
      </c>
      <c r="D34" s="233"/>
      <c r="G34" s="15"/>
    </row>
    <row r="35" spans="1:7">
      <c r="A35" s="171" t="s">
        <v>73</v>
      </c>
      <c r="B35" s="33">
        <f>IF((($B$28-$B$32-$B$39-$B$77-$B$38)*C21/100)&lt;0,0,($B$28-$B$32-$B$39-$B$77-$B$38)*C21/100)</f>
        <v>878.25324675324669</v>
      </c>
      <c r="C35" s="167">
        <f>IF(ISERROR(B35/SUM($B$32,$B$34,$B$35,$B$36,$B$38,$B$39)*100),0,B35/SUM($B$32,$B$34,$B$35,$B$36,$B$38,$B$39)*100)</f>
        <v>13.135705156345297</v>
      </c>
      <c r="D35" s="233"/>
      <c r="G35" s="15"/>
    </row>
    <row r="36" spans="1:7">
      <c r="A36" s="171" t="s">
        <v>74</v>
      </c>
      <c r="B36" s="33">
        <f>IF((($B$28-$B$32-$B$39-$B$77-$B$38)*C22/100)&lt;0,0,($B$28-$B$32-$B$39-$B$77-$B$38)*C22/100)</f>
        <v>158.16883116883116</v>
      </c>
      <c r="C36" s="167">
        <f>IF(ISERROR(B36/SUM($B$32,$B$34,$B$35,$B$36,$B$38,$B$39)*100),0,B36/SUM($B$32,$B$34,$B$35,$B$36,$B$38,$B$39)*100)</f>
        <v>2.3656720186783007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2823</v>
      </c>
      <c r="C39" s="167">
        <f>IF(ISERROR(B39/SUM($B$32,$B$34,$B$35,$B$36,$B$38,$B$39)*100),0,B39/SUM($B$32,$B$34,$B$35,$B$36,$B$38,$B$39)*100)</f>
        <v>42.222554591684116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2581</v>
      </c>
      <c r="C44" s="34" t="s">
        <v>110</v>
      </c>
      <c r="D44" s="174"/>
    </row>
    <row r="45" spans="1:7">
      <c r="A45" s="171" t="s">
        <v>71</v>
      </c>
      <c r="B45" s="33" t="str">
        <f t="shared" si="0"/>
        <v>-</v>
      </c>
      <c r="C45" s="34" t="s">
        <v>110</v>
      </c>
      <c r="D45" s="174"/>
    </row>
    <row r="46" spans="1:7">
      <c r="A46" s="171" t="s">
        <v>72</v>
      </c>
      <c r="B46" s="33">
        <f t="shared" si="0"/>
        <v>245.5779220779221</v>
      </c>
      <c r="C46" s="34" t="s">
        <v>110</v>
      </c>
      <c r="D46" s="174"/>
    </row>
    <row r="47" spans="1:7">
      <c r="A47" s="171" t="s">
        <v>73</v>
      </c>
      <c r="B47" s="33">
        <f t="shared" si="0"/>
        <v>878.25324675324669</v>
      </c>
      <c r="C47" s="34" t="s">
        <v>110</v>
      </c>
      <c r="D47" s="174"/>
    </row>
    <row r="48" spans="1:7">
      <c r="A48" s="171" t="s">
        <v>74</v>
      </c>
      <c r="B48" s="33">
        <f t="shared" si="0"/>
        <v>158.16883116883116</v>
      </c>
      <c r="C48" s="33">
        <f>B48*10</f>
        <v>1581.6883116883116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2823</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221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11336.331180000001</v>
      </c>
      <c r="C5" s="17">
        <f>IF(ISERROR('Eigen informatie GS &amp; warmtenet'!B58),0,'Eigen informatie GS &amp; warmtenet'!B58)</f>
        <v>0</v>
      </c>
      <c r="D5" s="30">
        <f>SUM(D6:D12)</f>
        <v>9213.8838645039996</v>
      </c>
      <c r="E5" s="17">
        <f>SUM(E6:E12)</f>
        <v>197.70908012079258</v>
      </c>
      <c r="F5" s="17">
        <f>SUM(F6:F12)</f>
        <v>2002.2731313627414</v>
      </c>
      <c r="G5" s="18"/>
      <c r="H5" s="17"/>
      <c r="I5" s="17"/>
      <c r="J5" s="17">
        <f>SUM(J6:J12)</f>
        <v>2.8792343308541943E-2</v>
      </c>
      <c r="K5" s="17"/>
      <c r="L5" s="17"/>
      <c r="M5" s="17"/>
      <c r="N5" s="17">
        <f>SUM(N6:N12)</f>
        <v>1150.3051315681812</v>
      </c>
      <c r="O5" s="17">
        <f>B38*B39*B40</f>
        <v>4.6900000000000004</v>
      </c>
      <c r="P5" s="17">
        <f>B46*B47*B48/1000-B46*B47*B48/1000/B49</f>
        <v>19.066666666666666</v>
      </c>
      <c r="R5" s="32"/>
    </row>
    <row r="6" spans="1:18">
      <c r="A6" s="32" t="s">
        <v>53</v>
      </c>
      <c r="B6" s="37">
        <f>B26</f>
        <v>2427.8392370000001</v>
      </c>
      <c r="C6" s="33"/>
      <c r="D6" s="37">
        <f>IF(ISERROR(TER_kantoor_gas_kWh/1000),0,TER_kantoor_gas_kWh/1000)*0.902</f>
        <v>2173.8270355999998</v>
      </c>
      <c r="E6" s="33">
        <f>$C$26*'E Balans VL '!I12/100/3.6*1000000</f>
        <v>1.5216888850836193E-2</v>
      </c>
      <c r="F6" s="33">
        <f>$C$26*('E Balans VL '!L12+'E Balans VL '!N12)/100/3.6*1000000</f>
        <v>364.83639702263372</v>
      </c>
      <c r="G6" s="34"/>
      <c r="H6" s="33"/>
      <c r="I6" s="33"/>
      <c r="J6" s="33">
        <f>$C$26*('E Balans VL '!D12+'E Balans VL '!E12)/100/3.6*1000000</f>
        <v>0</v>
      </c>
      <c r="K6" s="33"/>
      <c r="L6" s="33"/>
      <c r="M6" s="33"/>
      <c r="N6" s="33">
        <f>$C$26*'E Balans VL '!Y12/100/3.6*1000000</f>
        <v>2.3218682635193733</v>
      </c>
      <c r="O6" s="33"/>
      <c r="P6" s="33"/>
      <c r="R6" s="32"/>
    </row>
    <row r="7" spans="1:18">
      <c r="A7" s="32" t="s">
        <v>52</v>
      </c>
      <c r="B7" s="37">
        <f t="shared" ref="B7:B12" si="0">B27</f>
        <v>1919.5080949999999</v>
      </c>
      <c r="C7" s="33"/>
      <c r="D7" s="37">
        <f>IF(ISERROR(TER_horeca_gas_kWh/1000),0,TER_horeca_gas_kWh/1000)*0.902</f>
        <v>1801.487028</v>
      </c>
      <c r="E7" s="33">
        <f>$C$27*'E Balans VL '!I9/100/3.6*1000000</f>
        <v>27.48703619138703</v>
      </c>
      <c r="F7" s="33">
        <f>$C$27*('E Balans VL '!L9+'E Balans VL '!N9)/100/3.6*1000000</f>
        <v>243.07303264296141</v>
      </c>
      <c r="G7" s="34"/>
      <c r="H7" s="33"/>
      <c r="I7" s="33"/>
      <c r="J7" s="33">
        <f>$C$27*('E Balans VL '!D9+'E Balans VL '!E9)/100/3.6*1000000</f>
        <v>0</v>
      </c>
      <c r="K7" s="33"/>
      <c r="L7" s="33"/>
      <c r="M7" s="33"/>
      <c r="N7" s="33">
        <f>$C$27*'E Balans VL '!Y9/100/3.6*1000000</f>
        <v>0.55181625579187044</v>
      </c>
      <c r="O7" s="33"/>
      <c r="P7" s="33"/>
      <c r="R7" s="32"/>
    </row>
    <row r="8" spans="1:18">
      <c r="A8" s="6" t="s">
        <v>51</v>
      </c>
      <c r="B8" s="37">
        <f t="shared" si="0"/>
        <v>4579.8725089999998</v>
      </c>
      <c r="C8" s="33"/>
      <c r="D8" s="37">
        <f>IF(ISERROR(TER_handel_gas_kWh/1000),0,TER_handel_gas_kWh/1000)*0.902</f>
        <v>2537.290868904</v>
      </c>
      <c r="E8" s="33">
        <f>$C$28*'E Balans VL '!I13/100/3.6*1000000</f>
        <v>166.11141113685451</v>
      </c>
      <c r="F8" s="33">
        <f>$C$28*('E Balans VL '!L13+'E Balans VL '!N13)/100/3.6*1000000</f>
        <v>882.12981939093061</v>
      </c>
      <c r="G8" s="34"/>
      <c r="H8" s="33"/>
      <c r="I8" s="33"/>
      <c r="J8" s="33">
        <f>$C$28*('E Balans VL '!D13+'E Balans VL '!E13)/100/3.6*1000000</f>
        <v>0</v>
      </c>
      <c r="K8" s="33"/>
      <c r="L8" s="33"/>
      <c r="M8" s="33"/>
      <c r="N8" s="33">
        <f>$C$28*'E Balans VL '!Y13/100/3.6*1000000</f>
        <v>6.3441772066320681</v>
      </c>
      <c r="O8" s="33"/>
      <c r="P8" s="33"/>
      <c r="R8" s="32"/>
    </row>
    <row r="9" spans="1:18">
      <c r="A9" s="32" t="s">
        <v>50</v>
      </c>
      <c r="B9" s="37">
        <f t="shared" si="0"/>
        <v>919.82451400000002</v>
      </c>
      <c r="C9" s="33"/>
      <c r="D9" s="37">
        <f>IF(ISERROR(TER_gezond_gas_kWh/1000),0,TER_gezond_gas_kWh/1000)*0.902</f>
        <v>1681.8150800000001</v>
      </c>
      <c r="E9" s="33">
        <f>$C$29*'E Balans VL '!I10/100/3.6*1000000</f>
        <v>5.7590096202785081E-2</v>
      </c>
      <c r="F9" s="33">
        <f>$C$29*('E Balans VL '!L10+'E Balans VL '!N10)/100/3.6*1000000</f>
        <v>136.64273215363022</v>
      </c>
      <c r="G9" s="34"/>
      <c r="H9" s="33"/>
      <c r="I9" s="33"/>
      <c r="J9" s="33">
        <f>$C$29*('E Balans VL '!D10+'E Balans VL '!E10)/100/3.6*1000000</f>
        <v>0</v>
      </c>
      <c r="K9" s="33"/>
      <c r="L9" s="33"/>
      <c r="M9" s="33"/>
      <c r="N9" s="33">
        <f>$C$29*'E Balans VL '!Y10/100/3.6*1000000</f>
        <v>14.227934338030771</v>
      </c>
      <c r="O9" s="33"/>
      <c r="P9" s="33"/>
      <c r="R9" s="32"/>
    </row>
    <row r="10" spans="1:18">
      <c r="A10" s="32" t="s">
        <v>49</v>
      </c>
      <c r="B10" s="37">
        <f t="shared" si="0"/>
        <v>1326.464436</v>
      </c>
      <c r="C10" s="33"/>
      <c r="D10" s="37">
        <f>IF(ISERROR(TER_ander_gas_kWh/1000),0,TER_ander_gas_kWh/1000)*0.902</f>
        <v>774.85858999999994</v>
      </c>
      <c r="E10" s="33">
        <f>$C$30*'E Balans VL '!I14/100/3.6*1000000</f>
        <v>1.5810982078822209</v>
      </c>
      <c r="F10" s="33">
        <f>$C$30*('E Balans VL '!L14+'E Balans VL '!N14)/100/3.6*1000000</f>
        <v>347.06206643473718</v>
      </c>
      <c r="G10" s="34"/>
      <c r="H10" s="33"/>
      <c r="I10" s="33"/>
      <c r="J10" s="33">
        <f>$C$30*('E Balans VL '!D14+'E Balans VL '!E14)/100/3.6*1000000</f>
        <v>2.8792343308541943E-2</v>
      </c>
      <c r="K10" s="33"/>
      <c r="L10" s="33"/>
      <c r="M10" s="33"/>
      <c r="N10" s="33">
        <f>$C$30*'E Balans VL '!Y14/100/3.6*1000000</f>
        <v>1126.4011409233317</v>
      </c>
      <c r="O10" s="33"/>
      <c r="P10" s="33"/>
      <c r="R10" s="32"/>
    </row>
    <row r="11" spans="1:18">
      <c r="A11" s="32" t="s">
        <v>54</v>
      </c>
      <c r="B11" s="37">
        <f t="shared" si="0"/>
        <v>162.82238899999999</v>
      </c>
      <c r="C11" s="33"/>
      <c r="D11" s="37">
        <f>IF(ISERROR(TER_onderwijs_gas_kWh/1000),0,TER_onderwijs_gas_kWh/1000)*0.902</f>
        <v>244.60526199999998</v>
      </c>
      <c r="E11" s="33">
        <f>$C$31*'E Balans VL '!I11/100/3.6*1000000</f>
        <v>2.4567275996152054</v>
      </c>
      <c r="F11" s="33">
        <f>$C$31*('E Balans VL '!L11+'E Balans VL '!N11)/100/3.6*1000000</f>
        <v>28.529083717848067</v>
      </c>
      <c r="G11" s="34"/>
      <c r="H11" s="33"/>
      <c r="I11" s="33"/>
      <c r="J11" s="33">
        <f>$C$31*('E Balans VL '!D11+'E Balans VL '!E11)/100/3.6*1000000</f>
        <v>0</v>
      </c>
      <c r="K11" s="33"/>
      <c r="L11" s="33"/>
      <c r="M11" s="33"/>
      <c r="N11" s="33">
        <f>$C$31*'E Balans VL '!Y11/100/3.6*1000000</f>
        <v>0.45819458087539788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11336.331180000001</v>
      </c>
      <c r="C16" s="21">
        <f t="shared" ca="1" si="1"/>
        <v>0</v>
      </c>
      <c r="D16" s="21">
        <f t="shared" ca="1" si="1"/>
        <v>9213.8838645039996</v>
      </c>
      <c r="E16" s="21">
        <f t="shared" si="1"/>
        <v>197.70908012079258</v>
      </c>
      <c r="F16" s="21">
        <f t="shared" ca="1" si="1"/>
        <v>2002.2731313627414</v>
      </c>
      <c r="G16" s="21">
        <f t="shared" si="1"/>
        <v>0</v>
      </c>
      <c r="H16" s="21">
        <f t="shared" si="1"/>
        <v>0</v>
      </c>
      <c r="I16" s="21">
        <f t="shared" si="1"/>
        <v>0</v>
      </c>
      <c r="J16" s="21">
        <f t="shared" si="1"/>
        <v>2.8792343308541943E-2</v>
      </c>
      <c r="K16" s="21">
        <f t="shared" si="1"/>
        <v>0</v>
      </c>
      <c r="L16" s="21">
        <f t="shared" ca="1" si="1"/>
        <v>0</v>
      </c>
      <c r="M16" s="21">
        <f t="shared" si="1"/>
        <v>0</v>
      </c>
      <c r="N16" s="21">
        <f t="shared" ca="1" si="1"/>
        <v>1150.3051315681812</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0.18600053853254847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2108.5637044633208</v>
      </c>
      <c r="C20" s="23">
        <f t="shared" ref="C20:P20" ca="1" si="2">C16*C18</f>
        <v>0</v>
      </c>
      <c r="D20" s="23">
        <f t="shared" ca="1" si="2"/>
        <v>1861.204540629808</v>
      </c>
      <c r="E20" s="23">
        <f t="shared" si="2"/>
        <v>44.879961187419916</v>
      </c>
      <c r="F20" s="23">
        <f t="shared" ca="1" si="2"/>
        <v>534.60692607385204</v>
      </c>
      <c r="G20" s="23">
        <f t="shared" si="2"/>
        <v>0</v>
      </c>
      <c r="H20" s="23">
        <f t="shared" si="2"/>
        <v>0</v>
      </c>
      <c r="I20" s="23">
        <f t="shared" si="2"/>
        <v>0</v>
      </c>
      <c r="J20" s="23">
        <f t="shared" si="2"/>
        <v>1.0192489531223847E-2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2427.8392370000001</v>
      </c>
      <c r="C26" s="39">
        <f>IF(ISERROR(B26*3.6/1000000/'E Balans VL '!Z12*100),0,B26*3.6/1000000/'E Balans VL '!Z12*100)</f>
        <v>5.1320675462167037E-2</v>
      </c>
      <c r="D26" s="237" t="s">
        <v>744</v>
      </c>
      <c r="F26" s="6"/>
    </row>
    <row r="27" spans="1:18">
      <c r="A27" s="231" t="s">
        <v>52</v>
      </c>
      <c r="B27" s="33">
        <f>IF(ISERROR(TER_horeca_ele_kWh/1000),0,TER_horeca_ele_kWh/1000)</f>
        <v>1919.5080949999999</v>
      </c>
      <c r="C27" s="39">
        <f>IF(ISERROR(B27*3.6/1000000/'E Balans VL '!Z9*100),0,B27*3.6/1000000/'E Balans VL '!Z9*100)</f>
        <v>0.15131410769165859</v>
      </c>
      <c r="D27" s="237" t="s">
        <v>744</v>
      </c>
      <c r="F27" s="6"/>
    </row>
    <row r="28" spans="1:18">
      <c r="A28" s="171" t="s">
        <v>51</v>
      </c>
      <c r="B28" s="33">
        <f>IF(ISERROR(TER_handel_ele_kWh/1000),0,TER_handel_ele_kWh/1000)</f>
        <v>4579.8725089999998</v>
      </c>
      <c r="C28" s="39">
        <f>IF(ISERROR(B28*3.6/1000000/'E Balans VL '!Z13*100),0,B28*3.6/1000000/'E Balans VL '!Z13*100)</f>
        <v>0.13292640496968752</v>
      </c>
      <c r="D28" s="237" t="s">
        <v>744</v>
      </c>
      <c r="F28" s="6"/>
    </row>
    <row r="29" spans="1:18">
      <c r="A29" s="231" t="s">
        <v>50</v>
      </c>
      <c r="B29" s="33">
        <f>IF(ISERROR(TER_gezond_ele_kWh/1000),0,TER_gezond_ele_kWh/1000)</f>
        <v>919.82451400000002</v>
      </c>
      <c r="C29" s="39">
        <f>IF(ISERROR(B29*3.6/1000000/'E Balans VL '!Z10*100),0,B29*3.6/1000000/'E Balans VL '!Z10*100)</f>
        <v>9.6872625241404928E-2</v>
      </c>
      <c r="D29" s="237" t="s">
        <v>744</v>
      </c>
      <c r="F29" s="6"/>
    </row>
    <row r="30" spans="1:18">
      <c r="A30" s="231" t="s">
        <v>49</v>
      </c>
      <c r="B30" s="33">
        <f>IF(ISERROR(TER_ander_ele_kWh/1000),0,TER_ander_ele_kWh/1000)</f>
        <v>1326.464436</v>
      </c>
      <c r="C30" s="39">
        <f>IF(ISERROR(B30*3.6/1000000/'E Balans VL '!Z14*100),0,B30*3.6/1000000/'E Balans VL '!Z14*100)</f>
        <v>9.7840304906002346E-2</v>
      </c>
      <c r="D30" s="237" t="s">
        <v>744</v>
      </c>
      <c r="F30" s="6"/>
    </row>
    <row r="31" spans="1:18">
      <c r="A31" s="231" t="s">
        <v>54</v>
      </c>
      <c r="B31" s="33">
        <f>IF(ISERROR(TER_onderwijs_ele_kWh/1000),0,TER_onderwijs_ele_kWh/1000)</f>
        <v>162.82238899999999</v>
      </c>
      <c r="C31" s="39">
        <f>IF(ISERROR(B31*3.6/1000000/'E Balans VL '!Z11*100),0,B31*3.6/1000000/'E Balans VL '!Z11*100)</f>
        <v>4.0436426238573436E-2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2585.6673539999997</v>
      </c>
      <c r="C5" s="17">
        <f>IF(ISERROR('Eigen informatie GS &amp; warmtenet'!B59),0,'Eigen informatie GS &amp; warmtenet'!B59)</f>
        <v>0</v>
      </c>
      <c r="D5" s="30">
        <f>SUM(D6:D15)</f>
        <v>8088.0962799340014</v>
      </c>
      <c r="E5" s="17">
        <f>SUM(E6:E15)</f>
        <v>308.51347254127938</v>
      </c>
      <c r="F5" s="17">
        <f>SUM(F6:F15)</f>
        <v>1055.083505577707</v>
      </c>
      <c r="G5" s="18"/>
      <c r="H5" s="17"/>
      <c r="I5" s="17"/>
      <c r="J5" s="17">
        <f>SUM(J6:J15)</f>
        <v>1.0212027794621634</v>
      </c>
      <c r="K5" s="17"/>
      <c r="L5" s="17"/>
      <c r="M5" s="17"/>
      <c r="N5" s="17">
        <f>SUM(N6:N15)</f>
        <v>266.362291438618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284.976</v>
      </c>
      <c r="C8" s="33"/>
      <c r="D8" s="37">
        <f>IF( ISERROR(IND_metaal_Gas_kWH/1000),0,IND_metaal_Gas_kWH/1000)*0.902</f>
        <v>0</v>
      </c>
      <c r="E8" s="33">
        <f>C30*'E Balans VL '!I18/100/3.6*1000000</f>
        <v>2.6200790875617312</v>
      </c>
      <c r="F8" s="33">
        <f>C30*'E Balans VL '!L18/100/3.6*1000000+C30*'E Balans VL '!N18/100/3.6*1000000</f>
        <v>26.721260988560225</v>
      </c>
      <c r="G8" s="34"/>
      <c r="H8" s="33"/>
      <c r="I8" s="33"/>
      <c r="J8" s="40">
        <f>C30*'E Balans VL '!D18/100/3.6*1000000+C30*'E Balans VL '!E18/100/3.6*1000000</f>
        <v>0</v>
      </c>
      <c r="K8" s="33"/>
      <c r="L8" s="33"/>
      <c r="M8" s="33"/>
      <c r="N8" s="33">
        <f>C30*'E Balans VL '!Y18/100/3.6*1000000</f>
        <v>4.0656535826718887</v>
      </c>
      <c r="O8" s="33"/>
      <c r="P8" s="33"/>
      <c r="R8" s="32"/>
    </row>
    <row r="9" spans="1:18">
      <c r="A9" s="6" t="s">
        <v>32</v>
      </c>
      <c r="B9" s="37">
        <f t="shared" si="0"/>
        <v>980.75175000000002</v>
      </c>
      <c r="C9" s="33"/>
      <c r="D9" s="37">
        <f>IF( ISERROR(IND_andere_gas_kWh/1000),0,IND_andere_gas_kWh/1000)*0.902</f>
        <v>1165.8897062999999</v>
      </c>
      <c r="E9" s="33">
        <f>C31*'E Balans VL '!I19/100/3.6*1000000</f>
        <v>286.6928295095679</v>
      </c>
      <c r="F9" s="33">
        <f>C31*'E Balans VL '!L19/100/3.6*1000000+C31*'E Balans VL '!N19/100/3.6*1000000</f>
        <v>788.10826721122362</v>
      </c>
      <c r="G9" s="34"/>
      <c r="H9" s="33"/>
      <c r="I9" s="33"/>
      <c r="J9" s="40">
        <f>C31*'E Balans VL '!D19/100/3.6*1000000+C31*'E Balans VL '!E19/100/3.6*1000000</f>
        <v>0</v>
      </c>
      <c r="K9" s="33"/>
      <c r="L9" s="33"/>
      <c r="M9" s="33"/>
      <c r="N9" s="33">
        <f>C31*'E Balans VL '!Y19/100/3.6*1000000</f>
        <v>76.928835243503798</v>
      </c>
      <c r="O9" s="33"/>
      <c r="P9" s="33"/>
      <c r="R9" s="32"/>
    </row>
    <row r="10" spans="1:18">
      <c r="A10" s="6" t="s">
        <v>40</v>
      </c>
      <c r="B10" s="37">
        <f t="shared" si="0"/>
        <v>688.44949999999994</v>
      </c>
      <c r="C10" s="33"/>
      <c r="D10" s="37">
        <f>IF( ISERROR(IND_voed_gas_kWh/1000),0,IND_voed_gas_kWh/1000)*0.902</f>
        <v>1051.888046</v>
      </c>
      <c r="E10" s="33">
        <f>C32*'E Balans VL '!I20/100/3.6*1000000</f>
        <v>1.4564255917859257</v>
      </c>
      <c r="F10" s="33">
        <f>C32*'E Balans VL '!L20/100/3.6*1000000+C32*'E Balans VL '!N20/100/3.6*1000000</f>
        <v>43.772322440542332</v>
      </c>
      <c r="G10" s="34"/>
      <c r="H10" s="33"/>
      <c r="I10" s="33"/>
      <c r="J10" s="40">
        <f>C32*'E Balans VL '!D20/100/3.6*1000000+C32*'E Balans VL '!E20/100/3.6*1000000</f>
        <v>0</v>
      </c>
      <c r="K10" s="33"/>
      <c r="L10" s="33"/>
      <c r="M10" s="33"/>
      <c r="N10" s="33">
        <f>C32*'E Balans VL '!Y20/100/3.6*1000000</f>
        <v>47.50980928566932</v>
      </c>
      <c r="O10" s="33"/>
      <c r="P10" s="33"/>
      <c r="R10" s="32"/>
    </row>
    <row r="11" spans="1:18">
      <c r="A11" s="6" t="s">
        <v>39</v>
      </c>
      <c r="B11" s="37">
        <f t="shared" si="0"/>
        <v>15.468999999999999</v>
      </c>
      <c r="C11" s="33"/>
      <c r="D11" s="37">
        <f>IF( ISERROR(IND_textiel_gas_kWh/1000),0,IND_textiel_gas_kWh/1000)*0.902</f>
        <v>0</v>
      </c>
      <c r="E11" s="33">
        <f>C33*'E Balans VL '!I21/100/3.6*1000000</f>
        <v>4.5941596315809116E-2</v>
      </c>
      <c r="F11" s="33">
        <f>C33*'E Balans VL '!L21/100/3.6*1000000+C33*'E Balans VL '!N21/100/3.6*1000000</f>
        <v>1.5627936877298851</v>
      </c>
      <c r="G11" s="34"/>
      <c r="H11" s="33"/>
      <c r="I11" s="33"/>
      <c r="J11" s="40">
        <f>C33*'E Balans VL '!D21/100/3.6*1000000+C33*'E Balans VL '!E21/100/3.6*1000000</f>
        <v>0</v>
      </c>
      <c r="K11" s="33"/>
      <c r="L11" s="33"/>
      <c r="M11" s="33"/>
      <c r="N11" s="33">
        <f>C33*'E Balans VL '!Y21/100/3.6*1000000</f>
        <v>0.85316471705891306</v>
      </c>
      <c r="O11" s="33"/>
      <c r="P11" s="33"/>
      <c r="R11" s="32"/>
    </row>
    <row r="12" spans="1:18">
      <c r="A12" s="6" t="s">
        <v>36</v>
      </c>
      <c r="B12" s="37">
        <f t="shared" si="0"/>
        <v>544.98710400000004</v>
      </c>
      <c r="C12" s="33"/>
      <c r="D12" s="37">
        <f>IF( ISERROR(IND_min_gas_kWh/1000),0,IND_min_gas_kWh/1000)*0.902</f>
        <v>0</v>
      </c>
      <c r="E12" s="33">
        <f>C34*'E Balans VL '!I22/100/3.6*1000000</f>
        <v>15.796932071109987</v>
      </c>
      <c r="F12" s="33">
        <f>C34*'E Balans VL '!L22/100/3.6*1000000+C34*'E Balans VL '!N22/100/3.6*1000000</f>
        <v>187.37272484673014</v>
      </c>
      <c r="G12" s="34"/>
      <c r="H12" s="33"/>
      <c r="I12" s="33"/>
      <c r="J12" s="40">
        <f>C34*'E Balans VL '!D22/100/3.6*1000000+C34*'E Balans VL '!E22/100/3.6*1000000</f>
        <v>0.8955780412860932</v>
      </c>
      <c r="K12" s="33"/>
      <c r="L12" s="33"/>
      <c r="M12" s="33"/>
      <c r="N12" s="33">
        <f>C34*'E Balans VL '!Y22/100/3.6*1000000</f>
        <v>119.30663299742639</v>
      </c>
      <c r="O12" s="33"/>
      <c r="P12" s="33"/>
      <c r="R12" s="32"/>
    </row>
    <row r="13" spans="1:18">
      <c r="A13" s="6" t="s">
        <v>38</v>
      </c>
      <c r="B13" s="37">
        <f t="shared" si="0"/>
        <v>37.566000000000003</v>
      </c>
      <c r="C13" s="33"/>
      <c r="D13" s="37">
        <f>IF( ISERROR(IND_papier_gas_kWh/1000),0,IND_papier_gas_kWh/1000)*0.902</f>
        <v>0</v>
      </c>
      <c r="E13" s="33">
        <f>C35*'E Balans VL '!I23/100/3.6*1000000</f>
        <v>5.3297562722493919E-2</v>
      </c>
      <c r="F13" s="33">
        <f>C35*'E Balans VL '!L23/100/3.6*1000000+C35*'E Balans VL '!N23/100/3.6*1000000</f>
        <v>0.91712731726747898</v>
      </c>
      <c r="G13" s="34"/>
      <c r="H13" s="33"/>
      <c r="I13" s="33"/>
      <c r="J13" s="40">
        <f>C35*'E Balans VL '!D23/100/3.6*1000000+C35*'E Balans VL '!E23/100/3.6*1000000</f>
        <v>5.8099345911000978E-3</v>
      </c>
      <c r="K13" s="33"/>
      <c r="L13" s="33"/>
      <c r="M13" s="33"/>
      <c r="N13" s="33">
        <f>C35*'E Balans VL '!Y23/100/3.6*1000000</f>
        <v>15.348922929528886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33.468000000000004</v>
      </c>
      <c r="C15" s="33"/>
      <c r="D15" s="37">
        <f>IF( ISERROR(IND_rest_gas_kWh/1000),0,IND_rest_gas_kWh/1000)*0.902</f>
        <v>5870.3185276340009</v>
      </c>
      <c r="E15" s="33">
        <f>C37*'E Balans VL '!I15/100/3.6*1000000</f>
        <v>1.8479671222154752</v>
      </c>
      <c r="F15" s="33">
        <f>C37*'E Balans VL '!L15/100/3.6*1000000+C37*'E Balans VL '!N15/100/3.6*1000000</f>
        <v>6.6290090856535411</v>
      </c>
      <c r="G15" s="34"/>
      <c r="H15" s="33"/>
      <c r="I15" s="33"/>
      <c r="J15" s="40">
        <f>C37*'E Balans VL '!D15/100/3.6*1000000+C37*'E Balans VL '!E15/100/3.6*1000000</f>
        <v>0.11981480358496999</v>
      </c>
      <c r="K15" s="33"/>
      <c r="L15" s="33"/>
      <c r="M15" s="33"/>
      <c r="N15" s="33">
        <f>C37*'E Balans VL '!Y15/100/3.6*1000000</f>
        <v>2.3492726827587984</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2585.6673539999997</v>
      </c>
      <c r="C18" s="21">
        <f>C5+C16</f>
        <v>0</v>
      </c>
      <c r="D18" s="21">
        <f>MAX((D5+D16),0)</f>
        <v>8088.0962799340014</v>
      </c>
      <c r="E18" s="21">
        <f>MAX((E5+E16),0)</f>
        <v>308.51347254127938</v>
      </c>
      <c r="F18" s="21">
        <f>MAX((F5+F16),0)</f>
        <v>1055.083505577707</v>
      </c>
      <c r="G18" s="21"/>
      <c r="H18" s="21"/>
      <c r="I18" s="21"/>
      <c r="J18" s="21">
        <f>MAX((J5+J16),0)</f>
        <v>1.0212027794621634</v>
      </c>
      <c r="K18" s="21"/>
      <c r="L18" s="21">
        <f>MAX((L5+L16),0)</f>
        <v>0</v>
      </c>
      <c r="M18" s="21"/>
      <c r="N18" s="21">
        <f>MAX((N5+N16),0)</f>
        <v>266.362291438618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0.18600053853254847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480.93552031002957</v>
      </c>
      <c r="C22" s="23">
        <f ca="1">C18*C20</f>
        <v>0</v>
      </c>
      <c r="D22" s="23">
        <f>D18*D20</f>
        <v>1633.7954485466685</v>
      </c>
      <c r="E22" s="23">
        <f>E18*E20</f>
        <v>70.032558266870424</v>
      </c>
      <c r="F22" s="23">
        <f>F18*F20</f>
        <v>281.70729598924777</v>
      </c>
      <c r="G22" s="23"/>
      <c r="H22" s="23"/>
      <c r="I22" s="23"/>
      <c r="J22" s="23">
        <f>J18*J20</f>
        <v>0.36150578392960581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284.976</v>
      </c>
      <c r="C30" s="39">
        <f>IF(ISERROR(B30*3.6/1000000/'E Balans VL '!Z18*100),0,B30*3.6/1000000/'E Balans VL '!Z18*100)</f>
        <v>1.6150320646257033E-2</v>
      </c>
      <c r="D30" s="237" t="s">
        <v>744</v>
      </c>
    </row>
    <row r="31" spans="1:18">
      <c r="A31" s="6" t="s">
        <v>32</v>
      </c>
      <c r="B31" s="37">
        <f>IF( ISERROR(IND_ander_ele_kWh/1000),0,IND_ander_ele_kWh/1000)</f>
        <v>980.75175000000002</v>
      </c>
      <c r="C31" s="39">
        <f>IF(ISERROR(B31*3.6/1000000/'E Balans VL '!Z19*100),0,B31*3.6/1000000/'E Balans VL '!Z19*100)</f>
        <v>4.4482815600789927E-2</v>
      </c>
      <c r="D31" s="237" t="s">
        <v>744</v>
      </c>
    </row>
    <row r="32" spans="1:18">
      <c r="A32" s="171" t="s">
        <v>40</v>
      </c>
      <c r="B32" s="37">
        <f>IF( ISERROR(IND_voed_ele_kWh/1000),0,IND_voed_ele_kWh/1000)</f>
        <v>688.44949999999994</v>
      </c>
      <c r="C32" s="39">
        <f>IF(ISERROR(B32*3.6/1000000/'E Balans VL '!Z20*100),0,B32*3.6/1000000/'E Balans VL '!Z20*100)</f>
        <v>2.1296868331844021E-2</v>
      </c>
      <c r="D32" s="237" t="s">
        <v>744</v>
      </c>
    </row>
    <row r="33" spans="1:5">
      <c r="A33" s="171" t="s">
        <v>39</v>
      </c>
      <c r="B33" s="37">
        <f>IF( ISERROR(IND_textiel_ele_kWh/1000),0,IND_textiel_ele_kWh/1000)</f>
        <v>15.468999999999999</v>
      </c>
      <c r="C33" s="39">
        <f>IF(ISERROR(B33*3.6/1000000/'E Balans VL '!Z21*100),0,B33*3.6/1000000/'E Balans VL '!Z21*100)</f>
        <v>2.016985653309451E-3</v>
      </c>
      <c r="D33" s="237" t="s">
        <v>744</v>
      </c>
    </row>
    <row r="34" spans="1:5">
      <c r="A34" s="171" t="s">
        <v>36</v>
      </c>
      <c r="B34" s="37">
        <f>IF( ISERROR(IND_min_ele_kWh/1000),0,IND_min_ele_kWh/1000)</f>
        <v>544.98710400000004</v>
      </c>
      <c r="C34" s="39">
        <f>IF(ISERROR(B34*3.6/1000000/'E Balans VL '!Z22*100),0,B34*3.6/1000000/'E Balans VL '!Z22*100)</f>
        <v>9.8026176607781956E-2</v>
      </c>
      <c r="D34" s="237" t="s">
        <v>744</v>
      </c>
    </row>
    <row r="35" spans="1:5">
      <c r="A35" s="171" t="s">
        <v>38</v>
      </c>
      <c r="B35" s="37">
        <f>IF( ISERROR(IND_papier_ele_kWh/1000),0,IND_papier_ele_kWh/1000)</f>
        <v>37.566000000000003</v>
      </c>
      <c r="C35" s="39">
        <f>IF(ISERROR(B35*3.6/1000000/'E Balans VL '!Z22*100),0,B35*3.6/1000000/'E Balans VL '!Z22*100)</f>
        <v>6.7569513542983517E-3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33.468000000000004</v>
      </c>
      <c r="C37" s="39">
        <f>IF(ISERROR(B37*3.6/1000000/'E Balans VL '!Z15*100),0,B37*3.6/1000000/'E Balans VL '!Z15*100)</f>
        <v>2.652750026130564E-4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8168.4384890000001</v>
      </c>
      <c r="C5" s="17">
        <f>'Eigen informatie GS &amp; warmtenet'!B60</f>
        <v>0</v>
      </c>
      <c r="D5" s="30">
        <f>IF(ISERROR(SUM(LB_lb_gas_kWh,LB_rest_gas_kWh)/1000),0,SUM(LB_lb_gas_kWh,LB_rest_gas_kWh)/1000)*0.902</f>
        <v>3899.4403086100001</v>
      </c>
      <c r="E5" s="17">
        <f>B17*'E Balans VL '!I25/3.6*1000000/100</f>
        <v>240.09535648253998</v>
      </c>
      <c r="F5" s="17">
        <f>B17*('E Balans VL '!L25/3.6*1000000+'E Balans VL '!N25/3.6*1000000)/100</f>
        <v>34029.273345926071</v>
      </c>
      <c r="G5" s="18"/>
      <c r="H5" s="17"/>
      <c r="I5" s="17"/>
      <c r="J5" s="17">
        <f>('E Balans VL '!D25+'E Balans VL '!E25)/3.6*1000000*landbouw!B17/100</f>
        <v>1183.4313178315447</v>
      </c>
      <c r="K5" s="17"/>
      <c r="L5" s="17">
        <f>L6*(-1)</f>
        <v>0</v>
      </c>
      <c r="M5" s="17"/>
      <c r="N5" s="17">
        <f>N6*(-1)</f>
        <v>154.28571428571431</v>
      </c>
      <c r="O5" s="17"/>
      <c r="P5" s="17"/>
      <c r="R5" s="32"/>
    </row>
    <row r="6" spans="1:18">
      <c r="A6" s="16" t="s">
        <v>487</v>
      </c>
      <c r="B6" s="17" t="s">
        <v>210</v>
      </c>
      <c r="C6" s="17">
        <f>'lokale energieproductie'!O39+'lokale energieproductie'!O32</f>
        <v>77.142857142857139</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8168.4384890000001</v>
      </c>
      <c r="C8" s="21">
        <f>C5+C6</f>
        <v>77.142857142857139</v>
      </c>
      <c r="D8" s="21">
        <f>MAX((D5+D6),0)</f>
        <v>3899.4403086100001</v>
      </c>
      <c r="E8" s="21">
        <f>MAX((E5+E6),0)</f>
        <v>240.09535648253998</v>
      </c>
      <c r="F8" s="21">
        <f>MAX((F5+F6),0)</f>
        <v>34029.273345926071</v>
      </c>
      <c r="G8" s="21"/>
      <c r="H8" s="21"/>
      <c r="I8" s="21"/>
      <c r="J8" s="21">
        <f>MAX((J5+J6),0)</f>
        <v>1183.4313178315447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0.18600053853254847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1519.3339579239964</v>
      </c>
      <c r="C12" s="23">
        <f ca="1">C8*C10</f>
        <v>0</v>
      </c>
      <c r="D12" s="23">
        <f>D8*D10</f>
        <v>787.68694233922008</v>
      </c>
      <c r="E12" s="23">
        <f>E8*E10</f>
        <v>54.501645921536578</v>
      </c>
      <c r="F12" s="23">
        <f>F8*F10</f>
        <v>9085.8159833622612</v>
      </c>
      <c r="G12" s="23"/>
      <c r="H12" s="23"/>
      <c r="I12" s="23"/>
      <c r="J12" s="23">
        <f>J8*J10</f>
        <v>418.9346865123668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1.1591270492832944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261.76661081691196</v>
      </c>
      <c r="C26" s="247">
        <f>B26*'GWP N2O_CH4'!B5</f>
        <v>5497.0988271551514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145.29229221375965</v>
      </c>
      <c r="C27" s="247">
        <f>B27*'GWP N2O_CH4'!B5</f>
        <v>3051.1381364889526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3.945795949327378</v>
      </c>
      <c r="C28" s="247">
        <f>B28*'GWP N2O_CH4'!B4</f>
        <v>1223.1967442914872</v>
      </c>
      <c r="D28" s="50"/>
    </row>
    <row r="29" spans="1:4">
      <c r="A29" s="41" t="s">
        <v>276</v>
      </c>
      <c r="B29" s="247">
        <f>B34*'ha_N2O bodem landbouw'!B4</f>
        <v>27.947230261830939</v>
      </c>
      <c r="C29" s="247">
        <f>B29*'GWP N2O_CH4'!B4</f>
        <v>8663.6413811675902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6.3774616353097675E-3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1.6863502607751481E-4</v>
      </c>
      <c r="C5" s="437" t="s">
        <v>210</v>
      </c>
      <c r="D5" s="422">
        <f>SUM(D6:D11)</f>
        <v>4.7336786457881629E-4</v>
      </c>
      <c r="E5" s="422">
        <f>SUM(E6:E11)</f>
        <v>8.5014308643872655E-4</v>
      </c>
      <c r="F5" s="435" t="s">
        <v>210</v>
      </c>
      <c r="G5" s="422">
        <f>SUM(G6:G11)</f>
        <v>0.37790430531609559</v>
      </c>
      <c r="H5" s="422">
        <f>SUM(H6:H11)</f>
        <v>8.0786507543060965E-2</v>
      </c>
      <c r="I5" s="437" t="s">
        <v>210</v>
      </c>
      <c r="J5" s="437" t="s">
        <v>210</v>
      </c>
      <c r="K5" s="437" t="s">
        <v>210</v>
      </c>
      <c r="L5" s="437" t="s">
        <v>210</v>
      </c>
      <c r="M5" s="422">
        <f>SUM(M6:M11)</f>
        <v>2.445760281857811E-2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8.9270371404323804E-5</v>
      </c>
      <c r="C6" s="423"/>
      <c r="D6" s="865">
        <f>vkm_GW_PW*SUMIFS(TableVerdeelsleutelVkm[CNG],TableVerdeelsleutelVkm[Voertuigtype],"Lichte voertuigen")*SUMIFS(TableECFTransport[EnergieConsumptieFactor (PJ per km)],TableECFTransport[Index],CONCATENATE($A6,"_CNG_CNG"))</f>
        <v>2.2123377735024528E-4</v>
      </c>
      <c r="E6" s="865">
        <f>vkm_GW_PW*SUMIFS(TableVerdeelsleutelVkm[LPG],TableVerdeelsleutelVkm[Voertuigtype],"Lichte voertuigen")*SUMIFS(TableECFTransport[EnergieConsumptieFactor (PJ per km)],TableECFTransport[Index],CONCATENATE($A6,"_LPG_LPG"))</f>
        <v>3.7980315057961411E-4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0.1163772008230389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3.7588542958263284E-2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7.9060288246993356E-3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4.1824023352563487E-2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6.9963983379830061E-7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2.4435918192548564E-3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3.2451813849666998E-5</v>
      </c>
      <c r="C8" s="423"/>
      <c r="D8" s="425">
        <f>vkm_NGW_PW*SUMIFS(TableVerdeelsleutelVkm[CNG],TableVerdeelsleutelVkm[Voertuigtype],"Lichte voertuigen")*SUMIFS(TableECFTransport[EnergieConsumptieFactor (PJ per km)],TableECFTransport[Index],CONCATENATE($A8,"_CNG_CNG"))</f>
        <v>1.3593319503293517E-4</v>
      </c>
      <c r="E8" s="425">
        <f>vkm_NGW_PW*SUMIFS(TableVerdeelsleutelVkm[LPG],TableVerdeelsleutelVkm[Voertuigtype],"Lichte voertuigen")*SUMIFS(TableECFTransport[EnergieConsumptieFactor (PJ per km)],TableECFTransport[Index],CONCATENATE($A8,"_LPG_LPG"))</f>
        <v>2.2161513857339965E-4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6.3874742747138322E-2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2.2587639882271769E-2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4.3969121528229654E-3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6.2838006580054535E-4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1.2948991456276622E-8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3.6713526494745186E-5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4.6912840823524E-5</v>
      </c>
      <c r="C10" s="423"/>
      <c r="D10" s="425">
        <f>vkm_SW_PW*SUMIFS(TableVerdeelsleutelVkm[CNG],TableVerdeelsleutelVkm[Voertuigtype],"Lichte voertuigen")*SUMIFS(TableECFTransport[EnergieConsumptieFactor (PJ per km)],TableECFTransport[Index],CONCATENATE($A10,"_CNG_CNG"))</f>
        <v>1.1620089219563584E-4</v>
      </c>
      <c r="E10" s="425">
        <f>vkm_SW_PW*SUMIFS(TableVerdeelsleutelVkm[LPG],TableVerdeelsleutelVkm[Voertuigtype],"Lichte voertuigen")*SUMIFS(TableECFTransport[EnergieConsumptieFactor (PJ per km)],TableECFTransport[Index],CONCATENATE($A10,"_LPG_LPG"))</f>
        <v>2.4872479728571279E-4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6.8182589001061694E-2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2.0608061479951211E-2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4.5903155124993799E-3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8.7017369326492622E-2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1.5506337494450798E-6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5.0840409828068287E-3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46.843062799309671</v>
      </c>
      <c r="C14" s="21"/>
      <c r="D14" s="21">
        <f t="shared" ref="D14:M14" si="0">((D5)*10^9/3600)+D12</f>
        <v>131.49107349411562</v>
      </c>
      <c r="E14" s="21">
        <f t="shared" si="0"/>
        <v>236.1508573440907</v>
      </c>
      <c r="F14" s="21"/>
      <c r="G14" s="21">
        <f t="shared" si="0"/>
        <v>104973.41814335989</v>
      </c>
      <c r="H14" s="21">
        <f t="shared" si="0"/>
        <v>22440.696539739154</v>
      </c>
      <c r="I14" s="21"/>
      <c r="J14" s="21"/>
      <c r="K14" s="21"/>
      <c r="L14" s="21"/>
      <c r="M14" s="21">
        <f t="shared" si="0"/>
        <v>6793.7785607161413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0.18600053853254847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8.7128349071855862</v>
      </c>
      <c r="C18" s="23"/>
      <c r="D18" s="23">
        <f t="shared" ref="D18:M18" si="1">D14*D16</f>
        <v>26.561196845811359</v>
      </c>
      <c r="E18" s="23">
        <f t="shared" si="1"/>
        <v>53.606244617108587</v>
      </c>
      <c r="F18" s="23"/>
      <c r="G18" s="23">
        <f t="shared" si="1"/>
        <v>28027.902644277092</v>
      </c>
      <c r="H18" s="23">
        <f t="shared" si="1"/>
        <v>5587.7334383950492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5.7758280280997415E-3</v>
      </c>
      <c r="H50" s="319">
        <f t="shared" si="2"/>
        <v>0</v>
      </c>
      <c r="I50" s="319">
        <f t="shared" si="2"/>
        <v>0</v>
      </c>
      <c r="J50" s="319">
        <f t="shared" si="2"/>
        <v>0</v>
      </c>
      <c r="K50" s="319">
        <f t="shared" si="2"/>
        <v>0</v>
      </c>
      <c r="L50" s="319">
        <f t="shared" si="2"/>
        <v>0</v>
      </c>
      <c r="M50" s="319">
        <f t="shared" si="2"/>
        <v>3.2801675418491367E-4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5.7758280280997415E-3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3.2801675418491367E-4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1604.3966744721506</v>
      </c>
      <c r="H54" s="21">
        <f t="shared" si="3"/>
        <v>0</v>
      </c>
      <c r="I54" s="21">
        <f t="shared" si="3"/>
        <v>0</v>
      </c>
      <c r="J54" s="21">
        <f t="shared" si="3"/>
        <v>0</v>
      </c>
      <c r="K54" s="21">
        <f t="shared" si="3"/>
        <v>0</v>
      </c>
      <c r="L54" s="21">
        <f t="shared" si="3"/>
        <v>0</v>
      </c>
      <c r="M54" s="21">
        <f t="shared" si="3"/>
        <v>91.115765051364903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0.18600053853254847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428.37391208406422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8216.4207897816323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54</v>
      </c>
      <c r="C8" s="544">
        <f>B48</f>
        <v>0</v>
      </c>
      <c r="D8" s="1010"/>
      <c r="E8" s="1010">
        <f>E48</f>
        <v>0</v>
      </c>
      <c r="F8" s="1011"/>
      <c r="G8" s="545"/>
      <c r="H8" s="1010">
        <f>I48</f>
        <v>0</v>
      </c>
      <c r="I8" s="1010">
        <f>G48+F48</f>
        <v>0</v>
      </c>
      <c r="J8" s="1010">
        <f>H48+D48+C48</f>
        <v>63.529411764705898</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8270.4207897816323</v>
      </c>
      <c r="C10" s="557">
        <f t="shared" ref="C10:L10" si="0">SUM(C8:C9)</f>
        <v>0</v>
      </c>
      <c r="D10" s="557">
        <f t="shared" si="0"/>
        <v>0</v>
      </c>
      <c r="E10" s="557">
        <f t="shared" si="0"/>
        <v>0</v>
      </c>
      <c r="F10" s="557">
        <f t="shared" si="0"/>
        <v>0</v>
      </c>
      <c r="G10" s="557">
        <f t="shared" si="0"/>
        <v>0</v>
      </c>
      <c r="H10" s="557">
        <f t="shared" si="0"/>
        <v>0</v>
      </c>
      <c r="I10" s="557">
        <f t="shared" si="0"/>
        <v>0</v>
      </c>
      <c r="J10" s="557">
        <f t="shared" si="0"/>
        <v>63.529411764705898</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77.142857142857139</v>
      </c>
      <c r="C17" s="569">
        <f>B49</f>
        <v>0</v>
      </c>
      <c r="D17" s="570"/>
      <c r="E17" s="570">
        <f>E49</f>
        <v>0</v>
      </c>
      <c r="F17" s="1016"/>
      <c r="G17" s="571"/>
      <c r="H17" s="569">
        <f>I49</f>
        <v>0</v>
      </c>
      <c r="I17" s="570">
        <f>G49+F49</f>
        <v>0</v>
      </c>
      <c r="J17" s="570">
        <f>H49+D49+C49</f>
        <v>90.756302521008422</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77.142857142857139</v>
      </c>
      <c r="C20" s="556">
        <f>SUM(C17:C19)</f>
        <v>0</v>
      </c>
      <c r="D20" s="556">
        <f t="shared" ref="D20:L20" si="1">SUM(D17:D19)</f>
        <v>0</v>
      </c>
      <c r="E20" s="556">
        <f t="shared" si="1"/>
        <v>0</v>
      </c>
      <c r="F20" s="556">
        <f t="shared" si="1"/>
        <v>0</v>
      </c>
      <c r="G20" s="556">
        <f t="shared" si="1"/>
        <v>0</v>
      </c>
      <c r="H20" s="556">
        <f t="shared" si="1"/>
        <v>0</v>
      </c>
      <c r="I20" s="556">
        <f t="shared" si="1"/>
        <v>0</v>
      </c>
      <c r="J20" s="556">
        <f t="shared" si="1"/>
        <v>90.756302521008422</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73066</v>
      </c>
      <c r="C28" s="770">
        <v>3770</v>
      </c>
      <c r="D28" s="627" t="s">
        <v>887</v>
      </c>
      <c r="E28" s="626" t="s">
        <v>888</v>
      </c>
      <c r="F28" s="626" t="s">
        <v>889</v>
      </c>
      <c r="G28" s="626" t="s">
        <v>890</v>
      </c>
      <c r="H28" s="626" t="s">
        <v>891</v>
      </c>
      <c r="I28" s="626" t="s">
        <v>888</v>
      </c>
      <c r="J28" s="769">
        <v>40624</v>
      </c>
      <c r="K28" s="769">
        <v>41306</v>
      </c>
      <c r="L28" s="626" t="s">
        <v>892</v>
      </c>
      <c r="M28" s="626">
        <v>12</v>
      </c>
      <c r="N28" s="626">
        <v>54</v>
      </c>
      <c r="O28" s="626">
        <v>77.142857142857139</v>
      </c>
      <c r="P28" s="626">
        <v>0</v>
      </c>
      <c r="Q28" s="626">
        <v>0</v>
      </c>
      <c r="R28" s="626">
        <v>0</v>
      </c>
      <c r="S28" s="626">
        <v>0</v>
      </c>
      <c r="T28" s="626">
        <v>0</v>
      </c>
      <c r="U28" s="626">
        <v>0</v>
      </c>
      <c r="V28" s="626">
        <v>154.28571428571431</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12</v>
      </c>
      <c r="N29" s="584">
        <f>SUM(N28:N28)</f>
        <v>54</v>
      </c>
      <c r="O29" s="584">
        <f>SUM(O28:O28)</f>
        <v>77.142857142857139</v>
      </c>
      <c r="P29" s="584">
        <f>SUM(P28:P28)</f>
        <v>0</v>
      </c>
      <c r="Q29" s="584">
        <f>SUM(Q28:Q28)</f>
        <v>0</v>
      </c>
      <c r="R29" s="584">
        <f>SUM(R28:R28)</f>
        <v>0</v>
      </c>
      <c r="S29" s="584">
        <f>SUM(S28:S28)</f>
        <v>0</v>
      </c>
      <c r="T29" s="584">
        <f>SUM(T28:T28)</f>
        <v>0</v>
      </c>
      <c r="U29" s="584">
        <f>SUM(U28:U28)</f>
        <v>0</v>
      </c>
      <c r="V29" s="584">
        <f>SUM(V28:V28)</f>
        <v>154.28571428571431</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12</v>
      </c>
      <c r="N32" s="589">
        <f>SUMIF($Z$28:$Z$28,"landbouw",N28:N28)</f>
        <v>54</v>
      </c>
      <c r="O32" s="589">
        <f>SUMIF($Z$28:$Z$28,"landbouw",O28:O28)</f>
        <v>77.142857142857139</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154.28571428571431</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63.529411764705898</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90.756302521008422</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2020-06-20T15:49:23Z</dcterms:modified>
</cp:coreProperties>
</file>