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0" i="18"/>
  <c r="V40" i="18"/>
  <c r="U40" i="18"/>
  <c r="T40" i="18"/>
  <c r="L6" i="17" s="1"/>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R37" i="18"/>
  <c r="Q37" i="18"/>
  <c r="P37" i="18"/>
  <c r="C9" i="18" s="1"/>
  <c r="O37" i="18"/>
  <c r="N37" i="18"/>
  <c r="B9" i="18" s="1"/>
  <c r="M37" i="18"/>
  <c r="W33" i="18"/>
  <c r="V33" i="18"/>
  <c r="N6" i="17" s="1"/>
  <c r="U33" i="18"/>
  <c r="T33" i="18"/>
  <c r="S33" i="18"/>
  <c r="R33" i="18"/>
  <c r="Q33" i="18"/>
  <c r="P33" i="18"/>
  <c r="O33" i="18"/>
  <c r="N33" i="18"/>
  <c r="M33" i="18"/>
  <c r="W32" i="18"/>
  <c r="V32" i="18"/>
  <c r="U32" i="18"/>
  <c r="T32" i="18"/>
  <c r="S32" i="18"/>
  <c r="F13" i="15" s="1"/>
  <c r="R32" i="18"/>
  <c r="Q32" i="18"/>
  <c r="P32" i="18"/>
  <c r="D13" i="15" s="1"/>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C46" i="18"/>
  <c r="C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E49" i="18"/>
  <c r="E8" i="18" s="1"/>
  <c r="G49" i="18"/>
  <c r="F49" i="18"/>
  <c r="H49" i="18"/>
  <c r="D49" i="18"/>
  <c r="I50" i="18"/>
  <c r="H17" i="18" s="1"/>
  <c r="E50" i="18"/>
  <c r="E17" i="18" s="1"/>
  <c r="C50" i="18"/>
  <c r="B50" i="18"/>
  <c r="C17" i="18" s="1"/>
  <c r="H50" i="18"/>
  <c r="D50" i="18"/>
  <c r="G50" i="18"/>
  <c r="F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I49" i="18"/>
  <c r="H8" i="18" s="1"/>
  <c r="B49" i="18"/>
  <c r="C8" i="18"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D4" i="48"/>
  <c r="D22" i="48" s="1"/>
  <c r="E11" i="14"/>
  <c r="C11" i="14"/>
  <c r="B4" i="48"/>
  <c r="P11" i="14"/>
  <c r="O4" i="48"/>
  <c r="O22" i="48" s="1"/>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K10" i="14"/>
  <c r="J5" i="48"/>
  <c r="J23" i="48" s="1"/>
  <c r="N52" i="14"/>
  <c r="N61" i="14" s="1"/>
  <c r="N63" i="14" s="1"/>
  <c r="I20" i="14"/>
  <c r="I22" i="14" s="1"/>
  <c r="I27" i="14"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E8" i="48" l="1"/>
  <c r="E26" i="48" s="1"/>
  <c r="E33" i="48" s="1"/>
  <c r="F13" i="14"/>
  <c r="F16" i="14" s="1"/>
  <c r="F27" i="14" s="1"/>
  <c r="K13" i="14"/>
  <c r="K16" i="14" s="1"/>
  <c r="K27" i="14" s="1"/>
  <c r="J8" i="48"/>
  <c r="J26" i="48" s="1"/>
  <c r="J33" i="48" s="1"/>
  <c r="H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<sst xmlns="http://schemas.openxmlformats.org/spreadsheetml/2006/main" count="2416" uniqueCount="897">
  <si>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</si>
  <si>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</si>
  <si>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</si>
  <si>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</si>
  <si>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</si>
  <si>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</si>
  <si>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</si>
  <si>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</si>
  <si>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</si>
  <si>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</si>
  <si>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</si>
  <si>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</si>
  <si>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</si>
  <si>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</si>
  <si>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</si>
  <si>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</si>
  <si>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</si>
  <si>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</si>
  <si>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</si>
  <si>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</si>
  <si>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</si>
  <si>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</si>
  <si>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</si>
  <si>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</si>
  <si>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</si>
  <si>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</si>
  <si>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</si>
  <si>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</si>
  <si>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</si>
  <si>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</si>
  <si>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</si>
  <si>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</si>
  <si>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</si>
  <si>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</si>
  <si>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</si>
  <si>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</si>
  <si>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</si>
  <si>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</si>
  <si>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</si>
  <si>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</si>
  <si>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</si>
  <si>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</si>
  <si>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</si>
  <si>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</si>
  <si>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</si>
  <si>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</si>
  <si>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</si>
  <si>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</si>
  <si>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</si>
  <si>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</si>
  <si>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</si>
  <si>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</si>
  <si>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</si>
  <si>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</si>
  <si>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</si>
  <si>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</si>
  <si>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</si>
  <si>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</si>
  <si>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</si>
  <si>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</si>
  <si>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</si>
  <si>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</si>
  <si>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</si>
  <si>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</si>
  <si>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</si>
  <si>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</si>
  <si>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</si>
  <si>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</si>
  <si>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</si>
  <si>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</si>
  <si>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</si>
  <si>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</si>
  <si>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</si>
  <si>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</si>
  <si>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</si>
  <si>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</si>
  <si>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</si>
  <si>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</si>
  <si>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</si>
  <si>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</si>
  <si>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</si>
  <si>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</si>
  <si>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</si>
  <si>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</si>
  <si>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</si>
  <si>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</si>
  <si>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</si>
  <si>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</si>
  <si>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</si>
  <si>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</si>
  <si>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</si>
  <si>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</si>
  <si>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</si>
  <si>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</si>
  <si>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</si>
  <si>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</si>
  <si>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</si>
  <si>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</si>
  <si>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</si>
  <si>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</si>
  <si>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</si>
  <si>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</si>
  <si>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</si>
  <si>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</si>
  <si>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</si>
  <si>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</si>
  <si>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</si>
  <si>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</si>
  <si>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</si>
  <si>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</si>
  <si>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</si>
  <si>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</si>
  <si>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</si>
  <si>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</si>
  <si>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</si>
  <si>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</si>
  <si>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</si>
  <si>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</si>
  <si>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</si>
  <si>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</si>
  <si>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</si>
  <si>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</si>
  <si>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</si>
  <si>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</si>
  <si>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</si>
  <si>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</si>
  <si>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</si>
  <si>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</si>
  <si>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</si>
  <si>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</si>
  <si>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</si>
  <si>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</si>
  <si>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</si>
  <si>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</si>
  <si>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</si>
  <si>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</si>
  <si>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</si>
  <si>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</si>
  <si>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</si>
  <si>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</si>
  <si>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</si>
  <si>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</si>
  <si>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</si>
  <si>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</si>
  <si>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</si>
  <si>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</si>
  <si>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</si>
  <si>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</si>
  <si>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</si>
  <si>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</si>
  <si>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</si>
  <si>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</si>
  <si>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</si>
  <si>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</si>
  <si>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</si>
  <si>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</si>
  <si>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</si>
  <si>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</si>
  <si>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</si>
  <si>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</si>
  <si>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</si>
  <si>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</si>
  <si>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</si>
  <si>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</si>
  <si>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</si>
  <si>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</si>
  <si>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</si>
  <si>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</si>
  <si>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</si>
  <si>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</si>
  <si>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</si>
  <si>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</si>
  <si>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</si>
  <si>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</si>
  <si>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</si>
  <si>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</si>
  <si>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</si>
  <si>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</si>
  <si>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</si>
  <si>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</si>
  <si>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</si>
  <si>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</si>
  <si>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</si>
  <si>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</si>
  <si>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</si>
  <si>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</si>
  <si>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</si>
  <si>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</si>
  <si>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</si>
  <si>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</si>
  <si>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</si>
  <si>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</si>
  <si>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</si>
  <si>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</si>
  <si>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</si>
  <si>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</si>
  <si>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</si>
  <si>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</si>
  <si>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</si>
  <si>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</si>
  <si>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</si>
  <si>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</si>
  <si>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</si>
  <si>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</si>
  <si>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</si>
  <si>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</si>
  <si>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</si>
  <si>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</si>
  <si>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</si>
  <si>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</si>
  <si>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</si>
  <si>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</si>
  <si>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</si>
  <si>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</si>
  <si>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</si>
  <si>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</si>
  <si>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</si>
  <si>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</si>
  <si>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</si>
  <si>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</si>
  <si>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</si>
  <si>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</si>
  <si>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</si>
  <si>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</si>
  <si>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</si>
  <si>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</si>
  <si>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</si>
  <si>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</si>
  <si>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</si>
  <si>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</si>
  <si>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</si>
  <si>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</si>
  <si>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</si>
  <si>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</si>
  <si>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</si>
  <si>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</si>
  <si>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</si>
  <si>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</si>
  <si>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</si>
  <si>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</si>
  <si>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</si>
  <si>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</si>
  <si>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</si>
  <si>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</si>
  <si>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</si>
  <si>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</si>
  <si>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</si>
  <si>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</si>
  <si>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</si>
  <si>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</si>
  <si>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</si>
  <si>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</si>
  <si>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</si>
  <si>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</si>
  <si>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</si>
  <si>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</si>
  <si>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</si>
  <si>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</si>
  <si>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</si>
  <si>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</si>
  <si>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</si>
  <si>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</si>
  <si>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</si>
  <si>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</si>
  <si>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</si>
  <si>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</si>
  <si>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</si>
  <si>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</si>
  <si>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</si>
  <si>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</si>
  <si>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</si>
  <si>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</si>
  <si>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</si>
  <si>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</si>
  <si>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</si>
  <si>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</si>
  <si>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</si>
  <si>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</si>
  <si>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</si>
  <si>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</si>
  <si>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</si>
  <si>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</si>
  <si>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</si>
  <si>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</si>
  <si>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</si>
  <si>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</si>
  <si>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</si>
  <si>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</si>
  <si>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</si>
  <si>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</si>
  <si>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</si>
  <si>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</si>
  <si>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</si>
  <si>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</si>
  <si>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</si>
  <si>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</si>
  <si>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</si>
  <si>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</si>
  <si>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</si>
  <si>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</si>
  <si>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</si>
  <si>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</si>
  <si>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</si>
  <si>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</si>
  <si>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</si>
  <si>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</si>
  <si>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</si>
  <si>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</si>
  <si>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</si>
  <si>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</si>
  <si>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</si>
  <si>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</si>
  <si>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</si>
  <si>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</si>
  <si>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</si>
  <si>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</si>
  <si>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</si>
  <si>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</si>
  <si>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</si>
  <si>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</si>
  <si>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</si>
  <si>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</si>
  <si>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</si>
  <si>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</si>
  <si>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</si>
  <si>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</si>
  <si>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</si>
  <si>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</si>
  <si>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</si>
  <si>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</si>
  <si>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</si>
  <si>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</si>
  <si>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</si>
  <si>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</si>
  <si>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</si>
  <si>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</si>
  <si>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</si>
  <si>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</si>
  <si>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</si>
  <si>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</si>
  <si>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</si>
  <si>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</si>
  <si>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</si>
  <si>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</si>
  <si>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</si>
  <si>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</si>
  <si>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</si>
  <si>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</si>
  <si>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</si>
  <si>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</si>
  <si>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</si>
  <si>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</si>
  <si>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</si>
  <si>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</si>
  <si>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</si>
  <si>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</si>
  <si>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</si>
  <si>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</si>
  <si>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</si>
  <si>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</si>
  <si>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</si>
  <si>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</si>
  <si>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</si>
  <si>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</si>
  <si>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</si>
  <si>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</si>
  <si>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</si>
  <si>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</si>
  <si>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</si>
  <si>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</si>
  <si>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</si>
  <si>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</si>
  <si>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</si>
  <si>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</si>
  <si>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</si>
  <si>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</si>
  <si>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</si>
  <si>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</si>
  <si>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</si>
  <si>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</si>
  <si>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</si>
  <si>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</si>
  <si>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</si>
  <si>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</si>
  <si>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</si>
  <si>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</si>
  <si>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</si>
  <si>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</si>
  <si>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</si>
  <si>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</si>
  <si>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</si>
  <si>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</si>
  <si>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</si>
  <si>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</si>
  <si>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</si>
  <si>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</si>
  <si>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</si>
  <si>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</si>
  <si>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</si>
  <si>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</si>
  <si>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</si>
  <si>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</si>
  <si>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</si>
  <si>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</si>
  <si>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</si>
  <si>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</si>
  <si>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</si>
  <si>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</si>
  <si>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</si>
  <si>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</si>
  <si>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</si>
  <si>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</si>
  <si>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</si>
  <si>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</si>
  <si>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</si>
  <si>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</si>
  <si>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</si>
  <si>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</si>
  <si>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</si>
  <si>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</si>
  <si>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</si>
  <si>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</si>
  <si>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</si>
  <si>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</si>
  <si>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</si>
  <si>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</si>
  <si>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</si>
  <si>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</si>
  <si>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</si>
  <si>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</si>
  <si>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</si>
  <si>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</si>
  <si>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</si>
  <si>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</si>
  <si>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</si>
  <si>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</si>
  <si>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</si>
  <si>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</si>
  <si>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</si>
  <si>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</si>
  <si>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</si>
  <si>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</si>
  <si>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</si>
  <si>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</si>
  <si>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</si>
  <si>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</si>
  <si>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</si>
  <si>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</si>
  <si>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</si>
  <si>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</si>
  <si>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</si>
  <si>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</si>
  <si>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</si>
  <si>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</si>
  <si>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</si>
  <si>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</si>
  <si>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</si>
  <si>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</si>
  <si>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</si>
  <si>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</si>
  <si>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</si>
  <si>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</si>
  <si>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</si>
  <si>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</si>
  <si>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</si>
  <si>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</si>
  <si>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</si>
  <si>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</si>
  <si>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</si>
  <si>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</si>
  <si>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</si>
  <si>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</si>
  <si>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</si>
  <si>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</si>
  <si>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</si>
  <si>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</si>
  <si>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</si>
  <si>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</si>
  <si>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</si>
  <si>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</si>
  <si>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</si>
  <si>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</si>
  <si>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</si>
  <si>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</si>
  <si>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</si>
  <si>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</si>
  <si>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</si>
  <si>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</si>
  <si>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</si>
  <si>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</si>
  <si>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</si>
  <si>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</si>
  <si>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</si>
  <si>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</si>
  <si>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</si>
  <si>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</si>
  <si>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</si>
  <si>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</si>
  <si>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</si>
  <si>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</si>
  <si>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</si>
  <si>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</si>
  <si>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</si>
  <si>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</si>
  <si>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</si>
  <si>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</si>
  <si>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</si>
  <si>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</si>
  <si>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</si>
  <si>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</si>
  <si>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</si>
  <si>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</si>
  <si>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</si>
  <si>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</si>
  <si>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</si>
  <si>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</si>
  <si>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</si>
  <si>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</si>
  <si>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</si>
  <si>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</si>
  <si>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</si>
  <si>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</si>
  <si>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</si>
  <si>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</si>
  <si>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</si>
  <si>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</si>
  <si>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</si>
  <si>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</si>
  <si>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</si>
  <si>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</si>
  <si>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</si>
  <si>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</si>
  <si>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</si>
  <si>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</si>
  <si>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</si>
  <si>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</si>
  <si>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</si>
  <si>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</si>
  <si>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</si>
  <si>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</si>
  <si>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</si>
  <si>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</si>
  <si>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</si>
  <si>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</si>
  <si>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</si>
  <si>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</si>
  <si>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</si>
  <si>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</si>
  <si>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</si>
  <si>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</si>
  <si>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</si>
  <si>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</si>
  <si>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</si>
  <si>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</si>
  <si>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</si>
  <si>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</si>
  <si>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</si>
  <si>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</si>
  <si>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</si>
  <si>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</si>
  <si>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</si>
  <si>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</si>
  <si>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</si>
  <si>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</si>
  <si>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</si>
  <si>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</si>
  <si>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</si>
  <si>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</si>
  <si>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</si>
  <si>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</si>
  <si>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</si>
  <si>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</si>
  <si>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</si>
  <si>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</si>
  <si>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</si>
  <si>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</si>
  <si>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</si>
  <si>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</si>
  <si>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</si>
  <si>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</si>
  <si>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</si>
  <si>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</si>
  <si>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</si>
  <si>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</si>
  <si>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</si>
  <si>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</si>
  <si>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</si>
  <si>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</si>
  <si>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</si>
  <si>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</si>
  <si>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</si>
  <si>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</si>
  <si>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</si>
  <si>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</si>
  <si>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</si>
  <si>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</si>
  <si>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</si>
  <si>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</si>
  <si>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</si>
  <si>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</si>
  <si>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</si>
  <si>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</si>
  <si>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</si>
  <si>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</si>
  <si>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</si>
  <si>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</si>
  <si>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</si>
  <si>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</si>
  <si>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</si>
  <si>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</si>
  <si>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</si>
  <si>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</si>
  <si>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</si>
  <si>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</si>
  <si>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</si>
  <si>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</si>
  <si>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</si>
  <si>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</si>
  <si>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</si>
  <si>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</si>
  <si>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</si>
  <si>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</si>
  <si>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</si>
  <si>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</si>
  <si>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</si>
  <si>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</si>
  <si>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</si>
  <si>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</si>
  <si>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</si>
  <si>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</si>
  <si>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</si>
  <si>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</si>
  <si>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</si>
  <si>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</si>
  <si>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</si>
  <si>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</si>
  <si>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</si>
  <si>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</si>
  <si>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</si>
  <si>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</si>
  <si>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</si>
  <si>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</si>
  <si>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</si>
  <si>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</si>
  <si>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</si>
  <si>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</si>
  <si>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</si>
  <si>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</si>
  <si>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</si>
  <si>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</si>
  <si>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</si>
  <si>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</si>
  <si>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</si>
  <si>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</si>
  <si>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</si>
  <si>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</si>
  <si>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</si>
  <si>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</si>
  <si>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</si>
  <si>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</si>
  <si>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</si>
  <si>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</si>
  <si>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</si>
  <si>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</si>
  <si>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</si>
  <si>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</si>
  <si>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</si>
  <si>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</si>
  <si>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</si>
  <si>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</si>
  <si>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</si>
  <si>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</si>
  <si>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</si>
  <si>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</si>
  <si>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</si>
  <si>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</si>
  <si>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</si>
  <si>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</si>
  <si>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</si>
  <si>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</si>
  <si>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</si>
  <si>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</si>
  <si>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</si>
  <si>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</si>
  <si>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</si>
  <si>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</si>
  <si>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</si>
  <si>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</si>
  <si>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</si>
  <si>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</si>
  <si>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</si>
  <si>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</si>
  <si>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</si>
  <si>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</si>
  <si>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</si>
  <si>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</si>
  <si>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</si>
  <si>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</si>
  <si>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</si>
  <si>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</si>
  <si>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</si>
  <si>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</si>
  <si>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</si>
  <si>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</si>
  <si>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</si>
  <si>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</si>
  <si>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</si>
  <si>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</si>
  <si>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</si>
  <si>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</si>
  <si>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</si>
  <si>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</si>
  <si>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</si>
  <si>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</si>
  <si>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</si>
  <si>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</si>
  <si>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</si>
  <si>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</si>
  <si>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</si>
  <si>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</si>
  <si>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</si>
  <si>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</si>
  <si>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</si>
  <si>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</si>
  <si>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</si>
  <si>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</si>
  <si>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</si>
  <si>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</si>
  <si>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</si>
  <si>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</si>
  <si>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</si>
  <si>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</si>
  <si>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</si>
  <si>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</si>
  <si>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</si>
  <si>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</si>
  <si>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</si>
  <si>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</si>
  <si>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</si>
  <si>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</si>
  <si>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</si>
  <si>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</si>
  <si>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</si>
  <si>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</si>
  <si>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</si>
  <si>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</si>
  <si>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</si>
  <si>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</si>
  <si>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</si>
  <si>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</si>
  <si>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</si>
  <si>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</si>
  <si>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</si>
  <si>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</si>
  <si>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</si>
  <si>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</si>
  <si>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</si>
  <si>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</si>
  <si>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</si>
  <si>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</si>
  <si>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</si>
  <si>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</si>
  <si>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</si>
  <si>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</si>
  <si>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</si>
  <si>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</si>
  <si>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</si>
  <si>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</si>
  <si>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</si>
  <si>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</si>
  <si>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</si>
  <si>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</si>
  <si>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</si>
  <si>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</si>
  <si>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</si>
  <si>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</si>
  <si>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</si>
  <si>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</si>
  <si>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</si>
  <si>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</si>
  <si>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</si>
  <si>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</si>
  <si>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</si>
  <si>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</si>
  <si>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</si>
  <si>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</si>
  <si>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</si>
  <si>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</si>
  <si>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</si>
  <si>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</si>
  <si>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</si>
  <si>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</si>
  <si>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</si>
  <si>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</si>
  <si>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</si>
  <si>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</si>
  <si>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</si>
  <si>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</si>
  <si>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</si>
  <si>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</si>
  <si>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</si>
  <si>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</si>
  <si>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</si>
  <si>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</si>
  <si>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</si>
  <si>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</si>
  <si>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</si>
  <si>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</si>
  <si>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</si>
  <si>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</si>
  <si>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</si>
  <si>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</si>
  <si>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</si>
  <si>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</si>
  <si>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</si>
  <si>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</si>
  <si>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</si>
  <si>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</si>
  <si>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</si>
  <si>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</si>
  <si>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</si>
  <si>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</si>
  <si>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</si>
  <si>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</si>
  <si>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</si>
  <si>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</si>
  <si>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</si>
  <si>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</si>
  <si>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</si>
  <si>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</si>
  <si>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</si>
  <si>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</si>
  <si>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</si>
  <si>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</si>
  <si>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</si>
  <si>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</si>
  <si>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</si>
  <si>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</si>
  <si>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</si>
  <si>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</si>
  <si>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</si>
  <si>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</si>
  <si>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</si>
  <si>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</si>
  <si>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</si>
  <si>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</si>
  <si>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</si>
  <si>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</si>
  <si>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</si>
  <si>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</si>
  <si>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</si>
  <si>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</si>
  <si>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</si>
  <si>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</si>
  <si>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</si>
  <si>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</si>
  <si>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</si>
  <si>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</si>
  <si>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</si>
  <si>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</si>
  <si>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</si>
  <si>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</si>
  <si>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</si>
  <si>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</si>
  <si>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</si>
  <si>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</si>
  <si>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</si>
  <si>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</si>
  <si>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</si>
  <si>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</si>
  <si>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</si>
  <si>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</si>
  <si>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</si>
  <si>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</si>
  <si>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</si>
  <si>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</si>
  <si>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</si>
  <si>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</si>
  <si>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</si>
  <si>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</si>
  <si>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</si>
  <si>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</si>
  <si>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</si>
  <si>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73001</t>
  </si>
  <si>
    <t>ALKEN</t>
  </si>
  <si>
    <t>Fluvius</t>
  </si>
  <si>
    <t>referentietaak LNE (2017); Jaarverslag De Lijn</t>
  </si>
  <si>
    <t>Brouwerijen Alken-Maes nv</t>
  </si>
  <si>
    <t>Blarenberglaan 10 , 2800 Mechelen</t>
  </si>
  <si>
    <t xml:space="preserve">WKK-0258 Brouwerijen Alken-Maes </t>
  </si>
  <si>
    <t>interne verbrandingsmotor</t>
  </si>
  <si>
    <t>WKK interne verbrandinsgmotor (gas)</t>
  </si>
  <si>
    <t>Meerdegatstraat 151 , 3570 Alken</t>
  </si>
  <si>
    <t>Inter-Energa</t>
  </si>
  <si>
    <t>LIN.799 bvba</t>
  </si>
  <si>
    <t>Stationsstraat 76 , 3570 Alken</t>
  </si>
  <si>
    <t>WKK-0462 LIN 799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</si>
</sst>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102027.19454924883</c:v>
                </c:pt>
                <c:pt idx="1">
                  <c:v>22797.363076903879</c:v>
                </c:pt>
                <c:pt idx="2">
                  <c:v>604.79899999999998</c:v>
                </c:pt>
                <c:pt idx="3">
                  <c:v>9631.3514659401098</c:v>
                </c:pt>
                <c:pt idx="4">
                  <c:v>117213.8889300837</c:v>
                </c:pt>
                <c:pt idx="5">
                  <c:v>73297.186705864238</c:v>
                </c:pt>
                <c:pt idx="6">
                  <c:v>748.842160938554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102027.19454924883</c:v>
                </c:pt>
                <c:pt idx="1">
                  <c:v>22797.363076903879</c:v>
                </c:pt>
                <c:pt idx="2">
                  <c:v>604.79899999999998</c:v>
                </c:pt>
                <c:pt idx="3">
                  <c:v>9631.3514659401098</c:v>
                </c:pt>
                <c:pt idx="4">
                  <c:v>117213.8889300837</c:v>
                </c:pt>
                <c:pt idx="5">
                  <c:v>73297.186705864238</c:v>
                </c:pt>
                <c:pt idx="6">
                  <c:v>748.842160938554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21348.79304300902</c:v>
                </c:pt>
                <c:pt idx="2">
                  <c:v>4349.2655214935594</c:v>
                </c:pt>
                <c:pt idx="3">
                  <c:v>118.95385909189868</c:v>
                </c:pt>
                <c:pt idx="4">
                  <c:v>2455.1835729741715</c:v>
                </c:pt>
                <c:pt idx="5">
                  <c:v>24895.226173047125</c:v>
                </c:pt>
                <c:pt idx="6">
                  <c:v>18343.313764795123</c:v>
                </c:pt>
                <c:pt idx="7">
                  <c:v>189.19616190187426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21348.79304300902</c:v>
                </c:pt>
                <c:pt idx="2">
                  <c:v>4349.2655214935594</c:v>
                </c:pt>
                <c:pt idx="3">
                  <c:v>118.95385909189868</c:v>
                </c:pt>
                <c:pt idx="4">
                  <c:v>2455.1835729741715</c:v>
                </c:pt>
                <c:pt idx="5">
                  <c:v>24895.226173047125</c:v>
                </c:pt>
                <c:pt idx="6">
                  <c:v>18343.313764795123</c:v>
                </c:pt>
                <c:pt idx="7">
                  <c:v>189.19616190187426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73001</v>
      </c>
      <c r="B6" s="390"/>
      <c r="C6" s="391"/>
    </row>
    <row r="7" spans="1:7" s="388" customFormat="1" ht="15.75" customHeight="1">
      <c r="A7" s="392" t="str">
        <f>txtMunicipality</f>
        <v>ALKEN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0.19668329327908723</v>
      </c>
      <c r="C17" s="498">
        <f ca="1">'EF ele_warmte'!B22</f>
        <v>8.0807346122374769E-3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0.19668329327908723</v>
      </c>
      <c r="C29" s="499">
        <f ca="1">'EF ele_warmte'!B22</f>
        <v>8.0807346122374769E-3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4591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1420.74</v>
      </c>
      <c r="C14" s="330"/>
      <c r="D14" s="330"/>
      <c r="E14" s="330"/>
      <c r="F14" s="330"/>
    </row>
    <row r="15" spans="1:6">
      <c r="A15" s="1293" t="s">
        <v>183</v>
      </c>
      <c r="B15" s="1294">
        <v>16</v>
      </c>
      <c r="C15" s="330"/>
      <c r="D15" s="330"/>
      <c r="E15" s="330"/>
      <c r="F15" s="330"/>
    </row>
    <row r="16" spans="1:6">
      <c r="A16" s="1293" t="s">
        <v>6</v>
      </c>
      <c r="B16" s="1294">
        <v>467</v>
      </c>
      <c r="C16" s="330"/>
      <c r="D16" s="330"/>
      <c r="E16" s="330"/>
      <c r="F16" s="330"/>
    </row>
    <row r="17" spans="1:6">
      <c r="A17" s="1293" t="s">
        <v>7</v>
      </c>
      <c r="B17" s="1294">
        <v>382</v>
      </c>
      <c r="C17" s="330"/>
      <c r="D17" s="330"/>
      <c r="E17" s="330"/>
      <c r="F17" s="330"/>
    </row>
    <row r="18" spans="1:6">
      <c r="A18" s="1293" t="s">
        <v>8</v>
      </c>
      <c r="B18" s="1294">
        <v>585</v>
      </c>
      <c r="C18" s="330"/>
      <c r="D18" s="330"/>
      <c r="E18" s="330"/>
      <c r="F18" s="330"/>
    </row>
    <row r="19" spans="1:6">
      <c r="A19" s="1293" t="s">
        <v>9</v>
      </c>
      <c r="B19" s="1294">
        <v>527</v>
      </c>
      <c r="C19" s="330"/>
      <c r="D19" s="330"/>
      <c r="E19" s="330"/>
      <c r="F19" s="330"/>
    </row>
    <row r="20" spans="1:6">
      <c r="A20" s="1293" t="s">
        <v>10</v>
      </c>
      <c r="B20" s="1294">
        <v>404</v>
      </c>
      <c r="C20" s="330"/>
      <c r="D20" s="330"/>
      <c r="E20" s="330"/>
      <c r="F20" s="330"/>
    </row>
    <row r="21" spans="1:6">
      <c r="A21" s="1293" t="s">
        <v>11</v>
      </c>
      <c r="B21" s="1294">
        <v>290</v>
      </c>
      <c r="C21" s="330"/>
      <c r="D21" s="330"/>
      <c r="E21" s="330"/>
      <c r="F21" s="330"/>
    </row>
    <row r="22" spans="1:6">
      <c r="A22" s="1293" t="s">
        <v>12</v>
      </c>
      <c r="B22" s="1294">
        <v>1909</v>
      </c>
      <c r="C22" s="330"/>
      <c r="D22" s="330"/>
      <c r="E22" s="330"/>
      <c r="F22" s="330"/>
    </row>
    <row r="23" spans="1:6">
      <c r="A23" s="1293" t="s">
        <v>13</v>
      </c>
      <c r="B23" s="1294">
        <v>33</v>
      </c>
      <c r="C23" s="330"/>
      <c r="D23" s="330"/>
      <c r="E23" s="330"/>
      <c r="F23" s="330"/>
    </row>
    <row r="24" spans="1:6">
      <c r="A24" s="1293" t="s">
        <v>14</v>
      </c>
      <c r="B24" s="1294">
        <v>0</v>
      </c>
      <c r="C24" s="330"/>
      <c r="D24" s="330"/>
      <c r="E24" s="330"/>
      <c r="F24" s="330"/>
    </row>
    <row r="25" spans="1:6">
      <c r="A25" s="1293" t="s">
        <v>15</v>
      </c>
      <c r="B25" s="1294">
        <v>107</v>
      </c>
      <c r="C25" s="330"/>
      <c r="D25" s="330"/>
      <c r="E25" s="330"/>
      <c r="F25" s="330"/>
    </row>
    <row r="26" spans="1:6">
      <c r="A26" s="1293" t="s">
        <v>16</v>
      </c>
      <c r="B26" s="1294">
        <v>100</v>
      </c>
      <c r="C26" s="330"/>
      <c r="D26" s="330"/>
      <c r="E26" s="330"/>
      <c r="F26" s="330"/>
    </row>
    <row r="27" spans="1:6">
      <c r="A27" s="1293" t="s">
        <v>17</v>
      </c>
      <c r="B27" s="1294">
        <v>156</v>
      </c>
      <c r="C27" s="330"/>
      <c r="D27" s="330"/>
      <c r="E27" s="330"/>
      <c r="F27" s="330"/>
    </row>
    <row r="28" spans="1:6" s="43" customFormat="1">
      <c r="A28" s="1295" t="s">
        <v>18</v>
      </c>
      <c r="B28" s="1296">
        <v>53788</v>
      </c>
      <c r="C28" s="336"/>
      <c r="D28" s="336"/>
      <c r="E28" s="336"/>
      <c r="F28" s="336"/>
    </row>
    <row r="29" spans="1:6">
      <c r="A29" s="1295" t="s">
        <v>734</v>
      </c>
      <c r="B29" s="1296">
        <v>109</v>
      </c>
      <c r="C29" s="336"/>
      <c r="D29" s="336"/>
      <c r="E29" s="336"/>
      <c r="F29" s="336"/>
    </row>
    <row r="30" spans="1:6">
      <c r="A30" s="1288" t="s">
        <v>735</v>
      </c>
      <c r="B30" s="1297">
        <v>23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2869</v>
      </c>
    </row>
    <row r="39" spans="1:6">
      <c r="A39" s="1293" t="s">
        <v>29</v>
      </c>
      <c r="B39" s="1293" t="s">
        <v>30</v>
      </c>
      <c r="C39" s="1294">
        <v>1889</v>
      </c>
      <c r="D39" s="1294">
        <v>31160165.949999999</v>
      </c>
      <c r="E39" s="1294">
        <v>4386</v>
      </c>
      <c r="F39" s="1294">
        <v>16195252.25</v>
      </c>
    </row>
    <row r="40" spans="1:6">
      <c r="A40" s="1293" t="s">
        <v>29</v>
      </c>
      <c r="B40" s="1293" t="s">
        <v>28</v>
      </c>
      <c r="C40" s="1294">
        <v>0</v>
      </c>
      <c r="D40" s="1294">
        <v>0</v>
      </c>
      <c r="E40" s="1294">
        <v>0</v>
      </c>
      <c r="F40" s="1294">
        <v>0</v>
      </c>
    </row>
    <row r="41" spans="1:6">
      <c r="A41" s="1293" t="s">
        <v>31</v>
      </c>
      <c r="B41" s="1293" t="s">
        <v>32</v>
      </c>
      <c r="C41" s="1294">
        <v>41</v>
      </c>
      <c r="D41" s="1294">
        <v>18381317.429000001</v>
      </c>
      <c r="E41" s="1294">
        <v>112</v>
      </c>
      <c r="F41" s="1294">
        <v>28445133.013999999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6</v>
      </c>
      <c r="D44" s="1294">
        <v>257408</v>
      </c>
      <c r="E44" s="1294">
        <v>10</v>
      </c>
      <c r="F44" s="1294">
        <v>272124.179</v>
      </c>
    </row>
    <row r="45" spans="1:6">
      <c r="A45" s="1293" t="s">
        <v>31</v>
      </c>
      <c r="B45" s="1293" t="s">
        <v>36</v>
      </c>
      <c r="C45" s="1294">
        <v>0</v>
      </c>
      <c r="D45" s="1294">
        <v>0</v>
      </c>
      <c r="E45" s="1294">
        <v>5</v>
      </c>
      <c r="F45" s="1294">
        <v>289903.71500000003</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v>
      </c>
      <c r="D48" s="1294">
        <v>233946</v>
      </c>
      <c r="E48" s="1294">
        <v>1</v>
      </c>
      <c r="F48" s="1294">
        <v>5</v>
      </c>
    </row>
    <row r="49" spans="1:6">
      <c r="A49" s="1293" t="s">
        <v>31</v>
      </c>
      <c r="B49" s="1293" t="s">
        <v>39</v>
      </c>
      <c r="C49" s="1294">
        <v>3</v>
      </c>
      <c r="D49" s="1294">
        <v>96270</v>
      </c>
      <c r="E49" s="1294">
        <v>4</v>
      </c>
      <c r="F49" s="1294">
        <v>92489</v>
      </c>
    </row>
    <row r="50" spans="1:6">
      <c r="A50" s="1293" t="s">
        <v>31</v>
      </c>
      <c r="B50" s="1293" t="s">
        <v>40</v>
      </c>
      <c r="C50" s="1294">
        <v>3</v>
      </c>
      <c r="D50" s="1294">
        <v>28057666.629000001</v>
      </c>
      <c r="E50" s="1294">
        <v>10</v>
      </c>
      <c r="F50" s="1294">
        <v>10927142</v>
      </c>
    </row>
    <row r="51" spans="1:6">
      <c r="A51" s="1293" t="s">
        <v>41</v>
      </c>
      <c r="B51" s="1293" t="s">
        <v>42</v>
      </c>
      <c r="C51" s="1294">
        <v>6</v>
      </c>
      <c r="D51" s="1294">
        <v>209102</v>
      </c>
      <c r="E51" s="1294">
        <v>74</v>
      </c>
      <c r="F51" s="1294">
        <v>1768231.61</v>
      </c>
    </row>
    <row r="52" spans="1:6">
      <c r="A52" s="1293" t="s">
        <v>41</v>
      </c>
      <c r="B52" s="1293" t="s">
        <v>28</v>
      </c>
      <c r="C52" s="1294">
        <v>0</v>
      </c>
      <c r="D52" s="1294">
        <v>0</v>
      </c>
      <c r="E52" s="1294">
        <v>0</v>
      </c>
      <c r="F52" s="1294">
        <v>0</v>
      </c>
    </row>
    <row r="53" spans="1:6">
      <c r="A53" s="1293" t="s">
        <v>43</v>
      </c>
      <c r="B53" s="1293" t="s">
        <v>44</v>
      </c>
      <c r="C53" s="1294">
        <v>32</v>
      </c>
      <c r="D53" s="1294">
        <v>627458.19999999995</v>
      </c>
      <c r="E53" s="1294">
        <v>86</v>
      </c>
      <c r="F53" s="1294">
        <v>342095.1</v>
      </c>
    </row>
    <row r="54" spans="1:6">
      <c r="A54" s="1293" t="s">
        <v>45</v>
      </c>
      <c r="B54" s="1293" t="s">
        <v>46</v>
      </c>
      <c r="C54" s="1294">
        <v>0</v>
      </c>
      <c r="D54" s="1294">
        <v>0</v>
      </c>
      <c r="E54" s="1294">
        <v>3</v>
      </c>
      <c r="F54" s="1294">
        <v>604799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36</v>
      </c>
      <c r="D57" s="1294">
        <v>1967080</v>
      </c>
      <c r="E57" s="1294">
        <v>78</v>
      </c>
      <c r="F57" s="1294">
        <v>1745963.196</v>
      </c>
    </row>
    <row r="58" spans="1:6">
      <c r="A58" s="1293" t="s">
        <v>48</v>
      </c>
      <c r="B58" s="1293" t="s">
        <v>50</v>
      </c>
      <c r="C58" s="1294">
        <v>23</v>
      </c>
      <c r="D58" s="1294">
        <v>1558703</v>
      </c>
      <c r="E58" s="1294">
        <v>42</v>
      </c>
      <c r="F58" s="1294">
        <v>724436.93099999998</v>
      </c>
    </row>
    <row r="59" spans="1:6">
      <c r="A59" s="1293" t="s">
        <v>48</v>
      </c>
      <c r="B59" s="1293" t="s">
        <v>51</v>
      </c>
      <c r="C59" s="1294">
        <v>55</v>
      </c>
      <c r="D59" s="1294">
        <v>2408610.358</v>
      </c>
      <c r="E59" s="1294">
        <v>150</v>
      </c>
      <c r="F59" s="1294">
        <v>3344600.2769999998</v>
      </c>
    </row>
    <row r="60" spans="1:6">
      <c r="A60" s="1293" t="s">
        <v>48</v>
      </c>
      <c r="B60" s="1293" t="s">
        <v>52</v>
      </c>
      <c r="C60" s="1294">
        <v>25</v>
      </c>
      <c r="D60" s="1294">
        <v>1179858</v>
      </c>
      <c r="E60" s="1294">
        <v>46</v>
      </c>
      <c r="F60" s="1294">
        <v>1114554</v>
      </c>
    </row>
    <row r="61" spans="1:6">
      <c r="A61" s="1293" t="s">
        <v>48</v>
      </c>
      <c r="B61" s="1293" t="s">
        <v>53</v>
      </c>
      <c r="C61" s="1294">
        <v>94</v>
      </c>
      <c r="D61" s="1294">
        <v>3057439.8</v>
      </c>
      <c r="E61" s="1294">
        <v>183</v>
      </c>
      <c r="F61" s="1294">
        <v>2661928.2749999999</v>
      </c>
    </row>
    <row r="62" spans="1:6">
      <c r="A62" s="1293" t="s">
        <v>48</v>
      </c>
      <c r="B62" s="1293" t="s">
        <v>54</v>
      </c>
      <c r="C62" s="1294">
        <v>4</v>
      </c>
      <c r="D62" s="1294">
        <v>514324</v>
      </c>
      <c r="E62" s="1294">
        <v>8</v>
      </c>
      <c r="F62" s="1294">
        <v>127587.527</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0</v>
      </c>
      <c r="D65" s="1294">
        <v>0</v>
      </c>
      <c r="E65" s="1294">
        <v>1</v>
      </c>
      <c r="F65" s="1294">
        <v>47350.447</v>
      </c>
    </row>
    <row r="66" spans="1:6">
      <c r="A66" s="1293" t="s">
        <v>55</v>
      </c>
      <c r="B66" s="1293" t="s">
        <v>57</v>
      </c>
      <c r="C66" s="1294">
        <v>0</v>
      </c>
      <c r="D66" s="1294">
        <v>0</v>
      </c>
      <c r="E66" s="1294">
        <v>4</v>
      </c>
      <c r="F66" s="1294">
        <v>171476</v>
      </c>
    </row>
    <row r="67" spans="1:6">
      <c r="A67" s="1295" t="s">
        <v>55</v>
      </c>
      <c r="B67" s="1295" t="s">
        <v>58</v>
      </c>
      <c r="C67" s="1294">
        <v>0</v>
      </c>
      <c r="D67" s="1294">
        <v>0</v>
      </c>
      <c r="E67" s="1294">
        <v>0</v>
      </c>
      <c r="F67" s="1294">
        <v>0</v>
      </c>
    </row>
    <row r="68" spans="1:6">
      <c r="A68" s="1288" t="s">
        <v>55</v>
      </c>
      <c r="B68" s="1288" t="s">
        <v>59</v>
      </c>
      <c r="C68" s="1297">
        <v>3</v>
      </c>
      <c r="D68" s="1297">
        <v>119174</v>
      </c>
      <c r="E68" s="1297">
        <v>6</v>
      </c>
      <c r="F68" s="1297">
        <v>49014</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68536338</v>
      </c>
      <c r="E73" s="449"/>
      <c r="F73" s="330"/>
    </row>
    <row r="74" spans="1:6">
      <c r="A74" s="1293" t="s">
        <v>63</v>
      </c>
      <c r="B74" s="1293" t="s">
        <v>656</v>
      </c>
      <c r="C74" s="1307" t="s">
        <v>658</v>
      </c>
      <c r="D74" s="1308">
        <v>6374454.5</v>
      </c>
      <c r="E74" s="449"/>
      <c r="F74" s="330"/>
    </row>
    <row r="75" spans="1:6">
      <c r="A75" s="1293" t="s">
        <v>64</v>
      </c>
      <c r="B75" s="1293" t="s">
        <v>655</v>
      </c>
      <c r="C75" s="1307" t="s">
        <v>659</v>
      </c>
      <c r="D75" s="1308">
        <v>14041822</v>
      </c>
      <c r="E75" s="449"/>
      <c r="F75" s="330"/>
    </row>
    <row r="76" spans="1:6">
      <c r="A76" s="1293" t="s">
        <v>64</v>
      </c>
      <c r="B76" s="1293" t="s">
        <v>656</v>
      </c>
      <c r="C76" s="1307" t="s">
        <v>660</v>
      </c>
      <c r="D76" s="1308">
        <v>209818.5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204233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4025.8870176817027</v>
      </c>
      <c r="C91" s="330"/>
      <c r="D91" s="330"/>
      <c r="E91" s="330"/>
      <c r="F91" s="330"/>
    </row>
    <row r="92" spans="1:6">
      <c r="A92" s="1288" t="s">
        <v>68</v>
      </c>
      <c r="B92" s="1289">
        <v>2980.516180792627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534</v>
      </c>
      <c r="C97" s="330"/>
      <c r="D97" s="330"/>
      <c r="E97" s="330"/>
      <c r="F97" s="330"/>
    </row>
    <row r="98" spans="1:6">
      <c r="A98" s="1293" t="s">
        <v>71</v>
      </c>
      <c r="B98" s="1294">
        <v>0</v>
      </c>
      <c r="C98" s="330"/>
      <c r="D98" s="330"/>
      <c r="E98" s="330"/>
      <c r="F98" s="330"/>
    </row>
    <row r="99" spans="1:6">
      <c r="A99" s="1293" t="s">
        <v>72</v>
      </c>
      <c r="B99" s="1294">
        <v>23</v>
      </c>
      <c r="C99" s="330"/>
      <c r="D99" s="330"/>
      <c r="E99" s="330"/>
      <c r="F99" s="330"/>
    </row>
    <row r="100" spans="1:6">
      <c r="A100" s="1293" t="s">
        <v>73</v>
      </c>
      <c r="B100" s="1294">
        <v>174</v>
      </c>
      <c r="C100" s="330"/>
      <c r="D100" s="330"/>
      <c r="E100" s="330"/>
      <c r="F100" s="330"/>
    </row>
    <row r="101" spans="1:6">
      <c r="A101" s="1293" t="s">
        <v>74</v>
      </c>
      <c r="B101" s="1294">
        <v>37</v>
      </c>
      <c r="C101" s="330"/>
      <c r="D101" s="330"/>
      <c r="E101" s="330"/>
      <c r="F101" s="330"/>
    </row>
    <row r="102" spans="1:6">
      <c r="A102" s="1293" t="s">
        <v>75</v>
      </c>
      <c r="B102" s="1294">
        <v>41</v>
      </c>
      <c r="C102" s="330"/>
      <c r="D102" s="330"/>
      <c r="E102" s="330"/>
      <c r="F102" s="330"/>
    </row>
    <row r="103" spans="1:6">
      <c r="A103" s="1293" t="s">
        <v>76</v>
      </c>
      <c r="B103" s="1294">
        <v>77</v>
      </c>
      <c r="C103" s="330"/>
      <c r="D103" s="330"/>
      <c r="E103" s="330"/>
      <c r="F103" s="330"/>
    </row>
    <row r="104" spans="1:6">
      <c r="A104" s="1293" t="s">
        <v>77</v>
      </c>
      <c r="B104" s="1294">
        <v>3171</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19</v>
      </c>
      <c r="C123" s="1294">
        <v>25</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182</v>
      </c>
      <c r="C129" s="330"/>
      <c r="D129" s="330"/>
      <c r="E129" s="330"/>
      <c r="F129" s="330"/>
    </row>
    <row r="130" spans="1:6">
      <c r="A130" s="1293" t="s">
        <v>294</v>
      </c>
      <c r="B130" s="1294">
        <v>2</v>
      </c>
      <c r="C130" s="330"/>
      <c r="D130" s="330"/>
      <c r="E130" s="330"/>
      <c r="F130" s="330"/>
    </row>
    <row r="131" spans="1:6">
      <c r="A131" s="1293" t="s">
        <v>295</v>
      </c>
      <c r="B131" s="1294">
        <v>2</v>
      </c>
      <c r="C131" s="330"/>
      <c r="D131" s="330"/>
      <c r="E131" s="330"/>
      <c r="F131" s="330"/>
    </row>
    <row r="132" spans="1:6">
      <c r="A132" s="1288" t="s">
        <v>296</v>
      </c>
      <c r="B132" s="1289">
        <v>32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73874.349185142593</v>
      </c>
      <c r="C3" s="43" t="s">
        <v>169</v>
      </c>
      <c r="D3" s="43"/>
      <c r="E3" s="154"/>
      <c r="F3" s="43"/>
      <c r="G3" s="43"/>
      <c r="H3" s="43"/>
      <c r="I3" s="43"/>
      <c r="J3" s="43"/>
      <c r="K3" s="96"/>
    </row>
    <row r="4" spans="1:11">
      <c r="A4" s="358" t="s">
        <v>170</v>
      </c>
      <c r="B4" s="49">
        <f>IF(ISERROR('SEAP template'!B78+'SEAP template'!C78),0,'SEAP template'!B78+'SEAP template'!C78)</f>
        <v>8171.00319847433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9.4108235294117666</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0.19668329327908723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13.444033613445381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1663.7142857142858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8.0807346122374769E-3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604.79899999999998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604.79899999999998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0.19668329327908723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118.95385909189868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16195.25225</v>
      </c>
      <c r="C5" s="17">
        <f>IF(ISERROR('Eigen informatie GS &amp; warmtenet'!B57),0,'Eigen informatie GS &amp; warmtenet'!B57)</f>
        <v>0</v>
      </c>
      <c r="D5" s="30">
        <f>(SUM(HH_hh_gas_kWh,HH_rest_gas_kWh)/1000)*0.902</f>
        <v>28106.4696869</v>
      </c>
      <c r="E5" s="17">
        <f>B46*B57</f>
        <v>3635.491478400982</v>
      </c>
      <c r="F5" s="17">
        <f>B51*B62</f>
        <v>40707.375788896963</v>
      </c>
      <c r="G5" s="18"/>
      <c r="H5" s="17"/>
      <c r="I5" s="17"/>
      <c r="J5" s="17">
        <f>B50*B61+C50*C61</f>
        <v>0</v>
      </c>
      <c r="K5" s="17"/>
      <c r="L5" s="17"/>
      <c r="M5" s="17"/>
      <c r="N5" s="17">
        <f>B48*B59+C48*C59</f>
        <v>8060.7083273691896</v>
      </c>
      <c r="O5" s="17">
        <f>B69*B70*B71</f>
        <v>323.61000000000007</v>
      </c>
      <c r="P5" s="17">
        <f>B77*B78*B79/1000-B77*B78*B79/1000/B80</f>
        <v>972.4</v>
      </c>
    </row>
    <row r="6" spans="1:16">
      <c r="A6" s="16" t="s">
        <v>620</v>
      </c>
      <c r="B6" s="762">
        <f>kWh_PV_kleiner_dan_10kW</f>
        <v>4025.8870176817027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20221.139267681701</v>
      </c>
      <c r="C8" s="21">
        <f>C5</f>
        <v>0</v>
      </c>
      <c r="D8" s="21">
        <f>D5</f>
        <v>28106.4696869</v>
      </c>
      <c r="E8" s="21">
        <f>E5</f>
        <v>3635.491478400982</v>
      </c>
      <c r="F8" s="21">
        <f>F5</f>
        <v>40707.375788896963</v>
      </c>
      <c r="G8" s="21"/>
      <c r="H8" s="21"/>
      <c r="I8" s="21"/>
      <c r="J8" s="21">
        <f>J5</f>
        <v>0</v>
      </c>
      <c r="K8" s="21"/>
      <c r="L8" s="21">
        <f>L5</f>
        <v>0</v>
      </c>
      <c r="M8" s="21">
        <f>M5</f>
        <v>0</v>
      </c>
      <c r="N8" s="21">
        <f>N5</f>
        <v>8060.7083273691896</v>
      </c>
      <c r="O8" s="21">
        <f>O5</f>
        <v>323.61000000000007</v>
      </c>
      <c r="P8" s="21">
        <f>P5</f>
        <v>972.4</v>
      </c>
    </row>
    <row r="9" spans="1:16">
      <c r="B9" s="19"/>
      <c r="C9" s="19"/>
      <c r="D9" s="258"/>
      <c r="E9" s="19"/>
      <c r="F9" s="19"/>
      <c r="G9" s="19"/>
      <c r="H9" s="19"/>
      <c r="I9" s="19"/>
      <c r="J9" s="19"/>
      <c r="K9" s="19"/>
      <c r="L9" s="19"/>
      <c r="M9" s="19"/>
      <c r="N9" s="19"/>
      <c r="O9" s="19"/>
      <c r="P9" s="19"/>
    </row>
    <row r="10" spans="1:16">
      <c r="A10" s="24" t="s">
        <v>213</v>
      </c>
      <c r="B10" s="25">
        <f ca="1">'EF ele_warmte'!B12</f>
        <v>0.19668329327908723</v>
      </c>
      <c r="C10" s="25">
        <f ca="1">'EF ele_warmte'!B22</f>
        <v>8.0807346122374769E-3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3977.1602650227073</v>
      </c>
      <c r="C12" s="23">
        <f ca="1">C10*C8</f>
        <v>0</v>
      </c>
      <c r="D12" s="23">
        <f>D8*D10</f>
        <v>5677.5068767538005</v>
      </c>
      <c r="E12" s="23">
        <f>E10*E8</f>
        <v>825.25656559702293</v>
      </c>
      <c r="F12" s="23">
        <f>F10*F8</f>
        <v>10868.869335635491</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534</v>
      </c>
      <c r="C18" s="166" t="s">
        <v>110</v>
      </c>
      <c r="D18" s="228"/>
      <c r="E18" s="15"/>
    </row>
    <row r="19" spans="1:7">
      <c r="A19" s="171" t="s">
        <v>71</v>
      </c>
      <c r="B19" s="37">
        <f>aantalw2001_ander</f>
        <v>0</v>
      </c>
      <c r="C19" s="166" t="s">
        <v>110</v>
      </c>
      <c r="D19" s="229"/>
      <c r="E19" s="15"/>
    </row>
    <row r="20" spans="1:7">
      <c r="A20" s="171" t="s">
        <v>72</v>
      </c>
      <c r="B20" s="37">
        <f>aantalw2001_propaan</f>
        <v>23</v>
      </c>
      <c r="C20" s="167">
        <f>IF(ISERROR(B20/SUM($B$20,$B$21,$B$22)*100),0,B20/SUM($B$20,$B$21,$B$22)*100)</f>
        <v>9.8290598290598297</v>
      </c>
      <c r="D20" s="229"/>
      <c r="E20" s="15"/>
    </row>
    <row r="21" spans="1:7">
      <c r="A21" s="171" t="s">
        <v>73</v>
      </c>
      <c r="B21" s="37">
        <f>aantalw2001_elektriciteit</f>
        <v>174</v>
      </c>
      <c r="C21" s="167">
        <f>IF(ISERROR(B21/SUM($B$20,$B$21,$B$22)*100),0,B21/SUM($B$20,$B$21,$B$22)*100)</f>
        <v>74.358974358974365</v>
      </c>
      <c r="D21" s="229"/>
      <c r="E21" s="15"/>
    </row>
    <row r="22" spans="1:7">
      <c r="A22" s="171" t="s">
        <v>74</v>
      </c>
      <c r="B22" s="37">
        <f>aantalw2001_hout</f>
        <v>37</v>
      </c>
      <c r="C22" s="167">
        <f>IF(ISERROR(B22/SUM($B$20,$B$21,$B$22)*100),0,B22/SUM($B$20,$B$21,$B$22)*100)</f>
        <v>15.811965811965811</v>
      </c>
      <c r="D22" s="229"/>
      <c r="E22" s="15"/>
    </row>
    <row r="23" spans="1:7">
      <c r="A23" s="171" t="s">
        <v>75</v>
      </c>
      <c r="B23" s="37">
        <f>aantalw2001_niet_gespec</f>
        <v>41</v>
      </c>
      <c r="C23" s="166" t="s">
        <v>110</v>
      </c>
      <c r="D23" s="228"/>
      <c r="E23" s="15"/>
    </row>
    <row r="24" spans="1:7">
      <c r="A24" s="171" t="s">
        <v>76</v>
      </c>
      <c r="B24" s="37">
        <f>aantalw2001_steenkool</f>
        <v>77</v>
      </c>
      <c r="C24" s="166" t="s">
        <v>110</v>
      </c>
      <c r="D24" s="229"/>
      <c r="E24" s="15"/>
    </row>
    <row r="25" spans="1:7">
      <c r="A25" s="171" t="s">
        <v>77</v>
      </c>
      <c r="B25" s="37">
        <f>aantalw2001_stookolie</f>
        <v>3171</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4591</v>
      </c>
      <c r="C28" s="36"/>
      <c r="D28" s="228"/>
    </row>
    <row r="29" spans="1:7" s="15" customFormat="1">
      <c r="A29" s="230" t="s">
        <v>781</v>
      </c>
      <c r="B29" s="37">
        <f>SUM(HH_hh_gas_aantal,HH_rest_gas_aantal)</f>
        <v>1889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1889</v>
      </c>
      <c r="C32" s="167">
        <f>IF(ISERROR(B32/SUM($B$32,$B$34,$B$35,$B$36,$B$38,$B$39)*100),0,B32/SUM($B$32,$B$34,$B$35,$B$36,$B$38,$B$39)*100)</f>
        <v>41.607929515418505</v>
      </c>
      <c r="D32" s="233"/>
      <c r="G32" s="15"/>
    </row>
    <row r="33" spans="1:7">
      <c r="A33" s="171" t="s">
        <v>71</v>
      </c>
      <c r="B33" s="34" t="s">
        <v>110</v>
      </c>
      <c r="C33" s="167"/>
      <c r="D33" s="233"/>
      <c r="G33" s="15"/>
    </row>
    <row r="34" spans="1:7">
      <c r="A34" s="171" t="s">
        <v>72</v>
      </c>
      <c r="B34" s="33">
        <f>IF((($B$28-$B$32-$B$39-$B$77-$B$38)*C20/100)&lt;0,0,($B$28-$B$32-$B$39-$B$77-$B$38)*C20/100)</f>
        <v>68.754273504273499</v>
      </c>
      <c r="C34" s="167">
        <f>IF(ISERROR(B34/SUM($B$32,$B$34,$B$35,$B$36,$B$38,$B$39)*100),0,B34/SUM($B$32,$B$34,$B$35,$B$36,$B$38,$B$39)*100)</f>
        <v>1.5144113106668171</v>
      </c>
      <c r="D34" s="233"/>
      <c r="G34" s="15"/>
    </row>
    <row r="35" spans="1:7">
      <c r="A35" s="171" t="s">
        <v>73</v>
      </c>
      <c r="B35" s="33">
        <f>IF((($B$28-$B$32-$B$39-$B$77-$B$38)*C21/100)&lt;0,0,($B$28-$B$32-$B$39-$B$77-$B$38)*C21/100)</f>
        <v>520.14102564102575</v>
      </c>
      <c r="C35" s="167">
        <f>IF(ISERROR(B35/SUM($B$32,$B$34,$B$35,$B$36,$B$38,$B$39)*100),0,B35/SUM($B$32,$B$34,$B$35,$B$36,$B$38,$B$39)*100)</f>
        <v>11.456850785044621</v>
      </c>
      <c r="D35" s="233"/>
      <c r="G35" s="15"/>
    </row>
    <row r="36" spans="1:7">
      <c r="A36" s="171" t="s">
        <v>74</v>
      </c>
      <c r="B36" s="33">
        <f>IF((($B$28-$B$32-$B$39-$B$77-$B$38)*C22/100)&lt;0,0,($B$28-$B$32-$B$39-$B$77-$B$38)*C22/100)</f>
        <v>110.60470085470084</v>
      </c>
      <c r="C36" s="167">
        <f>IF(ISERROR(B36/SUM($B$32,$B$34,$B$35,$B$36,$B$38,$B$39)*100),0,B36/SUM($B$32,$B$34,$B$35,$B$36,$B$38,$B$39)*100)</f>
        <v>2.4362268910727054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1951.5</v>
      </c>
      <c r="C39" s="167">
        <f>IF(ISERROR(B39/SUM($B$32,$B$34,$B$35,$B$36,$B$38,$B$39)*100),0,B39/SUM($B$32,$B$34,$B$35,$B$36,$B$38,$B$39)*100)</f>
        <v>42.984581497797357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1889</v>
      </c>
      <c r="C44" s="34" t="s">
        <v>110</v>
      </c>
      <c r="D44" s="174"/>
    </row>
    <row r="45" spans="1:7">
      <c r="A45" s="171" t="s">
        <v>71</v>
      </c>
      <c r="B45" s="33" t="str">
        <f t="shared" si="0"/>
        <v>-</v>
      </c>
      <c r="C45" s="34" t="s">
        <v>110</v>
      </c>
      <c r="D45" s="174"/>
    </row>
    <row r="46" spans="1:7">
      <c r="A46" s="171" t="s">
        <v>72</v>
      </c>
      <c r="B46" s="33">
        <f t="shared" si="0"/>
        <v>68.754273504273499</v>
      </c>
      <c r="C46" s="34" t="s">
        <v>110</v>
      </c>
      <c r="D46" s="174"/>
    </row>
    <row r="47" spans="1:7">
      <c r="A47" s="171" t="s">
        <v>73</v>
      </c>
      <c r="B47" s="33">
        <f t="shared" si="0"/>
        <v>520.14102564102575</v>
      </c>
      <c r="C47" s="34" t="s">
        <v>110</v>
      </c>
      <c r="D47" s="174"/>
    </row>
    <row r="48" spans="1:7">
      <c r="A48" s="171" t="s">
        <v>74</v>
      </c>
      <c r="B48" s="33">
        <f t="shared" si="0"/>
        <v>110.60470085470084</v>
      </c>
      <c r="C48" s="33">
        <f>B48*10</f>
        <v>1106.0470085470083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1951.5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9719.0702060000003</v>
      </c>
      <c r="C5" s="17">
        <f>IF(ISERROR('Eigen informatie GS &amp; warmtenet'!B58),0,'Eigen informatie GS &amp; warmtenet'!B58)</f>
        <v>0</v>
      </c>
      <c r="D5" s="30">
        <f>SUM(D6:D12)</f>
        <v>9638.785672516</v>
      </c>
      <c r="E5" s="17">
        <f>SUM(E6:E12)</f>
        <v>141.3367242480191</v>
      </c>
      <c r="F5" s="17">
        <f>SUM(F6:F12)</f>
        <v>1772.1508900537729</v>
      </c>
      <c r="G5" s="18"/>
      <c r="H5" s="17"/>
      <c r="I5" s="17"/>
      <c r="J5" s="17">
        <f>SUM(J6:J12)</f>
        <v>3.7898016998407551E-2</v>
      </c>
      <c r="K5" s="17"/>
      <c r="L5" s="17"/>
      <c r="M5" s="17"/>
      <c r="N5" s="17">
        <f>SUM(N6:N12)</f>
        <v>1501.6931146405107</v>
      </c>
      <c r="O5" s="17">
        <f>B38*B39*B40</f>
        <v>3.1266666666666669</v>
      </c>
      <c r="P5" s="17">
        <f>B46*B47*B48/1000-B46*B47*B48/1000/B49</f>
        <v>38.133333333333333</v>
      </c>
      <c r="R5" s="32"/>
    </row>
    <row r="6" spans="1:18">
      <c r="A6" s="32" t="s">
        <v>53</v>
      </c>
      <c r="B6" s="37">
        <f>B26</f>
        <v>2661.9282749999998</v>
      </c>
      <c r="C6" s="33"/>
      <c r="D6" s="37">
        <f>IF(ISERROR(TER_kantoor_gas_kWh/1000),0,TER_kantoor_gas_kWh/1000)*0.902</f>
        <v>2757.8106995999997</v>
      </c>
      <c r="E6" s="33">
        <f>$C$26*'E Balans VL '!I12/100/3.6*1000000</f>
        <v>1.6684081084225887E-2</v>
      </c>
      <c r="F6" s="33">
        <f>$C$26*('E Balans VL '!L12+'E Balans VL '!N12)/100/3.6*1000000</f>
        <v>400.01343836246531</v>
      </c>
      <c r="G6" s="34"/>
      <c r="H6" s="33"/>
      <c r="I6" s="33"/>
      <c r="J6" s="33">
        <f>$C$26*('E Balans VL '!D12+'E Balans VL '!E12)/100/3.6*1000000</f>
        <v>0</v>
      </c>
      <c r="K6" s="33"/>
      <c r="L6" s="33"/>
      <c r="M6" s="33"/>
      <c r="N6" s="33">
        <f>$C$26*'E Balans VL '!Y12/100/3.6*1000000</f>
        <v>2.5457397208575419</v>
      </c>
      <c r="O6" s="33"/>
      <c r="P6" s="33"/>
      <c r="R6" s="32"/>
    </row>
    <row r="7" spans="1:18">
      <c r="A7" s="32" t="s">
        <v>52</v>
      </c>
      <c r="B7" s="37">
        <f t="shared" ref="B7:B12" si="0">B27</f>
        <v>1114.5540000000001</v>
      </c>
      <c r="C7" s="33"/>
      <c r="D7" s="37">
        <f>IF(ISERROR(TER_horeca_gas_kWh/1000),0,TER_horeca_gas_kWh/1000)*0.902</f>
        <v>1064.231916</v>
      </c>
      <c r="E7" s="33">
        <f>$C$27*'E Balans VL '!I9/100/3.6*1000000</f>
        <v>15.960227630743695</v>
      </c>
      <c r="F7" s="33">
        <f>$C$27*('E Balans VL '!L9+'E Balans VL '!N9)/100/3.6*1000000</f>
        <v>141.13929580710797</v>
      </c>
      <c r="G7" s="34"/>
      <c r="H7" s="33"/>
      <c r="I7" s="33"/>
      <c r="J7" s="33">
        <f>$C$27*('E Balans VL '!D9+'E Balans VL '!E9)/100/3.6*1000000</f>
        <v>0</v>
      </c>
      <c r="K7" s="33"/>
      <c r="L7" s="33"/>
      <c r="M7" s="33"/>
      <c r="N7" s="33">
        <f>$C$27*'E Balans VL '!Y9/100/3.6*1000000</f>
        <v>0.32040970119370743</v>
      </c>
      <c r="O7" s="33"/>
      <c r="P7" s="33"/>
      <c r="R7" s="32"/>
    </row>
    <row r="8" spans="1:18">
      <c r="A8" s="6" t="s">
        <v>51</v>
      </c>
      <c r="B8" s="37">
        <f t="shared" si="0"/>
        <v>3344.6002769999996</v>
      </c>
      <c r="C8" s="33"/>
      <c r="D8" s="37">
        <f>IF(ISERROR(TER_handel_gas_kWh/1000),0,TER_handel_gas_kWh/1000)*0.902</f>
        <v>2172.5665429159999</v>
      </c>
      <c r="E8" s="33">
        <f>$C$28*'E Balans VL '!I13/100/3.6*1000000</f>
        <v>121.30823960916167</v>
      </c>
      <c r="F8" s="33">
        <f>$C$28*('E Balans VL '!L13+'E Balans VL '!N13)/100/3.6*1000000</f>
        <v>644.20387958115236</v>
      </c>
      <c r="G8" s="34"/>
      <c r="H8" s="33"/>
      <c r="I8" s="33"/>
      <c r="J8" s="33">
        <f>$C$28*('E Balans VL '!D13+'E Balans VL '!E13)/100/3.6*1000000</f>
        <v>0</v>
      </c>
      <c r="K8" s="33"/>
      <c r="L8" s="33"/>
      <c r="M8" s="33"/>
      <c r="N8" s="33">
        <f>$C$28*'E Balans VL '!Y13/100/3.6*1000000</f>
        <v>4.6330409418474705</v>
      </c>
      <c r="O8" s="33"/>
      <c r="P8" s="33"/>
      <c r="R8" s="32"/>
    </row>
    <row r="9" spans="1:18">
      <c r="A9" s="32" t="s">
        <v>50</v>
      </c>
      <c r="B9" s="37">
        <f t="shared" si="0"/>
        <v>724.43693099999996</v>
      </c>
      <c r="C9" s="33"/>
      <c r="D9" s="37">
        <f>IF(ISERROR(TER_gezond_gas_kWh/1000),0,TER_gezond_gas_kWh/1000)*0.902</f>
        <v>1405.950106</v>
      </c>
      <c r="E9" s="33">
        <f>$C$29*'E Balans VL '!I10/100/3.6*1000000</f>
        <v>4.5356904403115711E-2</v>
      </c>
      <c r="F9" s="33">
        <f>$C$29*('E Balans VL '!L10+'E Balans VL '!N10)/100/3.6*1000000</f>
        <v>107.61731180044508</v>
      </c>
      <c r="G9" s="34"/>
      <c r="H9" s="33"/>
      <c r="I9" s="33"/>
      <c r="J9" s="33">
        <f>$C$29*('E Balans VL '!D10+'E Balans VL '!E10)/100/3.6*1000000</f>
        <v>0</v>
      </c>
      <c r="K9" s="33"/>
      <c r="L9" s="33"/>
      <c r="M9" s="33"/>
      <c r="N9" s="33">
        <f>$C$29*'E Balans VL '!Y10/100/3.6*1000000</f>
        <v>11.20566035089659</v>
      </c>
      <c r="O9" s="33"/>
      <c r="P9" s="33"/>
      <c r="R9" s="32"/>
    </row>
    <row r="10" spans="1:18">
      <c r="A10" s="32" t="s">
        <v>49</v>
      </c>
      <c r="B10" s="37">
        <f t="shared" si="0"/>
        <v>1745.9631959999999</v>
      </c>
      <c r="C10" s="33"/>
      <c r="D10" s="37">
        <f>IF(ISERROR(TER_ander_gas_kWh/1000),0,TER_ander_gas_kWh/1000)*0.902</f>
        <v>1774.3061600000001</v>
      </c>
      <c r="E10" s="33">
        <f>$C$30*'E Balans VL '!I14/100/3.6*1000000</f>
        <v>2.0811257394494631</v>
      </c>
      <c r="F10" s="33">
        <f>$C$30*('E Balans VL '!L14+'E Balans VL '!N14)/100/3.6*1000000</f>
        <v>456.82159150082038</v>
      </c>
      <c r="G10" s="34"/>
      <c r="H10" s="33"/>
      <c r="I10" s="33"/>
      <c r="J10" s="33">
        <f>$C$30*('E Balans VL '!D14+'E Balans VL '!E14)/100/3.6*1000000</f>
        <v>3.7898016998407551E-2</v>
      </c>
      <c r="K10" s="33"/>
      <c r="L10" s="33"/>
      <c r="M10" s="33"/>
      <c r="N10" s="33">
        <f>$C$30*'E Balans VL '!Y14/100/3.6*1000000</f>
        <v>1482.6292229251642</v>
      </c>
      <c r="O10" s="33"/>
      <c r="P10" s="33"/>
      <c r="R10" s="32"/>
    </row>
    <row r="11" spans="1:18">
      <c r="A11" s="32" t="s">
        <v>54</v>
      </c>
      <c r="B11" s="37">
        <f t="shared" si="0"/>
        <v>127.58752700000001</v>
      </c>
      <c r="C11" s="33"/>
      <c r="D11" s="37">
        <f>IF(ISERROR(TER_onderwijs_gas_kWh/1000),0,TER_onderwijs_gas_kWh/1000)*0.902</f>
        <v>463.92024799999996</v>
      </c>
      <c r="E11" s="33">
        <f>$C$31*'E Balans VL '!I11/100/3.6*1000000</f>
        <v>1.9250902831769054</v>
      </c>
      <c r="F11" s="33">
        <f>$C$31*('E Balans VL '!L11+'E Balans VL '!N11)/100/3.6*1000000</f>
        <v>22.355373001781718</v>
      </c>
      <c r="G11" s="34"/>
      <c r="H11" s="33"/>
      <c r="I11" s="33"/>
      <c r="J11" s="33">
        <f>$C$31*('E Balans VL '!D11+'E Balans VL '!E11)/100/3.6*1000000</f>
        <v>0</v>
      </c>
      <c r="K11" s="33"/>
      <c r="L11" s="33"/>
      <c r="M11" s="33"/>
      <c r="N11" s="33">
        <f>$C$31*'E Balans VL '!Y11/100/3.6*1000000</f>
        <v>0.35904100055118043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energieproductie'!N39+'lokale energieproductie'!N32</f>
        <v>39.6</v>
      </c>
      <c r="C13" s="247">
        <f ca="1">'lokale energieproductie'!O39+'lokale energieproductie'!O32</f>
        <v>56.571428571428577</v>
      </c>
      <c r="D13" s="308">
        <f ca="1">('lokale energieproductie'!P32+'lokale energieproductie'!P39)*(-1)</f>
        <v>-113.14285714285715</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9758.6702060000007</v>
      </c>
      <c r="C16" s="21">
        <f t="shared" ca="1" si="1"/>
        <v>56.571428571428577</v>
      </c>
      <c r="D16" s="21">
        <f t="shared" ca="1" si="1"/>
        <v>9525.6428153731431</v>
      </c>
      <c r="E16" s="21">
        <f t="shared" si="1"/>
        <v>141.3367242480191</v>
      </c>
      <c r="F16" s="21">
        <f t="shared" ca="1" si="1"/>
        <v>1772.1508900537729</v>
      </c>
      <c r="G16" s="21">
        <f t="shared" si="1"/>
        <v>0</v>
      </c>
      <c r="H16" s="21">
        <f t="shared" si="1"/>
        <v>0</v>
      </c>
      <c r="I16" s="21">
        <f t="shared" si="1"/>
        <v>0</v>
      </c>
      <c r="J16" s="21">
        <f t="shared" si="1"/>
        <v>3.7898016998407551E-2</v>
      </c>
      <c r="K16" s="21">
        <f t="shared" si="1"/>
        <v>0</v>
      </c>
      <c r="L16" s="21">
        <f t="shared" ca="1" si="1"/>
        <v>0</v>
      </c>
      <c r="M16" s="21">
        <f t="shared" si="1"/>
        <v>0</v>
      </c>
      <c r="N16" s="21">
        <f t="shared" ca="1" si="1"/>
        <v>1501.6931146405107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0.19668329327908723</v>
      </c>
      <c r="C18" s="25">
        <f ca="1">'EF ele_warmte'!B22</f>
        <v>8.0807346122374769E-3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1919.3673941405889</v>
      </c>
      <c r="C20" s="23">
        <f t="shared" ref="C20:P20" ca="1" si="2">C16*C18</f>
        <v>0.45713870092086301</v>
      </c>
      <c r="D20" s="23">
        <f t="shared" ca="1" si="2"/>
        <v>1924.179848705375</v>
      </c>
      <c r="E20" s="23">
        <f t="shared" si="2"/>
        <v>32.083436404300336</v>
      </c>
      <c r="F20" s="23">
        <f t="shared" ca="1" si="2"/>
        <v>473.16428764435739</v>
      </c>
      <c r="G20" s="23">
        <f t="shared" si="2"/>
        <v>0</v>
      </c>
      <c r="H20" s="23">
        <f t="shared" si="2"/>
        <v>0</v>
      </c>
      <c r="I20" s="23">
        <f t="shared" si="2"/>
        <v>0</v>
      </c>
      <c r="J20" s="23">
        <f t="shared" si="2"/>
        <v>1.3415898017436272E-2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2661.9282749999998</v>
      </c>
      <c r="C26" s="39">
        <f>IF(ISERROR(B26*3.6/1000000/'E Balans VL '!Z12*100),0,B26*3.6/1000000/'E Balans VL '!Z12*100)</f>
        <v>5.6268946898497249E-2</v>
      </c>
      <c r="D26" s="237" t="s">
        <v>744</v>
      </c>
      <c r="F26" s="6"/>
    </row>
    <row r="27" spans="1:18">
      <c r="A27" s="231" t="s">
        <v>52</v>
      </c>
      <c r="B27" s="33">
        <f>IF(ISERROR(TER_horeca_ele_kWh/1000),0,TER_horeca_ele_kWh/1000)</f>
        <v>1114.5540000000001</v>
      </c>
      <c r="C27" s="39">
        <f>IF(ISERROR(B27*3.6/1000000/'E Balans VL '!Z9*100),0,B27*3.6/1000000/'E Balans VL '!Z9*100)</f>
        <v>8.7859876404516493E-2</v>
      </c>
      <c r="D27" s="237" t="s">
        <v>744</v>
      </c>
      <c r="F27" s="6"/>
    </row>
    <row r="28" spans="1:18">
      <c r="A28" s="171" t="s">
        <v>51</v>
      </c>
      <c r="B28" s="33">
        <f>IF(ISERROR(TER_handel_ele_kWh/1000),0,TER_handel_ele_kWh/1000)</f>
        <v>3344.6002769999996</v>
      </c>
      <c r="C28" s="39">
        <f>IF(ISERROR(B28*3.6/1000000/'E Balans VL '!Z13*100),0,B28*3.6/1000000/'E Balans VL '!Z13*100)</f>
        <v>9.7073813737951584E-2</v>
      </c>
      <c r="D28" s="237" t="s">
        <v>744</v>
      </c>
      <c r="F28" s="6"/>
    </row>
    <row r="29" spans="1:18">
      <c r="A29" s="231" t="s">
        <v>50</v>
      </c>
      <c r="B29" s="33">
        <f>IF(ISERROR(TER_gezond_ele_kWh/1000),0,TER_gezond_ele_kWh/1000)</f>
        <v>724.43693099999996</v>
      </c>
      <c r="C29" s="39">
        <f>IF(ISERROR(B29*3.6/1000000/'E Balans VL '!Z10*100),0,B29*3.6/1000000/'E Balans VL '!Z10*100)</f>
        <v>7.6295104402704039E-2</v>
      </c>
      <c r="D29" s="237" t="s">
        <v>744</v>
      </c>
      <c r="F29" s="6"/>
    </row>
    <row r="30" spans="1:18">
      <c r="A30" s="231" t="s">
        <v>49</v>
      </c>
      <c r="B30" s="33">
        <f>IF(ISERROR(TER_ander_ele_kWh/1000),0,TER_ander_ele_kWh/1000)</f>
        <v>1745.9631959999999</v>
      </c>
      <c r="C30" s="39">
        <f>IF(ISERROR(B30*3.6/1000000/'E Balans VL '!Z14*100),0,B30*3.6/1000000/'E Balans VL '!Z14*100)</f>
        <v>0.12878262455827977</v>
      </c>
      <c r="D30" s="237" t="s">
        <v>744</v>
      </c>
      <c r="F30" s="6"/>
    </row>
    <row r="31" spans="1:18">
      <c r="A31" s="231" t="s">
        <v>54</v>
      </c>
      <c r="B31" s="33">
        <f>IF(ISERROR(TER_onderwijs_ele_kWh/1000),0,TER_onderwijs_ele_kWh/1000)</f>
        <v>127.58752700000001</v>
      </c>
      <c r="C31" s="39">
        <f>IF(ISERROR(B31*3.6/1000000/'E Balans VL '!Z11*100),0,B31*3.6/1000000/'E Balans VL '!Z11*100)</f>
        <v>3.1685959505836123E-2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40026.796907999997</v>
      </c>
      <c r="C5" s="17">
        <f>IF(ISERROR('Eigen informatie GS &amp; warmtenet'!B59),0,'Eigen informatie GS &amp; warmtenet'!B59)</f>
        <v>0</v>
      </c>
      <c r="D5" s="30">
        <f>SUM(D6:D15)</f>
        <v>42418.000468316</v>
      </c>
      <c r="E5" s="17">
        <f>SUM(E6:E15)</f>
        <v>8349.3626741577609</v>
      </c>
      <c r="F5" s="17">
        <f>SUM(F6:F15)</f>
        <v>23687.109605402264</v>
      </c>
      <c r="G5" s="18"/>
      <c r="H5" s="17"/>
      <c r="I5" s="17"/>
      <c r="J5" s="17">
        <f>SUM(J6:J15)</f>
        <v>0.47641706483133051</v>
      </c>
      <c r="K5" s="17"/>
      <c r="L5" s="17"/>
      <c r="M5" s="17"/>
      <c r="N5" s="17">
        <f>SUM(N6:N15)</f>
        <v>3057.7266328874771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272.12417900000003</v>
      </c>
      <c r="C8" s="33"/>
      <c r="D8" s="37">
        <f>IF( ISERROR(IND_metaal_Gas_kWH/1000),0,IND_metaal_Gas_kWH/1000)*0.902</f>
        <v>232.18201600000003</v>
      </c>
      <c r="E8" s="33">
        <f>C30*'E Balans VL '!I18/100/3.6*1000000</f>
        <v>2.5019190058734959</v>
      </c>
      <c r="F8" s="33">
        <f>C30*'E Balans VL '!L18/100/3.6*1000000+C30*'E Balans VL '!N18/100/3.6*1000000</f>
        <v>25.51618805919334</v>
      </c>
      <c r="G8" s="34"/>
      <c r="H8" s="33"/>
      <c r="I8" s="33"/>
      <c r="J8" s="40">
        <f>C30*'E Balans VL '!D18/100/3.6*1000000+C30*'E Balans VL '!E18/100/3.6*1000000</f>
        <v>0</v>
      </c>
      <c r="K8" s="33"/>
      <c r="L8" s="33"/>
      <c r="M8" s="33"/>
      <c r="N8" s="33">
        <f>C30*'E Balans VL '!Y18/100/3.6*1000000</f>
        <v>3.8823011175783106</v>
      </c>
      <c r="O8" s="33"/>
      <c r="P8" s="33"/>
      <c r="R8" s="32"/>
    </row>
    <row r="9" spans="1:18">
      <c r="A9" s="6" t="s">
        <v>32</v>
      </c>
      <c r="B9" s="37">
        <f t="shared" si="0"/>
        <v>28445.133013999999</v>
      </c>
      <c r="C9" s="33"/>
      <c r="D9" s="37">
        <f>IF( ISERROR(IND_andere_gas_kWh/1000),0,IND_andere_gas_kWh/1000)*0.902</f>
        <v>16579.948320958003</v>
      </c>
      <c r="E9" s="33">
        <f>C31*'E Balans VL '!I19/100/3.6*1000000</f>
        <v>8315.0661414162005</v>
      </c>
      <c r="F9" s="33">
        <f>C31*'E Balans VL '!L19/100/3.6*1000000+C31*'E Balans VL '!N19/100/3.6*1000000</f>
        <v>22857.8174754787</v>
      </c>
      <c r="G9" s="34"/>
      <c r="H9" s="33"/>
      <c r="I9" s="33"/>
      <c r="J9" s="40">
        <f>C31*'E Balans VL '!D19/100/3.6*1000000+C31*'E Balans VL '!E19/100/3.6*1000000</f>
        <v>0</v>
      </c>
      <c r="K9" s="33"/>
      <c r="L9" s="33"/>
      <c r="M9" s="33"/>
      <c r="N9" s="33">
        <f>C31*'E Balans VL '!Y19/100/3.6*1000000</f>
        <v>2231.1976003239929</v>
      </c>
      <c r="O9" s="33"/>
      <c r="P9" s="33"/>
      <c r="R9" s="32"/>
    </row>
    <row r="10" spans="1:18">
      <c r="A10" s="6" t="s">
        <v>40</v>
      </c>
      <c r="B10" s="37">
        <f t="shared" si="0"/>
        <v>10927.142</v>
      </c>
      <c r="C10" s="33"/>
      <c r="D10" s="37">
        <f>IF( ISERROR(IND_voed_gas_kWh/1000),0,IND_voed_gas_kWh/1000)*0.902</f>
        <v>25308.015299358001</v>
      </c>
      <c r="E10" s="33">
        <f>C32*'E Balans VL '!I20/100/3.6*1000000</f>
        <v>23.116538328343381</v>
      </c>
      <c r="F10" s="33">
        <f>C32*'E Balans VL '!L20/100/3.6*1000000+C32*'E Balans VL '!N20/100/3.6*1000000</f>
        <v>694.7588501082397</v>
      </c>
      <c r="G10" s="34"/>
      <c r="H10" s="33"/>
      <c r="I10" s="33"/>
      <c r="J10" s="40">
        <f>C32*'E Balans VL '!D20/100/3.6*1000000+C32*'E Balans VL '!E20/100/3.6*1000000</f>
        <v>0</v>
      </c>
      <c r="K10" s="33"/>
      <c r="L10" s="33"/>
      <c r="M10" s="33"/>
      <c r="N10" s="33">
        <f>C32*'E Balans VL '!Y20/100/3.6*1000000</f>
        <v>754.08062967207775</v>
      </c>
      <c r="O10" s="33"/>
      <c r="P10" s="33"/>
      <c r="R10" s="32"/>
    </row>
    <row r="11" spans="1:18">
      <c r="A11" s="6" t="s">
        <v>39</v>
      </c>
      <c r="B11" s="37">
        <f t="shared" si="0"/>
        <v>92.489000000000004</v>
      </c>
      <c r="C11" s="33"/>
      <c r="D11" s="37">
        <f>IF( ISERROR(IND_textiel_gas_kWh/1000),0,IND_textiel_gas_kWh/1000)*0.902</f>
        <v>86.835539999999995</v>
      </c>
      <c r="E11" s="33">
        <f>C33*'E Balans VL '!I21/100/3.6*1000000</f>
        <v>0.27468435591524148</v>
      </c>
      <c r="F11" s="33">
        <f>C33*'E Balans VL '!L21/100/3.6*1000000+C33*'E Balans VL '!N21/100/3.6*1000000</f>
        <v>9.343928203791414</v>
      </c>
      <c r="G11" s="34"/>
      <c r="H11" s="33"/>
      <c r="I11" s="33"/>
      <c r="J11" s="40">
        <f>C33*'E Balans VL '!D21/100/3.6*1000000+C33*'E Balans VL '!E21/100/3.6*1000000</f>
        <v>0</v>
      </c>
      <c r="K11" s="33"/>
      <c r="L11" s="33"/>
      <c r="M11" s="33"/>
      <c r="N11" s="33">
        <f>C33*'E Balans VL '!Y21/100/3.6*1000000</f>
        <v>5.1010635151633466</v>
      </c>
      <c r="O11" s="33"/>
      <c r="P11" s="33"/>
      <c r="R11" s="32"/>
    </row>
    <row r="12" spans="1:18">
      <c r="A12" s="6" t="s">
        <v>36</v>
      </c>
      <c r="B12" s="37">
        <f t="shared" si="0"/>
        <v>289.90371500000003</v>
      </c>
      <c r="C12" s="33"/>
      <c r="D12" s="37">
        <f>IF( ISERROR(IND_min_gas_kWh/1000),0,IND_min_gas_kWh/1000)*0.902</f>
        <v>0</v>
      </c>
      <c r="E12" s="33">
        <f>C34*'E Balans VL '!I22/100/3.6*1000000</f>
        <v>8.4031149717212958</v>
      </c>
      <c r="F12" s="33">
        <f>C34*'E Balans VL '!L22/100/3.6*1000000+C34*'E Balans VL '!N22/100/3.6*1000000</f>
        <v>99.672173201991725</v>
      </c>
      <c r="G12" s="34"/>
      <c r="H12" s="33"/>
      <c r="I12" s="33"/>
      <c r="J12" s="40">
        <f>C34*'E Balans VL '!D22/100/3.6*1000000+C34*'E Balans VL '!E22/100/3.6*1000000</f>
        <v>0.47639916492640866</v>
      </c>
      <c r="K12" s="33"/>
      <c r="L12" s="33"/>
      <c r="M12" s="33"/>
      <c r="N12" s="33">
        <f>C34*'E Balans VL '!Y22/100/3.6*1000000</f>
        <v>63.46468728569311</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5.0000000000000001E-3</v>
      </c>
      <c r="C15" s="33"/>
      <c r="D15" s="37">
        <f>IF( ISERROR(IND_rest_gas_kWh/1000),0,IND_rest_gas_kWh/1000)*0.902</f>
        <v>211.01929200000001</v>
      </c>
      <c r="E15" s="33">
        <f>C37*'E Balans VL '!I15/100/3.6*1000000</f>
        <v>2.7607970631879337E-4</v>
      </c>
      <c r="F15" s="33">
        <f>C37*'E Balans VL '!L15/100/3.6*1000000+C37*'E Balans VL '!N15/100/3.6*1000000</f>
        <v>9.9035034744435592E-4</v>
      </c>
      <c r="G15" s="34"/>
      <c r="H15" s="33"/>
      <c r="I15" s="33"/>
      <c r="J15" s="40">
        <f>C37*'E Balans VL '!D15/100/3.6*1000000+C37*'E Balans VL '!E15/100/3.6*1000000</f>
        <v>1.7899904921861178E-5</v>
      </c>
      <c r="K15" s="33"/>
      <c r="L15" s="33"/>
      <c r="M15" s="33"/>
      <c r="N15" s="33">
        <f>C37*'E Balans VL '!Y15/100/3.6*1000000</f>
        <v>3.5097297160852135E-4</v>
      </c>
      <c r="O15" s="33"/>
      <c r="P15" s="33"/>
      <c r="R15" s="32"/>
    </row>
    <row r="16" spans="1:18">
      <c r="A16" s="16" t="s">
        <v>487</v>
      </c>
      <c r="B16" s="247">
        <f>'lokale energieproductie'!N38+'lokale energieproductie'!N31</f>
        <v>1125</v>
      </c>
      <c r="C16" s="247">
        <f>'lokale energieproductie'!O38+'lokale energieproductie'!O31</f>
        <v>1607.1428571428571</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41151.796907999997</v>
      </c>
      <c r="C18" s="21">
        <f>C5+C16</f>
        <v>1607.1428571428571</v>
      </c>
      <c r="D18" s="21">
        <f>MAX((D5+D16),0)</f>
        <v>42418.000468316</v>
      </c>
      <c r="E18" s="21">
        <f>MAX((E5+E16),0)</f>
        <v>8349.3626741577609</v>
      </c>
      <c r="F18" s="21">
        <f>MAX((F5+F16),0)</f>
        <v>23687.109605402264</v>
      </c>
      <c r="G18" s="21"/>
      <c r="H18" s="21"/>
      <c r="I18" s="21"/>
      <c r="J18" s="21">
        <f>MAX((J5+J16),0)</f>
        <v>0.47641706483133051</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0.19668329327908723</v>
      </c>
      <c r="C20" s="25">
        <f ca="1">'EF ele_warmte'!B22</f>
        <v>8.0807346122374769E-3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8093.8709402175982</v>
      </c>
      <c r="C22" s="23">
        <f ca="1">C18*C20</f>
        <v>12.986894912524516</v>
      </c>
      <c r="D22" s="23">
        <f>D18*D20</f>
        <v>8568.4360945998324</v>
      </c>
      <c r="E22" s="23">
        <f>E18*E20</f>
        <v>1895.3053270338119</v>
      </c>
      <c r="F22" s="23">
        <f>F18*F20</f>
        <v>6324.4582646424051</v>
      </c>
      <c r="G22" s="23"/>
      <c r="H22" s="23"/>
      <c r="I22" s="23"/>
      <c r="J22" s="23">
        <f>J18*J20</f>
        <v>0.16865164095029098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272.12417900000003</v>
      </c>
      <c r="C30" s="39">
        <f>IF(ISERROR(B30*3.6/1000000/'E Balans VL '!Z18*100),0,B30*3.6/1000000/'E Balans VL '!Z18*100)</f>
        <v>1.5421974995962626E-2</v>
      </c>
      <c r="D30" s="237" t="s">
        <v>744</v>
      </c>
    </row>
    <row r="31" spans="1:18">
      <c r="A31" s="6" t="s">
        <v>32</v>
      </c>
      <c r="B31" s="37">
        <f>IF( ISERROR(IND_ander_ele_kWh/1000),0,IND_ander_ele_kWh/1000)</f>
        <v>28445.133013999999</v>
      </c>
      <c r="C31" s="39">
        <f>IF(ISERROR(B31*3.6/1000000/'E Balans VL '!Z19*100),0,B31*3.6/1000000/'E Balans VL '!Z19*100)</f>
        <v>1.2901527900426422</v>
      </c>
      <c r="D31" s="237" t="s">
        <v>744</v>
      </c>
    </row>
    <row r="32" spans="1:18">
      <c r="A32" s="171" t="s">
        <v>40</v>
      </c>
      <c r="B32" s="37">
        <f>IF( ISERROR(IND_voed_ele_kWh/1000),0,IND_voed_ele_kWh/1000)</f>
        <v>10927.142</v>
      </c>
      <c r="C32" s="39">
        <f>IF(ISERROR(B32*3.6/1000000/'E Balans VL '!Z20*100),0,B32*3.6/1000000/'E Balans VL '!Z20*100)</f>
        <v>0.33802610709625425</v>
      </c>
      <c r="D32" s="237" t="s">
        <v>744</v>
      </c>
    </row>
    <row r="33" spans="1:5">
      <c r="A33" s="171" t="s">
        <v>39</v>
      </c>
      <c r="B33" s="37">
        <f>IF( ISERROR(IND_textiel_ele_kWh/1000),0,IND_textiel_ele_kWh/1000)</f>
        <v>92.489000000000004</v>
      </c>
      <c r="C33" s="39">
        <f>IF(ISERROR(B33*3.6/1000000/'E Balans VL '!Z21*100),0,B33*3.6/1000000/'E Balans VL '!Z21*100)</f>
        <v>1.2059537532415661E-2</v>
      </c>
      <c r="D33" s="237" t="s">
        <v>744</v>
      </c>
    </row>
    <row r="34" spans="1:5">
      <c r="A34" s="171" t="s">
        <v>36</v>
      </c>
      <c r="B34" s="37">
        <f>IF( ISERROR(IND_min_ele_kWh/1000),0,IND_min_ele_kWh/1000)</f>
        <v>289.90371500000003</v>
      </c>
      <c r="C34" s="39">
        <f>IF(ISERROR(B34*3.6/1000000/'E Balans VL '!Z22*100),0,B34*3.6/1000000/'E Balans VL '!Z22*100)</f>
        <v>5.2144633436761276E-2</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5.0000000000000001E-3</v>
      </c>
      <c r="C37" s="39">
        <f>IF(ISERROR(B37*3.6/1000000/'E Balans VL '!Z15*100),0,B37*3.6/1000000/'E Balans VL '!Z15*100)</f>
        <v>3.9631140583999099E-8</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1768.23161</v>
      </c>
      <c r="C5" s="17">
        <f>'Eigen informatie GS &amp; warmtenet'!B60</f>
        <v>0</v>
      </c>
      <c r="D5" s="30">
        <f>IF(ISERROR(SUM(LB_lb_gas_kWh,LB_rest_gas_kWh)/1000),0,SUM(LB_lb_gas_kWh,LB_rest_gas_kWh)/1000)*0.902</f>
        <v>188.610004</v>
      </c>
      <c r="E5" s="17">
        <f>B17*'E Balans VL '!I25/3.6*1000000/100</f>
        <v>51.973727820605681</v>
      </c>
      <c r="F5" s="17">
        <f>B17*('E Balans VL '!L25/3.6*1000000+'E Balans VL '!N25/3.6*1000000)/100</f>
        <v>7366.3573370390041</v>
      </c>
      <c r="G5" s="18"/>
      <c r="H5" s="17"/>
      <c r="I5" s="17"/>
      <c r="J5" s="17">
        <f>('E Balans VL '!D25+'E Balans VL '!E25)/3.6*1000000*landbouw!B17/100</f>
        <v>256.17878708050023</v>
      </c>
      <c r="K5" s="17"/>
      <c r="L5" s="17">
        <f>L6*(-1)</f>
        <v>0</v>
      </c>
      <c r="M5" s="17"/>
      <c r="N5" s="17">
        <f>N6*(-1)</f>
        <v>0</v>
      </c>
      <c r="O5" s="17"/>
      <c r="P5" s="17"/>
      <c r="R5" s="32"/>
    </row>
    <row r="6" spans="1:18">
      <c r="A6" s="16" t="s">
        <v>487</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1768.23161</v>
      </c>
      <c r="C8" s="21">
        <f>C5+C6</f>
        <v>0</v>
      </c>
      <c r="D8" s="21">
        <f>MAX((D5+D6),0)</f>
        <v>188.610004</v>
      </c>
      <c r="E8" s="21">
        <f>MAX((E5+E6),0)</f>
        <v>51.973727820605681</v>
      </c>
      <c r="F8" s="21">
        <f>MAX((F5+F6),0)</f>
        <v>7366.3573370390041</v>
      </c>
      <c r="G8" s="21"/>
      <c r="H8" s="21"/>
      <c r="I8" s="21"/>
      <c r="J8" s="21">
        <f>MAX((J5+J6),0)</f>
        <v>256.17878708050023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0.19668329327908723</v>
      </c>
      <c r="C10" s="31">
        <f ca="1">'EF ele_warmte'!B22</f>
        <v>8.0807346122374769E-3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347.78161633498263</v>
      </c>
      <c r="C12" s="23">
        <f ca="1">C8*C10</f>
        <v>0</v>
      </c>
      <c r="D12" s="23">
        <f>D8*D10</f>
        <v>38.099220808000005</v>
      </c>
      <c r="E12" s="23">
        <f>E8*E10</f>
        <v>11.79803621527749</v>
      </c>
      <c r="F12" s="23">
        <f>F8*F10</f>
        <v>1966.8174089894142</v>
      </c>
      <c r="G12" s="23"/>
      <c r="H12" s="23"/>
      <c r="I12" s="23"/>
      <c r="J12" s="23">
        <f>J8*J10</f>
        <v>90.687290626497074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0.25091761311649008</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176.21246600499137</v>
      </c>
      <c r="C26" s="247">
        <f>B26*'GWP N2O_CH4'!B5</f>
        <v>3700.4617861048187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36.006568620892288</v>
      </c>
      <c r="C27" s="247">
        <f>B27*'GWP N2O_CH4'!B5</f>
        <v>756.13794103873806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2.2808163809323641</v>
      </c>
      <c r="C28" s="247">
        <f>B28*'GWP N2O_CH4'!B4</f>
        <v>707.05307808903285</v>
      </c>
      <c r="D28" s="50"/>
    </row>
    <row r="29" spans="1:4">
      <c r="A29" s="41" t="s">
        <v>276</v>
      </c>
      <c r="B29" s="247">
        <f>B34*'ha_N2O bodem landbouw'!B4</f>
        <v>9.2436759646122511</v>
      </c>
      <c r="C29" s="247">
        <f>B29*'GWP N2O_CH4'!B4</f>
        <v>2865.5395490297979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2.1093750000000001E-3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9.9421536459224003E-5</v>
      </c>
      <c r="C5" s="437" t="s">
        <v>210</v>
      </c>
      <c r="D5" s="422">
        <f>SUM(D6:D11)</f>
        <v>2.7530885625509806E-4</v>
      </c>
      <c r="E5" s="422">
        <f>SUM(E6:E11)</f>
        <v>4.665162739195158E-4</v>
      </c>
      <c r="F5" s="435" t="s">
        <v>210</v>
      </c>
      <c r="G5" s="422">
        <f>SUM(G6:G11)</f>
        <v>0.20327056022177936</v>
      </c>
      <c r="H5" s="422">
        <f>SUM(H6:H11)</f>
        <v>4.6512545524861115E-2</v>
      </c>
      <c r="I5" s="437" t="s">
        <v>210</v>
      </c>
      <c r="J5" s="437" t="s">
        <v>210</v>
      </c>
      <c r="K5" s="437" t="s">
        <v>210</v>
      </c>
      <c r="L5" s="437" t="s">
        <v>210</v>
      </c>
      <c r="M5" s="422">
        <f>SUM(M6:M11)</f>
        <v>1.3245519727836911E-2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8.2515619471888206E-5</v>
      </c>
      <c r="C6" s="423"/>
      <c r="D6" s="865">
        <f>vkm_GW_PW*SUMIFS(TableVerdeelsleutelVkm[CNG],TableVerdeelsleutelVkm[Voertuigtype],"Lichte voertuigen")*SUMIFS(TableECFTransport[EnergieConsumptieFactor (PJ per km)],TableECFTransport[Index],CONCATENATE($A6,"_CNG_CNG"))</f>
        <v>2.0449385276420041E-4</v>
      </c>
      <c r="E6" s="865">
        <f>vkm_GW_PW*SUMIFS(TableVerdeelsleutelVkm[LPG],TableVerdeelsleutelVkm[Voertuigtype],"Lichte voertuigen")*SUMIFS(TableECFTransport[EnergieConsumptieFactor (PJ per km)],TableECFTransport[Index],CONCATENATE($A6,"_LPG_LPG"))</f>
        <v>3.5106488025582201E-4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0.10757137745987103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3.4744359841394672E-2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7.3078094755307833E-3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5.9887221514908245E-2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1.0018042825323811E-6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3.4989442153408644E-3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1.69059169873358E-5</v>
      </c>
      <c r="C8" s="423"/>
      <c r="D8" s="425">
        <f>vkm_NGW_PW*SUMIFS(TableVerdeelsleutelVkm[CNG],TableVerdeelsleutelVkm[Voertuigtype],"Lichte voertuigen")*SUMIFS(TableECFTransport[EnergieConsumptieFactor (PJ per km)],TableECFTransport[Index],CONCATENATE($A8,"_CNG_CNG"))</f>
        <v>7.0815003490897654E-5</v>
      </c>
      <c r="E8" s="425">
        <f>vkm_NGW_PW*SUMIFS(TableVerdeelsleutelVkm[LPG],TableVerdeelsleutelVkm[Voertuigtype],"Lichte voertuigen")*SUMIFS(TableECFTransport[EnergieConsumptieFactor (PJ per km)],TableECFTransport[Index],CONCATENATE($A8,"_LPG_LPG"))</f>
        <v>1.1545139366369377E-4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3.3275831775475037E-2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1.1767131617311443E-2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2.2905909728369702E-3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2.5361294715250293E-3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5.2261872465592869E-8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1.4817506412829538E-4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27.617093460895557</v>
      </c>
      <c r="C14" s="21"/>
      <c r="D14" s="21">
        <f t="shared" ref="D14:M14" si="0">((D5)*10^9/3600)+D12</f>
        <v>76.474682293082793</v>
      </c>
      <c r="E14" s="21">
        <f t="shared" si="0"/>
        <v>129.58785386653216</v>
      </c>
      <c r="F14" s="21"/>
      <c r="G14" s="21">
        <f t="shared" si="0"/>
        <v>56464.044506049824</v>
      </c>
      <c r="H14" s="21">
        <f t="shared" si="0"/>
        <v>12920.151534683642</v>
      </c>
      <c r="I14" s="21"/>
      <c r="J14" s="21"/>
      <c r="K14" s="21"/>
      <c r="L14" s="21"/>
      <c r="M14" s="21">
        <f t="shared" si="0"/>
        <v>3679.3110355102531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0.19668329327908723</v>
      </c>
      <c r="C16" s="56">
        <f ca="1">'EF ele_warmte'!B22</f>
        <v>8.0807346122374769E-3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5.4318208926852831</v>
      </c>
      <c r="C18" s="23"/>
      <c r="D18" s="23">
        <f t="shared" ref="D18:M18" si="1">D14*D16</f>
        <v>15.447885823202725</v>
      </c>
      <c r="E18" s="23">
        <f t="shared" si="1"/>
        <v>29.416442827702802</v>
      </c>
      <c r="F18" s="23"/>
      <c r="G18" s="23">
        <f t="shared" si="1"/>
        <v>15075.899883115304</v>
      </c>
      <c r="H18" s="23">
        <f t="shared" si="1"/>
        <v>3217.117732136227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2.5509594863174054E-3</v>
      </c>
      <c r="H50" s="319">
        <f t="shared" si="2"/>
        <v>0</v>
      </c>
      <c r="I50" s="319">
        <f t="shared" si="2"/>
        <v>0</v>
      </c>
      <c r="J50" s="319">
        <f t="shared" si="2"/>
        <v>0</v>
      </c>
      <c r="K50" s="319">
        <f t="shared" si="2"/>
        <v>0</v>
      </c>
      <c r="L50" s="319">
        <f t="shared" si="2"/>
        <v>0</v>
      </c>
      <c r="M50" s="319">
        <f t="shared" si="2"/>
        <v>1.4487229306138892E-4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2.5509594863174054E-3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1.4487229306138892E-4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708.59985731039046</v>
      </c>
      <c r="H54" s="21">
        <f t="shared" si="3"/>
        <v>0</v>
      </c>
      <c r="I54" s="21">
        <f t="shared" si="3"/>
        <v>0</v>
      </c>
      <c r="J54" s="21">
        <f t="shared" si="3"/>
        <v>0</v>
      </c>
      <c r="K54" s="21">
        <f t="shared" si="3"/>
        <v>0</v>
      </c>
      <c r="L54" s="21">
        <f t="shared" si="3"/>
        <v>0</v>
      </c>
      <c r="M54" s="21">
        <f t="shared" si="3"/>
        <v>40.24230362816359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0.19668329327908723</v>
      </c>
      <c r="C56" s="56">
        <f ca="1">'EF ele_warmte'!B22</f>
        <v>8.0807346122374769E-3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189.19616190187426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10363.469206000002</v>
      </c>
      <c r="D10" s="979">
        <f ca="1">tertiair!C16</f>
        <v>56.571428571428577</v>
      </c>
      <c r="E10" s="979">
        <f ca="1">tertiair!D16</f>
        <v>9525.6428153731431</v>
      </c>
      <c r="F10" s="979">
        <f>tertiair!E16</f>
        <v>141.3367242480191</v>
      </c>
      <c r="G10" s="979">
        <f ca="1">tertiair!F16</f>
        <v>1772.1508900537729</v>
      </c>
      <c r="H10" s="979">
        <f>tertiair!G16</f>
        <v>0</v>
      </c>
      <c r="I10" s="979">
        <f>tertiair!H16</f>
        <v>0</v>
      </c>
      <c r="J10" s="979">
        <f>tertiair!I16</f>
        <v>0</v>
      </c>
      <c r="K10" s="979">
        <f>tertiair!J16</f>
        <v>3.7898016998407551E-2</v>
      </c>
      <c r="L10" s="979">
        <f>tertiair!K16</f>
        <v>0</v>
      </c>
      <c r="M10" s="979">
        <f ca="1">tertiair!L16</f>
        <v>0</v>
      </c>
      <c r="N10" s="979">
        <f>tertiair!M16</f>
        <v>0</v>
      </c>
      <c r="O10" s="979">
        <f ca="1">tertiair!N16</f>
        <v>1501.6931146405107</v>
      </c>
      <c r="P10" s="979">
        <f>tertiair!O16</f>
        <v>3.1266666666666669</v>
      </c>
      <c r="Q10" s="980">
        <f>tertiair!P16</f>
        <v>38.133333333333333</v>
      </c>
      <c r="R10" s="674">
        <f ca="1">SUM(C10:Q10)</f>
        <v>23402.162076903882</v>
      </c>
      <c r="S10" s="67"/>
    </row>
    <row r="11" spans="1:19" s="447" customFormat="1">
      <c r="A11" s="783" t="s">
        <v>224</v>
      </c>
      <c r="B11" s="788"/>
      <c r="C11" s="979">
        <f>huishoudens!B8</f>
        <v>20221.139267681701</v>
      </c>
      <c r="D11" s="979">
        <f>huishoudens!C8</f>
        <v>0</v>
      </c>
      <c r="E11" s="979">
        <f>huishoudens!D8</f>
        <v>28106.4696869</v>
      </c>
      <c r="F11" s="979">
        <f>huishoudens!E8</f>
        <v>3635.491478400982</v>
      </c>
      <c r="G11" s="979">
        <f>huishoudens!F8</f>
        <v>40707.375788896963</v>
      </c>
      <c r="H11" s="979">
        <f>huishoudens!G8</f>
        <v>0</v>
      </c>
      <c r="I11" s="979">
        <f>huishoudens!H8</f>
        <v>0</v>
      </c>
      <c r="J11" s="979">
        <f>huishoudens!I8</f>
        <v>0</v>
      </c>
      <c r="K11" s="979">
        <f>huishoudens!J8</f>
        <v>0</v>
      </c>
      <c r="L11" s="979">
        <f>huishoudens!K8</f>
        <v>0</v>
      </c>
      <c r="M11" s="979">
        <f>huishoudens!L8</f>
        <v>0</v>
      </c>
      <c r="N11" s="979">
        <f>huishoudens!M8</f>
        <v>0</v>
      </c>
      <c r="O11" s="979">
        <f>huishoudens!N8</f>
        <v>8060.7083273691896</v>
      </c>
      <c r="P11" s="979">
        <f>huishoudens!O8</f>
        <v>323.61000000000007</v>
      </c>
      <c r="Q11" s="980">
        <f>huishoudens!P8</f>
        <v>972.4</v>
      </c>
      <c r="R11" s="674">
        <f>SUM(C11:Q11)</f>
        <v>102027.19454924883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41151.796907999997</v>
      </c>
      <c r="D13" s="979">
        <f>industrie!C18</f>
        <v>1607.1428571428571</v>
      </c>
      <c r="E13" s="979">
        <f>industrie!D18</f>
        <v>42418.000468316</v>
      </c>
      <c r="F13" s="979">
        <f>industrie!E18</f>
        <v>8349.3626741577609</v>
      </c>
      <c r="G13" s="979">
        <f>industrie!F18</f>
        <v>23687.109605402264</v>
      </c>
      <c r="H13" s="979">
        <f>industrie!G18</f>
        <v>0</v>
      </c>
      <c r="I13" s="979">
        <f>industrie!H18</f>
        <v>0</v>
      </c>
      <c r="J13" s="979">
        <f>industrie!I18</f>
        <v>0</v>
      </c>
      <c r="K13" s="979">
        <f>industrie!J18</f>
        <v>0.47641706483133051</v>
      </c>
      <c r="L13" s="979">
        <f>industrie!K18</f>
        <v>0</v>
      </c>
      <c r="M13" s="979">
        <f>industrie!L18</f>
        <v>0</v>
      </c>
      <c r="N13" s="979">
        <f>industrie!M18</f>
        <v>0</v>
      </c>
      <c r="O13" s="979">
        <f>industrie!N18</f>
        <v>0</v>
      </c>
      <c r="P13" s="979">
        <f>industrie!O18</f>
        <v>0</v>
      </c>
      <c r="Q13" s="980">
        <f>industrie!P18</f>
        <v>0</v>
      </c>
      <c r="R13" s="674">
        <f>SUM(C13:Q13)</f>
        <v>117213.8889300837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71736.405381681703</v>
      </c>
      <c r="D16" s="706">
        <f t="shared" ref="D16:R16" ca="1" si="0">SUM(D9:D15)</f>
        <v>1663.7142857142858</v>
      </c>
      <c r="E16" s="706">
        <f t="shared" ca="1" si="0"/>
        <v>80050.112970589136</v>
      </c>
      <c r="F16" s="706">
        <f t="shared" si="0"/>
        <v>12126.190876806762</v>
      </c>
      <c r="G16" s="706">
        <f t="shared" ca="1" si="0"/>
        <v>66166.636284353008</v>
      </c>
      <c r="H16" s="706">
        <f t="shared" si="0"/>
        <v>0</v>
      </c>
      <c r="I16" s="706">
        <f t="shared" si="0"/>
        <v>0</v>
      </c>
      <c r="J16" s="706">
        <f t="shared" si="0"/>
        <v>0</v>
      </c>
      <c r="K16" s="706">
        <f t="shared" si="0"/>
        <v>0.51431508182973806</v>
      </c>
      <c r="L16" s="706">
        <f t="shared" si="0"/>
        <v>0</v>
      </c>
      <c r="M16" s="706">
        <f t="shared" ca="1" si="0"/>
        <v>0</v>
      </c>
      <c r="N16" s="706">
        <f t="shared" si="0"/>
        <v>0</v>
      </c>
      <c r="O16" s="706">
        <f t="shared" ca="1" si="0"/>
        <v>9562.401442009701</v>
      </c>
      <c r="P16" s="706">
        <f t="shared" si="0"/>
        <v>326.73666666666674</v>
      </c>
      <c r="Q16" s="706">
        <f t="shared" si="0"/>
        <v>1010.5333333333333</v>
      </c>
      <c r="R16" s="706">
        <f t="shared" ca="1" si="0"/>
        <v>242643.24555623642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708.59985731039046</v>
      </c>
      <c r="I19" s="979">
        <f>transport!H54</f>
        <v>0</v>
      </c>
      <c r="J19" s="979">
        <f>transport!I54</f>
        <v>0</v>
      </c>
      <c r="K19" s="979">
        <f>transport!J54</f>
        <v>0</v>
      </c>
      <c r="L19" s="979">
        <f>transport!K54</f>
        <v>0</v>
      </c>
      <c r="M19" s="979">
        <f>transport!L54</f>
        <v>0</v>
      </c>
      <c r="N19" s="979">
        <f>transport!M54</f>
        <v>40.24230362816359</v>
      </c>
      <c r="O19" s="979">
        <f>transport!N54</f>
        <v>0</v>
      </c>
      <c r="P19" s="979">
        <f>transport!O54</f>
        <v>0</v>
      </c>
      <c r="Q19" s="980">
        <f>transport!P54</f>
        <v>0</v>
      </c>
      <c r="R19" s="674">
        <f>SUM(C19:Q19)</f>
        <v>748.842160938554</v>
      </c>
      <c r="S19" s="67"/>
    </row>
    <row r="20" spans="1:19" s="447" customFormat="1">
      <c r="A20" s="783" t="s">
        <v>306</v>
      </c>
      <c r="B20" s="788"/>
      <c r="C20" s="979">
        <f>transport!B14</f>
        <v>27.617093460895557</v>
      </c>
      <c r="D20" s="979">
        <f>transport!C14</f>
        <v>0</v>
      </c>
      <c r="E20" s="979">
        <f>transport!D14</f>
        <v>76.474682293082793</v>
      </c>
      <c r="F20" s="979">
        <f>transport!E14</f>
        <v>129.58785386653216</v>
      </c>
      <c r="G20" s="979">
        <f>transport!F14</f>
        <v>0</v>
      </c>
      <c r="H20" s="979">
        <f>transport!G14</f>
        <v>56464.044506049824</v>
      </c>
      <c r="I20" s="979">
        <f>transport!H14</f>
        <v>12920.151534683642</v>
      </c>
      <c r="J20" s="979">
        <f>transport!I14</f>
        <v>0</v>
      </c>
      <c r="K20" s="979">
        <f>transport!J14</f>
        <v>0</v>
      </c>
      <c r="L20" s="979">
        <f>transport!K14</f>
        <v>0</v>
      </c>
      <c r="M20" s="979">
        <f>transport!L14</f>
        <v>0</v>
      </c>
      <c r="N20" s="979">
        <f>transport!M14</f>
        <v>3679.3110355102531</v>
      </c>
      <c r="O20" s="979">
        <f>transport!N14</f>
        <v>0</v>
      </c>
      <c r="P20" s="979">
        <f>transport!O14</f>
        <v>0</v>
      </c>
      <c r="Q20" s="980">
        <f>transport!P14</f>
        <v>0</v>
      </c>
      <c r="R20" s="674">
        <f>SUM(C20:Q20)</f>
        <v>73297.186705864238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27.617093460895557</v>
      </c>
      <c r="D22" s="786">
        <f t="shared" ref="D22:R22" si="1">SUM(D18:D21)</f>
        <v>0</v>
      </c>
      <c r="E22" s="786">
        <f t="shared" si="1"/>
        <v>76.474682293082793</v>
      </c>
      <c r="F22" s="786">
        <f t="shared" si="1"/>
        <v>129.58785386653216</v>
      </c>
      <c r="G22" s="786">
        <f t="shared" si="1"/>
        <v>0</v>
      </c>
      <c r="H22" s="786">
        <f t="shared" si="1"/>
        <v>57172.644363360218</v>
      </c>
      <c r="I22" s="786">
        <f t="shared" si="1"/>
        <v>12920.151534683642</v>
      </c>
      <c r="J22" s="786">
        <f t="shared" si="1"/>
        <v>0</v>
      </c>
      <c r="K22" s="786">
        <f t="shared" si="1"/>
        <v>0</v>
      </c>
      <c r="L22" s="786">
        <f t="shared" si="1"/>
        <v>0</v>
      </c>
      <c r="M22" s="786">
        <f t="shared" si="1"/>
        <v>0</v>
      </c>
      <c r="N22" s="786">
        <f t="shared" si="1"/>
        <v>3719.5533391384165</v>
      </c>
      <c r="O22" s="786">
        <f t="shared" si="1"/>
        <v>0</v>
      </c>
      <c r="P22" s="786">
        <f t="shared" si="1"/>
        <v>0</v>
      </c>
      <c r="Q22" s="786">
        <f t="shared" si="1"/>
        <v>0</v>
      </c>
      <c r="R22" s="786">
        <f t="shared" si="1"/>
        <v>74046.028866802793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1768.23161</v>
      </c>
      <c r="D24" s="979">
        <f>+landbouw!C8</f>
        <v>0</v>
      </c>
      <c r="E24" s="979">
        <f>+landbouw!D8</f>
        <v>188.610004</v>
      </c>
      <c r="F24" s="979">
        <f>+landbouw!E8</f>
        <v>51.973727820605681</v>
      </c>
      <c r="G24" s="979">
        <f>+landbouw!F8</f>
        <v>7366.3573370390041</v>
      </c>
      <c r="H24" s="979">
        <f>+landbouw!G8</f>
        <v>0</v>
      </c>
      <c r="I24" s="979">
        <f>+landbouw!H8</f>
        <v>0</v>
      </c>
      <c r="J24" s="979">
        <f>+landbouw!I8</f>
        <v>0</v>
      </c>
      <c r="K24" s="979">
        <f>+landbouw!J8</f>
        <v>256.17878708050023</v>
      </c>
      <c r="L24" s="979">
        <f>+landbouw!K8</f>
        <v>0</v>
      </c>
      <c r="M24" s="979">
        <f>+landbouw!L8</f>
        <v>0</v>
      </c>
      <c r="N24" s="979">
        <f>+landbouw!M8</f>
        <v>0</v>
      </c>
      <c r="O24" s="979">
        <f>+landbouw!N8</f>
        <v>0</v>
      </c>
      <c r="P24" s="979">
        <f>+landbouw!O8</f>
        <v>0</v>
      </c>
      <c r="Q24" s="980">
        <f>+landbouw!P8</f>
        <v>0</v>
      </c>
      <c r="R24" s="674">
        <f>SUM(C24:Q24)</f>
        <v>9631.3514659401098</v>
      </c>
      <c r="S24" s="67"/>
    </row>
    <row r="25" spans="1:19" s="447" customFormat="1" ht="15" thickBot="1">
      <c r="A25" s="805" t="s">
        <v>823</v>
      </c>
      <c r="B25" s="982"/>
      <c r="C25" s="983">
        <f>IF(Onbekend_ele_kWh="---",0,Onbekend_ele_kWh)/1000+IF(REST_rest_ele_kWh="---",0,REST_rest_ele_kWh)/1000</f>
        <v>342.0951</v>
      </c>
      <c r="D25" s="983"/>
      <c r="E25" s="983">
        <f>IF(onbekend_gas_kWh="---",0,onbekend_gas_kWh)/1000+IF(REST_rest_gas_kWh="---",0,REST_rest_gas_kWh)/1000</f>
        <v>627.45819999999992</v>
      </c>
      <c r="F25" s="983"/>
      <c r="G25" s="983"/>
      <c r="H25" s="983"/>
      <c r="I25" s="983"/>
      <c r="J25" s="983"/>
      <c r="K25" s="983"/>
      <c r="L25" s="983"/>
      <c r="M25" s="983"/>
      <c r="N25" s="983"/>
      <c r="O25" s="983"/>
      <c r="P25" s="983"/>
      <c r="Q25" s="984"/>
      <c r="R25" s="674">
        <f>SUM(C25:Q25)</f>
        <v>969.55329999999992</v>
      </c>
      <c r="S25" s="67"/>
    </row>
    <row r="26" spans="1:19" s="447" customFormat="1" ht="15.75" thickBot="1">
      <c r="A26" s="679" t="s">
        <v>824</v>
      </c>
      <c r="B26" s="791"/>
      <c r="C26" s="786">
        <f>SUM(C24:C25)</f>
        <v>2110.3267100000003</v>
      </c>
      <c r="D26" s="786">
        <f t="shared" ref="D26:R26" si="2">SUM(D24:D25)</f>
        <v>0</v>
      </c>
      <c r="E26" s="786">
        <f t="shared" si="2"/>
        <v>816.06820399999992</v>
      </c>
      <c r="F26" s="786">
        <f t="shared" si="2"/>
        <v>51.973727820605681</v>
      </c>
      <c r="G26" s="786">
        <f t="shared" si="2"/>
        <v>7366.3573370390041</v>
      </c>
      <c r="H26" s="786">
        <f t="shared" si="2"/>
        <v>0</v>
      </c>
      <c r="I26" s="786">
        <f t="shared" si="2"/>
        <v>0</v>
      </c>
      <c r="J26" s="786">
        <f t="shared" si="2"/>
        <v>0</v>
      </c>
      <c r="K26" s="786">
        <f t="shared" si="2"/>
        <v>256.17878708050023</v>
      </c>
      <c r="L26" s="786">
        <f t="shared" si="2"/>
        <v>0</v>
      </c>
      <c r="M26" s="786">
        <f t="shared" si="2"/>
        <v>0</v>
      </c>
      <c r="N26" s="786">
        <f t="shared" si="2"/>
        <v>0</v>
      </c>
      <c r="O26" s="786">
        <f t="shared" si="2"/>
        <v>0</v>
      </c>
      <c r="P26" s="786">
        <f t="shared" si="2"/>
        <v>0</v>
      </c>
      <c r="Q26" s="786">
        <f t="shared" si="2"/>
        <v>0</v>
      </c>
      <c r="R26" s="786">
        <f t="shared" si="2"/>
        <v>10600.904765940109</v>
      </c>
      <c r="S26" s="67"/>
    </row>
    <row r="27" spans="1:19" s="447" customFormat="1" ht="17.25" thickTop="1" thickBot="1">
      <c r="A27" s="680" t="s">
        <v>115</v>
      </c>
      <c r="B27" s="779"/>
      <c r="C27" s="681">
        <f ca="1">C22+C16+C26</f>
        <v>73874.349185142593</v>
      </c>
      <c r="D27" s="681">
        <f t="shared" ref="D27:R27" ca="1" si="3">D22+D16+D26</f>
        <v>1663.7142857142858</v>
      </c>
      <c r="E27" s="681">
        <f t="shared" ca="1" si="3"/>
        <v>80942.655856882207</v>
      </c>
      <c r="F27" s="681">
        <f t="shared" si="3"/>
        <v>12307.7524584939</v>
      </c>
      <c r="G27" s="681">
        <f t="shared" ca="1" si="3"/>
        <v>73532.993621392015</v>
      </c>
      <c r="H27" s="681">
        <f t="shared" si="3"/>
        <v>57172.644363360218</v>
      </c>
      <c r="I27" s="681">
        <f t="shared" si="3"/>
        <v>12920.151534683642</v>
      </c>
      <c r="J27" s="681">
        <f t="shared" si="3"/>
        <v>0</v>
      </c>
      <c r="K27" s="681">
        <f t="shared" si="3"/>
        <v>256.69310216232998</v>
      </c>
      <c r="L27" s="681">
        <f t="shared" si="3"/>
        <v>0</v>
      </c>
      <c r="M27" s="681">
        <f t="shared" ca="1" si="3"/>
        <v>0</v>
      </c>
      <c r="N27" s="681">
        <f t="shared" si="3"/>
        <v>3719.5533391384165</v>
      </c>
      <c r="O27" s="681">
        <f t="shared" ca="1" si="3"/>
        <v>9562.401442009701</v>
      </c>
      <c r="P27" s="681">
        <f t="shared" si="3"/>
        <v>326.73666666666674</v>
      </c>
      <c r="Q27" s="681">
        <f t="shared" si="3"/>
        <v>1010.5333333333333</v>
      </c>
      <c r="R27" s="681">
        <f t="shared" ca="1" si="3"/>
        <v>327290.17918897932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2038.3212532324876</v>
      </c>
      <c r="D40" s="979">
        <f ca="1">tertiair!C20</f>
        <v>0.45713870092086301</v>
      </c>
      <c r="E40" s="979">
        <f ca="1">tertiair!D20</f>
        <v>1924.179848705375</v>
      </c>
      <c r="F40" s="979">
        <f>tertiair!E20</f>
        <v>32.083436404300336</v>
      </c>
      <c r="G40" s="979">
        <f ca="1">tertiair!F20</f>
        <v>473.16428764435739</v>
      </c>
      <c r="H40" s="979">
        <f>tertiair!G20</f>
        <v>0</v>
      </c>
      <c r="I40" s="979">
        <f>tertiair!H20</f>
        <v>0</v>
      </c>
      <c r="J40" s="979">
        <f>tertiair!I20</f>
        <v>0</v>
      </c>
      <c r="K40" s="979">
        <f>tertiair!J20</f>
        <v>1.3415898017436272E-2</v>
      </c>
      <c r="L40" s="979">
        <f>tertiair!K20</f>
        <v>0</v>
      </c>
      <c r="M40" s="979">
        <f ca="1">tertiair!L20</f>
        <v>0</v>
      </c>
      <c r="N40" s="979">
        <f>tertiair!M20</f>
        <v>0</v>
      </c>
      <c r="O40" s="979">
        <f ca="1">tertiair!N20</f>
        <v>0</v>
      </c>
      <c r="P40" s="979">
        <f>tertiair!O20</f>
        <v>0</v>
      </c>
      <c r="Q40" s="748">
        <f>tertiair!P20</f>
        <v>0</v>
      </c>
      <c r="R40" s="824">
        <f t="shared" ca="1" si="4"/>
        <v>4468.2193805854586</v>
      </c>
    </row>
    <row r="41" spans="1:18">
      <c r="A41" s="796" t="s">
        <v>224</v>
      </c>
      <c r="B41" s="803"/>
      <c r="C41" s="979">
        <f ca="1">huishoudens!B12</f>
        <v>3977.1602650227073</v>
      </c>
      <c r="D41" s="979">
        <f ca="1">huishoudens!C12</f>
        <v>0</v>
      </c>
      <c r="E41" s="979">
        <f>huishoudens!D12</f>
        <v>5677.5068767538005</v>
      </c>
      <c r="F41" s="979">
        <f>huishoudens!E12</f>
        <v>825.25656559702293</v>
      </c>
      <c r="G41" s="979">
        <f>huishoudens!F12</f>
        <v>10868.869335635491</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21348.79304300902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8093.8709402175982</v>
      </c>
      <c r="D43" s="979">
        <f ca="1">industrie!C22</f>
        <v>12.986894912524516</v>
      </c>
      <c r="E43" s="979">
        <f>industrie!D22</f>
        <v>8568.4360945998324</v>
      </c>
      <c r="F43" s="979">
        <f>industrie!E22</f>
        <v>1895.3053270338119</v>
      </c>
      <c r="G43" s="979">
        <f>industrie!F22</f>
        <v>6324.4582646424051</v>
      </c>
      <c r="H43" s="979">
        <f>industrie!G22</f>
        <v>0</v>
      </c>
      <c r="I43" s="979">
        <f>industrie!H22</f>
        <v>0</v>
      </c>
      <c r="J43" s="979">
        <f>industrie!I22</f>
        <v>0</v>
      </c>
      <c r="K43" s="979">
        <f>industrie!J22</f>
        <v>0.16865164095029098</v>
      </c>
      <c r="L43" s="979">
        <f>industrie!K22</f>
        <v>0</v>
      </c>
      <c r="M43" s="979">
        <f>industrie!L22</f>
        <v>0</v>
      </c>
      <c r="N43" s="979">
        <f>industrie!M22</f>
        <v>0</v>
      </c>
      <c r="O43" s="979">
        <f>industrie!N22</f>
        <v>0</v>
      </c>
      <c r="P43" s="979">
        <f>industrie!O22</f>
        <v>0</v>
      </c>
      <c r="Q43" s="748">
        <f>industrie!P22</f>
        <v>0</v>
      </c>
      <c r="R43" s="823">
        <f t="shared" ca="1" si="4"/>
        <v>24895.226173047125</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14109.352458472793</v>
      </c>
      <c r="D46" s="706">
        <f t="shared" ref="D46:Q46" ca="1" si="5">SUM(D39:D45)</f>
        <v>13.444033613445379</v>
      </c>
      <c r="E46" s="706">
        <f t="shared" ca="1" si="5"/>
        <v>16170.122820059009</v>
      </c>
      <c r="F46" s="706">
        <f t="shared" si="5"/>
        <v>2752.6453290351351</v>
      </c>
      <c r="G46" s="706">
        <f t="shared" ca="1" si="5"/>
        <v>17666.491887922253</v>
      </c>
      <c r="H46" s="706">
        <f t="shared" si="5"/>
        <v>0</v>
      </c>
      <c r="I46" s="706">
        <f t="shared" si="5"/>
        <v>0</v>
      </c>
      <c r="J46" s="706">
        <f t="shared" si="5"/>
        <v>0</v>
      </c>
      <c r="K46" s="706">
        <f t="shared" si="5"/>
        <v>0.18206753896772726</v>
      </c>
      <c r="L46" s="706">
        <f t="shared" si="5"/>
        <v>0</v>
      </c>
      <c r="M46" s="706">
        <f t="shared" ca="1" si="5"/>
        <v>0</v>
      </c>
      <c r="N46" s="706">
        <f t="shared" si="5"/>
        <v>0</v>
      </c>
      <c r="O46" s="706">
        <f t="shared" ca="1" si="5"/>
        <v>0</v>
      </c>
      <c r="P46" s="706">
        <f t="shared" si="5"/>
        <v>0</v>
      </c>
      <c r="Q46" s="706">
        <f t="shared" si="5"/>
        <v>0</v>
      </c>
      <c r="R46" s="706">
        <f ca="1">SUM(R39:R45)</f>
        <v>50712.238596641604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189.19616190187426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189.19616190187426</v>
      </c>
    </row>
    <row r="50" spans="1:18">
      <c r="A50" s="799" t="s">
        <v>306</v>
      </c>
      <c r="B50" s="809"/>
      <c r="C50" s="677">
        <f ca="1">transport!B18</f>
        <v>5.4318208926852831</v>
      </c>
      <c r="D50" s="677">
        <f>transport!C18</f>
        <v>0</v>
      </c>
      <c r="E50" s="677">
        <f>transport!D18</f>
        <v>15.447885823202725</v>
      </c>
      <c r="F50" s="677">
        <f>transport!E18</f>
        <v>29.416442827702802</v>
      </c>
      <c r="G50" s="677">
        <f>transport!F18</f>
        <v>0</v>
      </c>
      <c r="H50" s="677">
        <f>transport!G18</f>
        <v>15075.899883115304</v>
      </c>
      <c r="I50" s="677">
        <f>transport!H18</f>
        <v>3217.117732136227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18343.313764795123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5.4318208926852831</v>
      </c>
      <c r="D52" s="706">
        <f t="shared" ref="D52:Q52" ca="1" si="6">SUM(D48:D51)</f>
        <v>0</v>
      </c>
      <c r="E52" s="706">
        <f t="shared" si="6"/>
        <v>15.447885823202725</v>
      </c>
      <c r="F52" s="706">
        <f t="shared" si="6"/>
        <v>29.416442827702802</v>
      </c>
      <c r="G52" s="706">
        <f t="shared" si="6"/>
        <v>0</v>
      </c>
      <c r="H52" s="706">
        <f t="shared" si="6"/>
        <v>15265.096045017179</v>
      </c>
      <c r="I52" s="706">
        <f t="shared" si="6"/>
        <v>3217.117732136227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18532.509926696996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347.78161633498263</v>
      </c>
      <c r="D54" s="677">
        <f ca="1">+landbouw!C12</f>
        <v>0</v>
      </c>
      <c r="E54" s="677">
        <f>+landbouw!D12</f>
        <v>38.099220808000005</v>
      </c>
      <c r="F54" s="677">
        <f>+landbouw!E12</f>
        <v>11.79803621527749</v>
      </c>
      <c r="G54" s="677">
        <f>+landbouw!F12</f>
        <v>1966.8174089894142</v>
      </c>
      <c r="H54" s="677">
        <f>+landbouw!G12</f>
        <v>0</v>
      </c>
      <c r="I54" s="677">
        <f>+landbouw!H12</f>
        <v>0</v>
      </c>
      <c r="J54" s="677">
        <f>+landbouw!I12</f>
        <v>0</v>
      </c>
      <c r="K54" s="677">
        <f>+landbouw!J12</f>
        <v>90.687290626497074</v>
      </c>
      <c r="L54" s="677">
        <f>+landbouw!K12</f>
        <v>0</v>
      </c>
      <c r="M54" s="677">
        <f>+landbouw!L12</f>
        <v>0</v>
      </c>
      <c r="N54" s="677">
        <f>+landbouw!M12</f>
        <v>0</v>
      </c>
      <c r="O54" s="677">
        <f>+landbouw!N12</f>
        <v>0</v>
      </c>
      <c r="P54" s="677">
        <f>+landbouw!O12</f>
        <v>0</v>
      </c>
      <c r="Q54" s="678">
        <f>+landbouw!P12</f>
        <v>0</v>
      </c>
      <c r="R54" s="705">
        <f ca="1">SUM(C54:Q54)</f>
        <v>2455.1835729741715</v>
      </c>
    </row>
    <row r="55" spans="1:18" ht="15" thickBot="1">
      <c r="A55" s="799" t="s">
        <v>823</v>
      </c>
      <c r="B55" s="809"/>
      <c r="C55" s="677">
        <f ca="1">C25*'EF ele_warmte'!B12</f>
        <v>67.284390882638675</v>
      </c>
      <c r="D55" s="677"/>
      <c r="E55" s="677">
        <f>E25*EF_CO2_aardgas</f>
        <v>126.74655639999999</v>
      </c>
      <c r="F55" s="677"/>
      <c r="G55" s="677"/>
      <c r="H55" s="677"/>
      <c r="I55" s="677"/>
      <c r="J55" s="677"/>
      <c r="K55" s="677"/>
      <c r="L55" s="677"/>
      <c r="M55" s="677"/>
      <c r="N55" s="677"/>
      <c r="O55" s="677"/>
      <c r="P55" s="677"/>
      <c r="Q55" s="678"/>
      <c r="R55" s="705">
        <f ca="1">SUM(C55:Q55)</f>
        <v>194.03094728263866</v>
      </c>
    </row>
    <row r="56" spans="1:18" ht="15.75" thickBot="1">
      <c r="A56" s="797" t="s">
        <v>824</v>
      </c>
      <c r="B56" s="810"/>
      <c r="C56" s="706">
        <f ca="1">SUM(C54:C55)</f>
        <v>415.06600721762129</v>
      </c>
      <c r="D56" s="706">
        <f t="shared" ref="D56:Q56" ca="1" si="7">SUM(D54:D55)</f>
        <v>0</v>
      </c>
      <c r="E56" s="706">
        <f t="shared" si="7"/>
        <v>164.84577720799999</v>
      </c>
      <c r="F56" s="706">
        <f t="shared" si="7"/>
        <v>11.79803621527749</v>
      </c>
      <c r="G56" s="706">
        <f t="shared" si="7"/>
        <v>1966.8174089894142</v>
      </c>
      <c r="H56" s="706">
        <f t="shared" si="7"/>
        <v>0</v>
      </c>
      <c r="I56" s="706">
        <f t="shared" si="7"/>
        <v>0</v>
      </c>
      <c r="J56" s="706">
        <f t="shared" si="7"/>
        <v>0</v>
      </c>
      <c r="K56" s="706">
        <f t="shared" si="7"/>
        <v>90.687290626497074</v>
      </c>
      <c r="L56" s="706">
        <f t="shared" si="7"/>
        <v>0</v>
      </c>
      <c r="M56" s="706">
        <f t="shared" si="7"/>
        <v>0</v>
      </c>
      <c r="N56" s="706">
        <f t="shared" si="7"/>
        <v>0</v>
      </c>
      <c r="O56" s="706">
        <f t="shared" si="7"/>
        <v>0</v>
      </c>
      <c r="P56" s="706">
        <f t="shared" si="7"/>
        <v>0</v>
      </c>
      <c r="Q56" s="707">
        <f t="shared" si="7"/>
        <v>0</v>
      </c>
      <c r="R56" s="708">
        <f ca="1">SUM(R54:R55)</f>
        <v>2649.2145202568104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14529.8502865831</v>
      </c>
      <c r="D61" s="714">
        <f t="shared" ref="D61:Q61" ca="1" si="8">D46+D52+D56</f>
        <v>13.444033613445379</v>
      </c>
      <c r="E61" s="714">
        <f t="shared" ca="1" si="8"/>
        <v>16350.416483090212</v>
      </c>
      <c r="F61" s="714">
        <f t="shared" si="8"/>
        <v>2793.8598080781153</v>
      </c>
      <c r="G61" s="714">
        <f t="shared" ca="1" si="8"/>
        <v>19633.309296911666</v>
      </c>
      <c r="H61" s="714">
        <f t="shared" si="8"/>
        <v>15265.096045017179</v>
      </c>
      <c r="I61" s="714">
        <f t="shared" si="8"/>
        <v>3217.117732136227</v>
      </c>
      <c r="J61" s="714">
        <f t="shared" si="8"/>
        <v>0</v>
      </c>
      <c r="K61" s="714">
        <f t="shared" si="8"/>
        <v>90.869358165464803</v>
      </c>
      <c r="L61" s="714">
        <f t="shared" si="8"/>
        <v>0</v>
      </c>
      <c r="M61" s="714">
        <f t="shared" ca="1" si="8"/>
        <v>0</v>
      </c>
      <c r="N61" s="714">
        <f t="shared" si="8"/>
        <v>0</v>
      </c>
      <c r="O61" s="714">
        <f t="shared" ca="1" si="8"/>
        <v>0</v>
      </c>
      <c r="P61" s="714">
        <f t="shared" si="8"/>
        <v>0</v>
      </c>
      <c r="Q61" s="714">
        <f t="shared" si="8"/>
        <v>0</v>
      </c>
      <c r="R61" s="714">
        <f ca="1">R46+R52+R56</f>
        <v>71893.963043595402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0.19668329327908723</v>
      </c>
      <c r="D63" s="755">
        <f t="shared" ca="1" si="9"/>
        <v>8.0807346122374769E-3</v>
      </c>
      <c r="E63" s="990">
        <f t="shared" ca="1" si="9"/>
        <v>0.20200000000000007</v>
      </c>
      <c r="F63" s="755">
        <f t="shared" si="9"/>
        <v>0.22700000000000001</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7006.4031984743297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1125</v>
      </c>
      <c r="C76" s="724">
        <f>'lokale energieproductie'!B8*IFERROR(SUM(D76:H76)/SUM(D76:O76),0)</f>
        <v>39.599999999999994</v>
      </c>
      <c r="D76" s="1000">
        <f>'lokale energieproductie'!C8</f>
        <v>46.588235294117652</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1323.5294117647061</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9.4108235294117666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8131.4031984743297</v>
      </c>
      <c r="C78" s="729">
        <f>SUM(C72:C77)</f>
        <v>39.599999999999994</v>
      </c>
      <c r="D78" s="730">
        <f t="shared" ref="D78:H78" si="10">SUM(D76:D77)</f>
        <v>46.588235294117652</v>
      </c>
      <c r="E78" s="730">
        <f t="shared" si="10"/>
        <v>0</v>
      </c>
      <c r="F78" s="730">
        <f t="shared" si="10"/>
        <v>0</v>
      </c>
      <c r="G78" s="730">
        <f t="shared" si="10"/>
        <v>0</v>
      </c>
      <c r="H78" s="730">
        <f t="shared" si="10"/>
        <v>0</v>
      </c>
      <c r="I78" s="730">
        <f>SUM(I76:I77)</f>
        <v>0</v>
      </c>
      <c r="J78" s="730">
        <f>SUM(J76:J77)</f>
        <v>1323.5294117647061</v>
      </c>
      <c r="K78" s="730">
        <f t="shared" ref="K78:L78" si="11">SUM(K76:K77)</f>
        <v>0</v>
      </c>
      <c r="L78" s="730">
        <f t="shared" si="11"/>
        <v>0</v>
      </c>
      <c r="M78" s="730">
        <f>SUM(M76:M77)</f>
        <v>0</v>
      </c>
      <c r="N78" s="730">
        <f>SUM(N76:N77)</f>
        <v>0</v>
      </c>
      <c r="O78" s="834">
        <f>SUM(O76:O77)</f>
        <v>0</v>
      </c>
      <c r="P78" s="731">
        <v>0</v>
      </c>
      <c r="Q78" s="731">
        <f>SUM(Q76:Q77)</f>
        <v>9.4108235294117666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1607.1428571428571</v>
      </c>
      <c r="C87" s="740">
        <f>'lokale energieproductie'!B17*IFERROR(SUM(D87:H87)/SUM(D87:O87),0)</f>
        <v>56.571428571428577</v>
      </c>
      <c r="D87" s="751">
        <f>'lokale energieproductie'!C17</f>
        <v>66.554621848739501</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1890.7563025210086</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13.444033613445381</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1607.1428571428571</v>
      </c>
      <c r="C90" s="729">
        <f>SUM(C87:C89)</f>
        <v>56.571428571428577</v>
      </c>
      <c r="D90" s="729">
        <f t="shared" ref="D90:H90" si="12">SUM(D87:D89)</f>
        <v>66.554621848739501</v>
      </c>
      <c r="E90" s="729">
        <f t="shared" si="12"/>
        <v>0</v>
      </c>
      <c r="F90" s="729">
        <f t="shared" si="12"/>
        <v>0</v>
      </c>
      <c r="G90" s="729">
        <f t="shared" si="12"/>
        <v>0</v>
      </c>
      <c r="H90" s="729">
        <f t="shared" si="12"/>
        <v>0</v>
      </c>
      <c r="I90" s="729">
        <f>SUM(I87:I89)</f>
        <v>0</v>
      </c>
      <c r="J90" s="729">
        <f>SUM(J87:J89)</f>
        <v>1890.7563025210086</v>
      </c>
      <c r="K90" s="729">
        <f t="shared" ref="K90:L90" si="13">SUM(K87:K89)</f>
        <v>0</v>
      </c>
      <c r="L90" s="729">
        <f t="shared" si="13"/>
        <v>0</v>
      </c>
      <c r="M90" s="729">
        <f>SUM(M87:M89)</f>
        <v>0</v>
      </c>
      <c r="N90" s="729">
        <f>SUM(N87:N89)</f>
        <v>0</v>
      </c>
      <c r="O90" s="729">
        <f>SUM(O87:O89)</f>
        <v>0</v>
      </c>
      <c r="P90" s="729">
        <v>0</v>
      </c>
      <c r="Q90" s="729">
        <f>SUM(Q87:Q89)</f>
        <v>13.444033613445381</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7006.4031984743297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1164.5999999999999</v>
      </c>
      <c r="C8" s="544">
        <f>B49</f>
        <v>46.588235294117652</v>
      </c>
      <c r="D8" s="1010"/>
      <c r="E8" s="1010">
        <f>E49</f>
        <v>0</v>
      </c>
      <c r="F8" s="1011"/>
      <c r="G8" s="545"/>
      <c r="H8" s="1010">
        <f>I49</f>
        <v>0</v>
      </c>
      <c r="I8" s="1010">
        <f>G49+F49</f>
        <v>0</v>
      </c>
      <c r="J8" s="1010">
        <f>H49+D49+C49</f>
        <v>1323.5294117647061</v>
      </c>
      <c r="K8" s="1010"/>
      <c r="L8" s="1010"/>
      <c r="M8" s="1010"/>
      <c r="N8" s="546"/>
      <c r="O8" s="547">
        <f>C8*$C$12+D8*$D$12+E8*$E$12+F8*$F$12+G8*$G$12+H8*$H$12+I8*$I$12+J8*$J$12</f>
        <v>9.4108235294117666</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8171.0031984743291</v>
      </c>
      <c r="C10" s="557">
        <f t="shared" ref="C10:L10" si="0">SUM(C8:C9)</f>
        <v>46.588235294117652</v>
      </c>
      <c r="D10" s="557">
        <f t="shared" si="0"/>
        <v>0</v>
      </c>
      <c r="E10" s="557">
        <f t="shared" si="0"/>
        <v>0</v>
      </c>
      <c r="F10" s="557">
        <f t="shared" si="0"/>
        <v>0</v>
      </c>
      <c r="G10" s="557">
        <f t="shared" si="0"/>
        <v>0</v>
      </c>
      <c r="H10" s="557">
        <f t="shared" si="0"/>
        <v>0</v>
      </c>
      <c r="I10" s="557">
        <f t="shared" si="0"/>
        <v>0</v>
      </c>
      <c r="J10" s="557">
        <f t="shared" si="0"/>
        <v>1323.5294117647061</v>
      </c>
      <c r="K10" s="557">
        <f t="shared" si="0"/>
        <v>0</v>
      </c>
      <c r="L10" s="557">
        <f t="shared" si="0"/>
        <v>0</v>
      </c>
      <c r="M10" s="1013"/>
      <c r="N10" s="1013"/>
      <c r="O10" s="558">
        <f>SUM(O4:O9)</f>
        <v>9.4108235294117666</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1663.7142857142858</v>
      </c>
      <c r="C17" s="569">
        <f>B50</f>
        <v>66.554621848739501</v>
      </c>
      <c r="D17" s="570"/>
      <c r="E17" s="570">
        <f>E50</f>
        <v>0</v>
      </c>
      <c r="F17" s="1016"/>
      <c r="G17" s="571"/>
      <c r="H17" s="569">
        <f>I50</f>
        <v>0</v>
      </c>
      <c r="I17" s="570">
        <f>G50+F50</f>
        <v>0</v>
      </c>
      <c r="J17" s="570">
        <f>H50+D50+C50</f>
        <v>1890.7563025210086</v>
      </c>
      <c r="K17" s="570"/>
      <c r="L17" s="570"/>
      <c r="M17" s="570"/>
      <c r="N17" s="1017"/>
      <c r="O17" s="572">
        <f>C17*$C$22+E17*$E$22+H17*$H$22+I17*$I$22+J17*$J$22+D17*$D$22+F17*$F$22+G17*$G$22+K17*$K$22+L17*$L$22</f>
        <v>13.444033613445381</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1663.7142857142858</v>
      </c>
      <c r="C20" s="556">
        <f>SUM(C17:C19)</f>
        <v>66.554621848739501</v>
      </c>
      <c r="D20" s="556">
        <f t="shared" ref="D20:L20" si="1">SUM(D17:D19)</f>
        <v>0</v>
      </c>
      <c r="E20" s="556">
        <f t="shared" si="1"/>
        <v>0</v>
      </c>
      <c r="F20" s="556">
        <f t="shared" si="1"/>
        <v>0</v>
      </c>
      <c r="G20" s="556">
        <f t="shared" si="1"/>
        <v>0</v>
      </c>
      <c r="H20" s="556">
        <f t="shared" si="1"/>
        <v>0</v>
      </c>
      <c r="I20" s="556">
        <f t="shared" si="1"/>
        <v>0</v>
      </c>
      <c r="J20" s="556">
        <f t="shared" si="1"/>
        <v>1890.7563025210086</v>
      </c>
      <c r="K20" s="556">
        <f t="shared" si="1"/>
        <v>0</v>
      </c>
      <c r="L20" s="556">
        <f t="shared" si="1"/>
        <v>0</v>
      </c>
      <c r="M20" s="556"/>
      <c r="N20" s="556"/>
      <c r="O20" s="575">
        <f>SUM(O17:O19)</f>
        <v>13.444033613445381</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73001</v>
      </c>
      <c r="C28" s="770">
        <v>3570</v>
      </c>
      <c r="D28" s="627" t="s">
        <v>887</v>
      </c>
      <c r="E28" s="626" t="s">
        <v>888</v>
      </c>
      <c r="F28" s="626" t="s">
        <v>889</v>
      </c>
      <c r="G28" s="626" t="s">
        <v>890</v>
      </c>
      <c r="H28" s="626" t="s">
        <v>891</v>
      </c>
      <c r="I28" s="626" t="s">
        <v>892</v>
      </c>
      <c r="J28" s="769">
        <v>40284</v>
      </c>
      <c r="K28" s="769">
        <v>40284</v>
      </c>
      <c r="L28" s="626" t="s">
        <v>893</v>
      </c>
      <c r="M28" s="626">
        <v>250</v>
      </c>
      <c r="N28" s="626">
        <v>1125</v>
      </c>
      <c r="O28" s="626">
        <v>1607.1428571428571</v>
      </c>
      <c r="P28" s="626">
        <v>0</v>
      </c>
      <c r="Q28" s="626">
        <v>3214.2857142857147</v>
      </c>
      <c r="R28" s="626">
        <v>0</v>
      </c>
      <c r="S28" s="626">
        <v>0</v>
      </c>
      <c r="T28" s="626">
        <v>0</v>
      </c>
      <c r="U28" s="626">
        <v>0</v>
      </c>
      <c r="V28" s="626">
        <v>0</v>
      </c>
      <c r="W28" s="626">
        <v>0</v>
      </c>
      <c r="X28" s="626">
        <v>500</v>
      </c>
      <c r="Y28" s="626" t="s">
        <v>40</v>
      </c>
      <c r="Z28" s="628" t="s">
        <v>388</v>
      </c>
    </row>
    <row r="29" spans="1:26" s="580" customFormat="1" ht="25.5">
      <c r="A29" s="579"/>
      <c r="B29" s="770">
        <v>73001</v>
      </c>
      <c r="C29" s="770">
        <v>3570</v>
      </c>
      <c r="D29" s="627" t="s">
        <v>894</v>
      </c>
      <c r="E29" s="626" t="s">
        <v>895</v>
      </c>
      <c r="F29" s="626" t="s">
        <v>896</v>
      </c>
      <c r="G29" s="626" t="s">
        <v>890</v>
      </c>
      <c r="H29" s="626" t="s">
        <v>891</v>
      </c>
      <c r="I29" s="626" t="s">
        <v>895</v>
      </c>
      <c r="J29" s="769">
        <v>40731</v>
      </c>
      <c r="K29" s="769">
        <v>41153</v>
      </c>
      <c r="L29" s="626" t="s">
        <v>893</v>
      </c>
      <c r="M29" s="626">
        <v>8.8000000000000007</v>
      </c>
      <c r="N29" s="626">
        <v>39.6</v>
      </c>
      <c r="O29" s="626">
        <v>56.571428571428577</v>
      </c>
      <c r="P29" s="626">
        <v>113.14285714285715</v>
      </c>
      <c r="Q29" s="626">
        <v>0</v>
      </c>
      <c r="R29" s="626">
        <v>0</v>
      </c>
      <c r="S29" s="626">
        <v>0</v>
      </c>
      <c r="T29" s="626">
        <v>0</v>
      </c>
      <c r="U29" s="626">
        <v>0</v>
      </c>
      <c r="V29" s="626">
        <v>0</v>
      </c>
      <c r="W29" s="626">
        <v>0</v>
      </c>
      <c r="X29" s="626">
        <v>1300</v>
      </c>
      <c r="Y29" s="626" t="s">
        <v>53</v>
      </c>
      <c r="Z29" s="628" t="s">
        <v>155</v>
      </c>
    </row>
    <row r="30" spans="1:26" s="564" customFormat="1">
      <c r="A30" s="582" t="s">
        <v>279</v>
      </c>
      <c r="B30" s="583"/>
      <c r="C30" s="583"/>
      <c r="D30" s="583"/>
      <c r="E30" s="583"/>
      <c r="F30" s="583"/>
      <c r="G30" s="583"/>
      <c r="H30" s="583"/>
      <c r="I30" s="583"/>
      <c r="J30" s="583"/>
      <c r="K30" s="583"/>
      <c r="L30" s="584"/>
      <c r="M30" s="584">
        <f>SUM(M28:M29)</f>
        <v>258.8</v>
      </c>
      <c r="N30" s="584">
        <f>SUM(N28:N29)</f>
        <v>1164.5999999999999</v>
      </c>
      <c r="O30" s="584">
        <f>SUM(O28:O29)</f>
        <v>1663.7142857142858</v>
      </c>
      <c r="P30" s="584">
        <f>SUM(P28:P29)</f>
        <v>113.14285714285715</v>
      </c>
      <c r="Q30" s="584">
        <f>SUM(Q28:Q29)</f>
        <v>3214.2857142857147</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250</v>
      </c>
      <c r="N31" s="584">
        <f>SUMIF($Z$28:$Z$29,"industrie",N28:N29)</f>
        <v>1125</v>
      </c>
      <c r="O31" s="584">
        <f>SUMIF($Z$28:$Z$29,"industrie",O28:O29)</f>
        <v>1607.1428571428571</v>
      </c>
      <c r="P31" s="584">
        <f>SUMIF($Z$28:$Z$29,"industrie",P28:P29)</f>
        <v>0</v>
      </c>
      <c r="Q31" s="584">
        <f>SUMIF($Z$28:$Z$29,"industrie",Q28:Q29)</f>
        <v>3214.2857142857147</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8.8000000000000007</v>
      </c>
      <c r="N32" s="584">
        <f ca="1">SUMIF($Z$28:AD29,"tertiair",N28:N29)</f>
        <v>39.6</v>
      </c>
      <c r="O32" s="584">
        <f ca="1">SUMIF($Z$28:AE29,"tertiair",O28:O29)</f>
        <v>56.571428571428577</v>
      </c>
      <c r="P32" s="584">
        <f ca="1">SUMIF($Z$28:AF29,"tertiair",P28:P29)</f>
        <v>113.14285714285715</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0</v>
      </c>
      <c r="N33" s="589">
        <f>SUMIF($Z$28:$Z$29,"landbouw",N28:N29)</f>
        <v>0</v>
      </c>
      <c r="O33" s="589">
        <f>SUMIF($Z$28:$Z$29,"landbouw",O28:O29)</f>
        <v>0</v>
      </c>
      <c r="P33" s="589">
        <f>SUMIF($Z$28:$Z$29,"landbouw",P28:P29)</f>
        <v>0</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46.588235294117652</v>
      </c>
      <c r="C49" s="618">
        <f t="shared" si="2"/>
        <v>1323.5294117647061</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66.554621848739501</v>
      </c>
      <c r="C50" s="621">
        <f t="shared" si="3"/>
        <v>1890.7563025210086</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20221.139267681701</v>
      </c>
      <c r="C4" s="451">
        <f>huishoudens!C8</f>
        <v>0</v>
      </c>
      <c r="D4" s="451">
        <f>huishoudens!D8</f>
        <v>28106.4696869</v>
      </c>
      <c r="E4" s="451">
        <f>huishoudens!E8</f>
        <v>3635.491478400982</v>
      </c>
      <c r="F4" s="451">
        <f>huishoudens!F8</f>
        <v>40707.375788896963</v>
      </c>
      <c r="G4" s="451">
        <f>huishoudens!G8</f>
        <v>0</v>
      </c>
      <c r="H4" s="451">
        <f>huishoudens!H8</f>
        <v>0</v>
      </c>
      <c r="I4" s="451">
        <f>huishoudens!I8</f>
        <v>0</v>
      </c>
      <c r="J4" s="451">
        <f>huishoudens!J8</f>
        <v>0</v>
      </c>
      <c r="K4" s="451">
        <f>huishoudens!K8</f>
        <v>0</v>
      </c>
      <c r="L4" s="451">
        <f>huishoudens!L8</f>
        <v>0</v>
      </c>
      <c r="M4" s="451">
        <f>huishoudens!M8</f>
        <v>0</v>
      </c>
      <c r="N4" s="451">
        <f>huishoudens!N8</f>
        <v>8060.7083273691896</v>
      </c>
      <c r="O4" s="451">
        <f>huishoudens!O8</f>
        <v>323.61000000000007</v>
      </c>
      <c r="P4" s="452">
        <f>huishoudens!P8</f>
        <v>972.4</v>
      </c>
      <c r="Q4" s="453">
        <f>SUM(B4:P4)</f>
        <v>102027.19454924883</v>
      </c>
    </row>
    <row r="5" spans="1:17">
      <c r="A5" s="450" t="s">
        <v>155</v>
      </c>
      <c r="B5" s="451">
        <f ca="1">tertiair!B16</f>
        <v>9758.6702060000007</v>
      </c>
      <c r="C5" s="451">
        <f ca="1">tertiair!C16</f>
        <v>56.571428571428577</v>
      </c>
      <c r="D5" s="451">
        <f ca="1">tertiair!D16</f>
        <v>9525.6428153731431</v>
      </c>
      <c r="E5" s="451">
        <f>tertiair!E16</f>
        <v>141.3367242480191</v>
      </c>
      <c r="F5" s="451">
        <f ca="1">tertiair!F16</f>
        <v>1772.1508900537729</v>
      </c>
      <c r="G5" s="451">
        <f>tertiair!G16</f>
        <v>0</v>
      </c>
      <c r="H5" s="451">
        <f>tertiair!H16</f>
        <v>0</v>
      </c>
      <c r="I5" s="451">
        <f>tertiair!I16</f>
        <v>0</v>
      </c>
      <c r="J5" s="451">
        <f>tertiair!J16</f>
        <v>3.7898016998407551E-2</v>
      </c>
      <c r="K5" s="451">
        <f>tertiair!K16</f>
        <v>0</v>
      </c>
      <c r="L5" s="451">
        <f ca="1">tertiair!L16</f>
        <v>0</v>
      </c>
      <c r="M5" s="451">
        <f>tertiair!M16</f>
        <v>0</v>
      </c>
      <c r="N5" s="451">
        <f ca="1">tertiair!N16</f>
        <v>1501.6931146405107</v>
      </c>
      <c r="O5" s="451">
        <f>tertiair!O16</f>
        <v>3.1266666666666669</v>
      </c>
      <c r="P5" s="452">
        <f>tertiair!P16</f>
        <v>38.133333333333333</v>
      </c>
      <c r="Q5" s="450">
        <f t="shared" ref="Q5:Q14" ca="1" si="0">SUM(B5:P5)</f>
        <v>22797.363076903879</v>
      </c>
    </row>
    <row r="6" spans="1:17">
      <c r="A6" s="450" t="s">
        <v>193</v>
      </c>
      <c r="B6" s="451">
        <f>'openbare verlichting'!B8</f>
        <v>604.79899999999998</v>
      </c>
      <c r="C6" s="451"/>
      <c r="D6" s="451"/>
      <c r="E6" s="451"/>
      <c r="F6" s="451"/>
      <c r="G6" s="451"/>
      <c r="H6" s="451"/>
      <c r="I6" s="451"/>
      <c r="J6" s="451"/>
      <c r="K6" s="451"/>
      <c r="L6" s="451"/>
      <c r="M6" s="451"/>
      <c r="N6" s="451"/>
      <c r="O6" s="451"/>
      <c r="P6" s="452"/>
      <c r="Q6" s="450">
        <f t="shared" si="0"/>
        <v>604.79899999999998</v>
      </c>
    </row>
    <row r="7" spans="1:17">
      <c r="A7" s="450" t="s">
        <v>111</v>
      </c>
      <c r="B7" s="451">
        <f>landbouw!B8</f>
        <v>1768.23161</v>
      </c>
      <c r="C7" s="451">
        <f>landbouw!C8</f>
        <v>0</v>
      </c>
      <c r="D7" s="451">
        <f>landbouw!D8</f>
        <v>188.610004</v>
      </c>
      <c r="E7" s="451">
        <f>landbouw!E8</f>
        <v>51.973727820605681</v>
      </c>
      <c r="F7" s="451">
        <f>landbouw!F8</f>
        <v>7366.3573370390041</v>
      </c>
      <c r="G7" s="451">
        <f>landbouw!G8</f>
        <v>0</v>
      </c>
      <c r="H7" s="451">
        <f>landbouw!H8</f>
        <v>0</v>
      </c>
      <c r="I7" s="451">
        <f>landbouw!I8</f>
        <v>0</v>
      </c>
      <c r="J7" s="451">
        <f>landbouw!J8</f>
        <v>256.17878708050023</v>
      </c>
      <c r="K7" s="451">
        <f>landbouw!K8</f>
        <v>0</v>
      </c>
      <c r="L7" s="451">
        <f>landbouw!L8</f>
        <v>0</v>
      </c>
      <c r="M7" s="451">
        <f>landbouw!M8</f>
        <v>0</v>
      </c>
      <c r="N7" s="451">
        <f>landbouw!N8</f>
        <v>0</v>
      </c>
      <c r="O7" s="451">
        <f>landbouw!O8</f>
        <v>0</v>
      </c>
      <c r="P7" s="452">
        <f>landbouw!P8</f>
        <v>0</v>
      </c>
      <c r="Q7" s="450">
        <f t="shared" si="0"/>
        <v>9631.3514659401098</v>
      </c>
    </row>
    <row r="8" spans="1:17">
      <c r="A8" s="450" t="s">
        <v>634</v>
      </c>
      <c r="B8" s="451">
        <f>industrie!B18</f>
        <v>41151.796907999997</v>
      </c>
      <c r="C8" s="451">
        <f>industrie!C18</f>
        <v>1607.1428571428571</v>
      </c>
      <c r="D8" s="451">
        <f>industrie!D18</f>
        <v>42418.000468316</v>
      </c>
      <c r="E8" s="451">
        <f>industrie!E18</f>
        <v>8349.3626741577609</v>
      </c>
      <c r="F8" s="451">
        <f>industrie!F18</f>
        <v>23687.109605402264</v>
      </c>
      <c r="G8" s="451">
        <f>industrie!G18</f>
        <v>0</v>
      </c>
      <c r="H8" s="451">
        <f>industrie!H18</f>
        <v>0</v>
      </c>
      <c r="I8" s="451">
        <f>industrie!I18</f>
        <v>0</v>
      </c>
      <c r="J8" s="451">
        <f>industrie!J18</f>
        <v>0.47641706483133051</v>
      </c>
      <c r="K8" s="451">
        <f>industrie!K18</f>
        <v>0</v>
      </c>
      <c r="L8" s="451">
        <f>industrie!L18</f>
        <v>0</v>
      </c>
      <c r="M8" s="451">
        <f>industrie!M18</f>
        <v>0</v>
      </c>
      <c r="N8" s="451">
        <f>industrie!N18</f>
        <v>0</v>
      </c>
      <c r="O8" s="451">
        <f>industrie!O18</f>
        <v>0</v>
      </c>
      <c r="P8" s="452">
        <f>industrie!P18</f>
        <v>0</v>
      </c>
      <c r="Q8" s="450">
        <f t="shared" si="0"/>
        <v>117213.8889300837</v>
      </c>
    </row>
    <row r="9" spans="1:17" s="456" customFormat="1">
      <c r="A9" s="454" t="s">
        <v>560</v>
      </c>
      <c r="B9" s="455">
        <f>transport!B14</f>
        <v>27.617093460895557</v>
      </c>
      <c r="C9" s="455">
        <f>transport!C14</f>
        <v>0</v>
      </c>
      <c r="D9" s="455">
        <f>transport!D14</f>
        <v>76.474682293082793</v>
      </c>
      <c r="E9" s="455">
        <f>transport!E14</f>
        <v>129.58785386653216</v>
      </c>
      <c r="F9" s="455">
        <f>transport!F14</f>
        <v>0</v>
      </c>
      <c r="G9" s="455">
        <f>transport!G14</f>
        <v>56464.044506049824</v>
      </c>
      <c r="H9" s="455">
        <f>transport!H14</f>
        <v>12920.151534683642</v>
      </c>
      <c r="I9" s="455">
        <f>transport!I14</f>
        <v>0</v>
      </c>
      <c r="J9" s="455">
        <f>transport!J14</f>
        <v>0</v>
      </c>
      <c r="K9" s="455">
        <f>transport!K14</f>
        <v>0</v>
      </c>
      <c r="L9" s="455">
        <f>transport!L14</f>
        <v>0</v>
      </c>
      <c r="M9" s="455">
        <f>transport!M14</f>
        <v>3679.3110355102531</v>
      </c>
      <c r="N9" s="455">
        <f>transport!N14</f>
        <v>0</v>
      </c>
      <c r="O9" s="455">
        <f>transport!O14</f>
        <v>0</v>
      </c>
      <c r="P9" s="455">
        <f>transport!P14</f>
        <v>0</v>
      </c>
      <c r="Q9" s="454">
        <f>SUM(B9:P9)</f>
        <v>73297.186705864238</v>
      </c>
    </row>
    <row r="10" spans="1:17">
      <c r="A10" s="450" t="s">
        <v>550</v>
      </c>
      <c r="B10" s="451">
        <f>transport!B54</f>
        <v>0</v>
      </c>
      <c r="C10" s="451">
        <f>transport!C54</f>
        <v>0</v>
      </c>
      <c r="D10" s="451">
        <f>transport!D54</f>
        <v>0</v>
      </c>
      <c r="E10" s="451">
        <f>transport!E54</f>
        <v>0</v>
      </c>
      <c r="F10" s="451">
        <f>transport!F54</f>
        <v>0</v>
      </c>
      <c r="G10" s="451">
        <f>transport!G54</f>
        <v>708.59985731039046</v>
      </c>
      <c r="H10" s="451">
        <f>transport!H54</f>
        <v>0</v>
      </c>
      <c r="I10" s="451">
        <f>transport!I54</f>
        <v>0</v>
      </c>
      <c r="J10" s="451">
        <f>transport!J54</f>
        <v>0</v>
      </c>
      <c r="K10" s="451">
        <f>transport!K54</f>
        <v>0</v>
      </c>
      <c r="L10" s="451">
        <f>transport!L54</f>
        <v>0</v>
      </c>
      <c r="M10" s="451">
        <f>transport!M54</f>
        <v>40.24230362816359</v>
      </c>
      <c r="N10" s="451">
        <f>transport!N54</f>
        <v>0</v>
      </c>
      <c r="O10" s="451">
        <f>transport!O54</f>
        <v>0</v>
      </c>
      <c r="P10" s="452">
        <f>transport!P54</f>
        <v>0</v>
      </c>
      <c r="Q10" s="450">
        <f t="shared" si="0"/>
        <v>748.842160938554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342.0951</v>
      </c>
      <c r="C14" s="458"/>
      <c r="D14" s="458">
        <f>'SEAP template'!E25</f>
        <v>627.45819999999992</v>
      </c>
      <c r="E14" s="458"/>
      <c r="F14" s="458"/>
      <c r="G14" s="458"/>
      <c r="H14" s="458"/>
      <c r="I14" s="458"/>
      <c r="J14" s="458"/>
      <c r="K14" s="458"/>
      <c r="L14" s="458"/>
      <c r="M14" s="458"/>
      <c r="N14" s="458"/>
      <c r="O14" s="458"/>
      <c r="P14" s="459"/>
      <c r="Q14" s="450">
        <f t="shared" si="0"/>
        <v>969.55329999999992</v>
      </c>
    </row>
    <row r="15" spans="1:17" s="460" customFormat="1">
      <c r="A15" s="1005" t="s">
        <v>554</v>
      </c>
      <c r="B15" s="953">
        <f ca="1">SUM(B4:B14)</f>
        <v>73874.349185142593</v>
      </c>
      <c r="C15" s="953">
        <f t="shared" ref="C15:Q15" ca="1" si="1">SUM(C4:C14)</f>
        <v>1663.7142857142858</v>
      </c>
      <c r="D15" s="953">
        <f t="shared" ca="1" si="1"/>
        <v>80942.655856882222</v>
      </c>
      <c r="E15" s="953">
        <f t="shared" si="1"/>
        <v>12307.7524584939</v>
      </c>
      <c r="F15" s="953">
        <f t="shared" ca="1" si="1"/>
        <v>73532.993621392001</v>
      </c>
      <c r="G15" s="953">
        <f t="shared" si="1"/>
        <v>57172.644363360218</v>
      </c>
      <c r="H15" s="953">
        <f t="shared" si="1"/>
        <v>12920.151534683642</v>
      </c>
      <c r="I15" s="953">
        <f t="shared" si="1"/>
        <v>0</v>
      </c>
      <c r="J15" s="953">
        <f t="shared" si="1"/>
        <v>256.69310216232992</v>
      </c>
      <c r="K15" s="953">
        <f t="shared" si="1"/>
        <v>0</v>
      </c>
      <c r="L15" s="953">
        <f t="shared" ca="1" si="1"/>
        <v>0</v>
      </c>
      <c r="M15" s="953">
        <f t="shared" si="1"/>
        <v>3719.5533391384165</v>
      </c>
      <c r="N15" s="953">
        <f t="shared" ca="1" si="1"/>
        <v>9562.401442009701</v>
      </c>
      <c r="O15" s="953">
        <f t="shared" si="1"/>
        <v>326.73666666666674</v>
      </c>
      <c r="P15" s="953">
        <f t="shared" si="1"/>
        <v>1010.5333333333333</v>
      </c>
      <c r="Q15" s="953">
        <f t="shared" ca="1" si="1"/>
        <v>327290.17918897932</v>
      </c>
    </row>
    <row r="17" spans="1:17">
      <c r="A17" s="461" t="s">
        <v>555</v>
      </c>
      <c r="B17" s="760">
        <f ca="1">huishoudens!B10</f>
        <v>0.19668329327908723</v>
      </c>
      <c r="C17" s="760">
        <f ca="1">huishoudens!C10</f>
        <v>8.0807346122374769E-3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3977.1602650227073</v>
      </c>
      <c r="C22" s="451">
        <f t="shared" ref="C22:C32" ca="1" si="3">C4*$C$17</f>
        <v>0</v>
      </c>
      <c r="D22" s="451">
        <f t="shared" ref="D22:D32" si="4">D4*$D$17</f>
        <v>5677.5068767538005</v>
      </c>
      <c r="E22" s="451">
        <f t="shared" ref="E22:E32" si="5">E4*$E$17</f>
        <v>825.25656559702293</v>
      </c>
      <c r="F22" s="451">
        <f t="shared" ref="F22:F32" si="6">F4*$F$17</f>
        <v>10868.869335635491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21348.79304300902</v>
      </c>
    </row>
    <row r="23" spans="1:17">
      <c r="A23" s="450" t="s">
        <v>155</v>
      </c>
      <c r="B23" s="451">
        <f t="shared" ca="1" si="2"/>
        <v>1919.3673941405889</v>
      </c>
      <c r="C23" s="451">
        <f t="shared" ca="1" si="3"/>
        <v>0.45713870092086301</v>
      </c>
      <c r="D23" s="451">
        <f t="shared" ca="1" si="4"/>
        <v>1924.179848705375</v>
      </c>
      <c r="E23" s="451">
        <f t="shared" si="5"/>
        <v>32.083436404300336</v>
      </c>
      <c r="F23" s="451">
        <f t="shared" ca="1" si="6"/>
        <v>473.16428764435739</v>
      </c>
      <c r="G23" s="451">
        <f t="shared" si="7"/>
        <v>0</v>
      </c>
      <c r="H23" s="451">
        <f t="shared" si="8"/>
        <v>0</v>
      </c>
      <c r="I23" s="451">
        <f t="shared" si="9"/>
        <v>0</v>
      </c>
      <c r="J23" s="451">
        <f t="shared" si="10"/>
        <v>1.3415898017436272E-2</v>
      </c>
      <c r="K23" s="451">
        <f t="shared" si="11"/>
        <v>0</v>
      </c>
      <c r="L23" s="451">
        <f t="shared" ca="1" si="12"/>
        <v>0</v>
      </c>
      <c r="M23" s="451">
        <f t="shared" si="13"/>
        <v>0</v>
      </c>
      <c r="N23" s="451">
        <f t="shared" ca="1" si="14"/>
        <v>0</v>
      </c>
      <c r="O23" s="451">
        <f t="shared" si="15"/>
        <v>0</v>
      </c>
      <c r="P23" s="452">
        <f t="shared" si="16"/>
        <v>0</v>
      </c>
      <c r="Q23" s="450">
        <f t="shared" ref="Q23:Q32" ca="1" si="17">SUM(B23:P23)</f>
        <v>4349.2655214935594</v>
      </c>
    </row>
    <row r="24" spans="1:17">
      <c r="A24" s="450" t="s">
        <v>193</v>
      </c>
      <c r="B24" s="451">
        <f t="shared" ca="1" si="2"/>
        <v>118.95385909189868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118.95385909189868</v>
      </c>
    </row>
    <row r="25" spans="1:17">
      <c r="A25" s="450" t="s">
        <v>111</v>
      </c>
      <c r="B25" s="451">
        <f t="shared" ca="1" si="2"/>
        <v>347.78161633498263</v>
      </c>
      <c r="C25" s="451">
        <f t="shared" ca="1" si="3"/>
        <v>0</v>
      </c>
      <c r="D25" s="451">
        <f t="shared" si="4"/>
        <v>38.099220808000005</v>
      </c>
      <c r="E25" s="451">
        <f t="shared" si="5"/>
        <v>11.79803621527749</v>
      </c>
      <c r="F25" s="451">
        <f t="shared" si="6"/>
        <v>1966.8174089894142</v>
      </c>
      <c r="G25" s="451">
        <f t="shared" si="7"/>
        <v>0</v>
      </c>
      <c r="H25" s="451">
        <f t="shared" si="8"/>
        <v>0</v>
      </c>
      <c r="I25" s="451">
        <f t="shared" si="9"/>
        <v>0</v>
      </c>
      <c r="J25" s="451">
        <f t="shared" si="10"/>
        <v>90.687290626497074</v>
      </c>
      <c r="K25" s="451">
        <f t="shared" si="11"/>
        <v>0</v>
      </c>
      <c r="L25" s="451">
        <f t="shared" si="12"/>
        <v>0</v>
      </c>
      <c r="M25" s="451">
        <f t="shared" si="13"/>
        <v>0</v>
      </c>
      <c r="N25" s="451">
        <f t="shared" si="14"/>
        <v>0</v>
      </c>
      <c r="O25" s="451">
        <f t="shared" si="15"/>
        <v>0</v>
      </c>
      <c r="P25" s="452">
        <f t="shared" si="16"/>
        <v>0</v>
      </c>
      <c r="Q25" s="450">
        <f t="shared" ca="1" si="17"/>
        <v>2455.1835729741715</v>
      </c>
    </row>
    <row r="26" spans="1:17">
      <c r="A26" s="450" t="s">
        <v>634</v>
      </c>
      <c r="B26" s="451">
        <f t="shared" ca="1" si="2"/>
        <v>8093.8709402175982</v>
      </c>
      <c r="C26" s="451">
        <f t="shared" ca="1" si="3"/>
        <v>12.986894912524516</v>
      </c>
      <c r="D26" s="451">
        <f t="shared" si="4"/>
        <v>8568.4360945998324</v>
      </c>
      <c r="E26" s="451">
        <f t="shared" si="5"/>
        <v>1895.3053270338119</v>
      </c>
      <c r="F26" s="451">
        <f t="shared" si="6"/>
        <v>6324.4582646424051</v>
      </c>
      <c r="G26" s="451">
        <f t="shared" si="7"/>
        <v>0</v>
      </c>
      <c r="H26" s="451">
        <f t="shared" si="8"/>
        <v>0</v>
      </c>
      <c r="I26" s="451">
        <f t="shared" si="9"/>
        <v>0</v>
      </c>
      <c r="J26" s="451">
        <f t="shared" si="10"/>
        <v>0.16865164095029098</v>
      </c>
      <c r="K26" s="451">
        <f t="shared" si="11"/>
        <v>0</v>
      </c>
      <c r="L26" s="451">
        <f t="shared" si="12"/>
        <v>0</v>
      </c>
      <c r="M26" s="451">
        <f t="shared" si="13"/>
        <v>0</v>
      </c>
      <c r="N26" s="451">
        <f t="shared" si="14"/>
        <v>0</v>
      </c>
      <c r="O26" s="451">
        <f t="shared" si="15"/>
        <v>0</v>
      </c>
      <c r="P26" s="452">
        <f t="shared" si="16"/>
        <v>0</v>
      </c>
      <c r="Q26" s="450">
        <f t="shared" ca="1" si="17"/>
        <v>24895.226173047125</v>
      </c>
    </row>
    <row r="27" spans="1:17" s="456" customFormat="1">
      <c r="A27" s="454" t="s">
        <v>560</v>
      </c>
      <c r="B27" s="754">
        <f t="shared" ca="1" si="2"/>
        <v>5.4318208926852831</v>
      </c>
      <c r="C27" s="455">
        <f t="shared" ca="1" si="3"/>
        <v>0</v>
      </c>
      <c r="D27" s="455">
        <f t="shared" si="4"/>
        <v>15.447885823202725</v>
      </c>
      <c r="E27" s="455">
        <f t="shared" si="5"/>
        <v>29.416442827702802</v>
      </c>
      <c r="F27" s="455">
        <f t="shared" si="6"/>
        <v>0</v>
      </c>
      <c r="G27" s="455">
        <f t="shared" si="7"/>
        <v>15075.899883115304</v>
      </c>
      <c r="H27" s="455">
        <f t="shared" si="8"/>
        <v>3217.117732136227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18343.313764795123</v>
      </c>
    </row>
    <row r="28" spans="1:17">
      <c r="A28" s="450" t="s">
        <v>550</v>
      </c>
      <c r="B28" s="451">
        <f t="shared" ca="1" si="2"/>
        <v>0</v>
      </c>
      <c r="C28" s="451">
        <f t="shared" ca="1" si="3"/>
        <v>0</v>
      </c>
      <c r="D28" s="451">
        <f t="shared" si="4"/>
        <v>0</v>
      </c>
      <c r="E28" s="451">
        <f t="shared" si="5"/>
        <v>0</v>
      </c>
      <c r="F28" s="451">
        <f t="shared" si="6"/>
        <v>0</v>
      </c>
      <c r="G28" s="451">
        <f t="shared" si="7"/>
        <v>189.19616190187426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189.19616190187426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67.284390882638675</v>
      </c>
      <c r="C32" s="451">
        <f t="shared" ca="1" si="3"/>
        <v>0</v>
      </c>
      <c r="D32" s="451">
        <f t="shared" si="4"/>
        <v>126.74655639999999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194.03094728263866</v>
      </c>
    </row>
    <row r="33" spans="1:17" s="460" customFormat="1">
      <c r="A33" s="1005" t="s">
        <v>554</v>
      </c>
      <c r="B33" s="953">
        <f ca="1">SUM(B22:B32)</f>
        <v>14529.850286583098</v>
      </c>
      <c r="C33" s="953">
        <f t="shared" ref="C33:Q33" ca="1" si="18">SUM(C22:C32)</f>
        <v>13.444033613445379</v>
      </c>
      <c r="D33" s="953">
        <f t="shared" ca="1" si="18"/>
        <v>16350.41648309021</v>
      </c>
      <c r="E33" s="953">
        <f t="shared" si="18"/>
        <v>2793.8598080781153</v>
      </c>
      <c r="F33" s="953">
        <f t="shared" ca="1" si="18"/>
        <v>19633.309296911666</v>
      </c>
      <c r="G33" s="953">
        <f t="shared" si="18"/>
        <v>15265.096045017179</v>
      </c>
      <c r="H33" s="953">
        <f t="shared" si="18"/>
        <v>3217.117732136227</v>
      </c>
      <c r="I33" s="953">
        <f t="shared" si="18"/>
        <v>0</v>
      </c>
      <c r="J33" s="953">
        <f t="shared" si="18"/>
        <v>90.869358165464803</v>
      </c>
      <c r="K33" s="953">
        <f t="shared" si="18"/>
        <v>0</v>
      </c>
      <c r="L33" s="953">
        <f t="shared" ca="1" si="18"/>
        <v>0</v>
      </c>
      <c r="M33" s="953">
        <f t="shared" si="18"/>
        <v>0</v>
      </c>
      <c r="N33" s="953">
        <f t="shared" ca="1" si="18"/>
        <v>0</v>
      </c>
      <c r="O33" s="953">
        <f t="shared" si="18"/>
        <v>0</v>
      </c>
      <c r="P33" s="953">
        <f t="shared" si="18"/>
        <v>0</v>
      </c>
      <c r="Q33" s="953">
        <f t="shared" ca="1" si="18"/>
        <v>71893.963043595402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7006.4031984743297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1125</v>
      </c>
      <c r="C8" s="1022">
        <f>'SEAP template'!C76</f>
        <v>39.599999999999994</v>
      </c>
      <c r="D8" s="1022">
        <f>'SEAP template'!D76</f>
        <v>46.588235294117652</v>
      </c>
      <c r="E8" s="1022">
        <f>'SEAP template'!E76</f>
        <v>0</v>
      </c>
      <c r="F8" s="1022">
        <f>'SEAP template'!F76</f>
        <v>0</v>
      </c>
      <c r="G8" s="1022">
        <f>'SEAP template'!G76</f>
        <v>0</v>
      </c>
      <c r="H8" s="1022">
        <f>'SEAP template'!H76</f>
        <v>0</v>
      </c>
      <c r="I8" s="1022">
        <f>'SEAP template'!I76</f>
        <v>0</v>
      </c>
      <c r="J8" s="1022">
        <f>'SEAP template'!J76</f>
        <v>1323.5294117647061</v>
      </c>
      <c r="K8" s="1022">
        <f>'SEAP template'!K76</f>
        <v>0</v>
      </c>
      <c r="L8" s="1022">
        <f>'SEAP template'!L76</f>
        <v>0</v>
      </c>
      <c r="M8" s="1022">
        <f>'SEAP template'!M76</f>
        <v>0</v>
      </c>
      <c r="N8" s="1022">
        <f>'SEAP template'!N76</f>
        <v>0</v>
      </c>
      <c r="O8" s="1022">
        <f>'SEAP template'!O76</f>
        <v>0</v>
      </c>
      <c r="P8" s="1023">
        <f>'SEAP template'!Q76</f>
        <v>9.4108235294117666</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8131.4031984743297</v>
      </c>
      <c r="C10" s="1026">
        <f>SUM(C4:C9)</f>
        <v>39.599999999999994</v>
      </c>
      <c r="D10" s="1026">
        <f t="shared" ref="D10:H10" si="0">SUM(D8:D9)</f>
        <v>46.588235294117652</v>
      </c>
      <c r="E10" s="1026">
        <f t="shared" si="0"/>
        <v>0</v>
      </c>
      <c r="F10" s="1026">
        <f t="shared" si="0"/>
        <v>0</v>
      </c>
      <c r="G10" s="1026">
        <f t="shared" si="0"/>
        <v>0</v>
      </c>
      <c r="H10" s="1026">
        <f t="shared" si="0"/>
        <v>0</v>
      </c>
      <c r="I10" s="1026">
        <f>SUM(I8:I9)</f>
        <v>0</v>
      </c>
      <c r="J10" s="1026">
        <f>SUM(J8:J9)</f>
        <v>1323.5294117647061</v>
      </c>
      <c r="K10" s="1026">
        <f t="shared" ref="K10:L10" si="1">SUM(K8:K9)</f>
        <v>0</v>
      </c>
      <c r="L10" s="1026">
        <f t="shared" si="1"/>
        <v>0</v>
      </c>
      <c r="M10" s="1026">
        <f>SUM(M8:M9)</f>
        <v>0</v>
      </c>
      <c r="N10" s="1026">
        <f>SUM(N8:N9)</f>
        <v>0</v>
      </c>
      <c r="O10" s="1026">
        <f>SUM(O8:O9)</f>
        <v>0</v>
      </c>
      <c r="P10" s="1026">
        <f>SUM(P8:P9)</f>
        <v>9.4108235294117666</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0.19668329327908723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1607.1428571428571</v>
      </c>
      <c r="C17" s="1028">
        <f>'SEAP template'!C87</f>
        <v>56.571428571428577</v>
      </c>
      <c r="D17" s="1023">
        <f>'SEAP template'!D87</f>
        <v>66.554621848739501</v>
      </c>
      <c r="E17" s="1023">
        <f>'SEAP template'!E87</f>
        <v>0</v>
      </c>
      <c r="F17" s="1023">
        <f>'SEAP template'!F87</f>
        <v>0</v>
      </c>
      <c r="G17" s="1023">
        <f>'SEAP template'!G87</f>
        <v>0</v>
      </c>
      <c r="H17" s="1023">
        <f>'SEAP template'!H87</f>
        <v>0</v>
      </c>
      <c r="I17" s="1023">
        <f>'SEAP template'!I87</f>
        <v>0</v>
      </c>
      <c r="J17" s="1023">
        <f>'SEAP template'!J87</f>
        <v>1890.7563025210086</v>
      </c>
      <c r="K17" s="1023">
        <f>'SEAP template'!K87</f>
        <v>0</v>
      </c>
      <c r="L17" s="1023">
        <f>'SEAP template'!L87</f>
        <v>0</v>
      </c>
      <c r="M17" s="1023">
        <f>'SEAP template'!M87</f>
        <v>0</v>
      </c>
      <c r="N17" s="1023">
        <f>'SEAP template'!N87</f>
        <v>0</v>
      </c>
      <c r="O17" s="1023">
        <f>'SEAP template'!O87</f>
        <v>0</v>
      </c>
      <c r="P17" s="1023">
        <f>'SEAP template'!Q87</f>
        <v>13.444033613445381</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1607.1428571428571</v>
      </c>
      <c r="C20" s="1026">
        <f>SUM(C17:C19)</f>
        <v>56.571428571428577</v>
      </c>
      <c r="D20" s="1026">
        <f t="shared" ref="D20:H20" si="2">SUM(D17:D19)</f>
        <v>66.554621848739501</v>
      </c>
      <c r="E20" s="1026">
        <f t="shared" si="2"/>
        <v>0</v>
      </c>
      <c r="F20" s="1026">
        <f t="shared" si="2"/>
        <v>0</v>
      </c>
      <c r="G20" s="1026">
        <f t="shared" si="2"/>
        <v>0</v>
      </c>
      <c r="H20" s="1026">
        <f t="shared" si="2"/>
        <v>0</v>
      </c>
      <c r="I20" s="1026">
        <f>SUM(I17:I19)</f>
        <v>0</v>
      </c>
      <c r="J20" s="1026">
        <f>SUM(J17:J19)</f>
        <v>1890.7563025210086</v>
      </c>
      <c r="K20" s="1026">
        <f t="shared" ref="K20:L20" si="3">SUM(K17:K19)</f>
        <v>0</v>
      </c>
      <c r="L20" s="1026">
        <f t="shared" si="3"/>
        <v>0</v>
      </c>
      <c r="M20" s="1026">
        <f>SUM(M17:M19)</f>
        <v>0</v>
      </c>
      <c r="N20" s="1026">
        <f>SUM(N17:N19)</f>
        <v>0</v>
      </c>
      <c r="O20" s="1026">
        <f>SUM(O17:O19)</f>
        <v>0</v>
      </c>
      <c r="P20" s="1026">
        <f>SUM(P17:P19)</f>
        <v>13.444033613445381</v>
      </c>
    </row>
    <row r="22" spans="1:16">
      <c r="A22" s="461" t="s">
        <v>848</v>
      </c>
      <c r="B22" s="760" t="s">
        <v>842</v>
      </c>
      <c r="C22" s="760">
        <f ca="1">'EF ele_warmte'!B22</f>
        <v>8.0807346122374769E-3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0.19668329327908723</v>
      </c>
      <c r="C17" s="498">
        <f ca="1">'EF ele_warmte'!B22</f>
        <v>8.0807346122374769E-3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2020-06-20T15:49:06Z</dcterms:modified>
</cp:coreProperties>
</file>