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6" i="18"/>
  <c r="C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49" i="18"/>
  <c r="E8" i="18" s="1"/>
  <c r="G49" i="18"/>
  <c r="I8" i="18" s="1"/>
  <c r="F49" i="18"/>
  <c r="H49" i="18"/>
  <c r="D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8" i="18" s="1"/>
  <c r="B49" i="18"/>
  <c r="C8"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<sst xmlns="http://schemas.openxmlformats.org/spreadsheetml/2006/main" count="2415" uniqueCount="898">
  <si>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</si>
  <si>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</si>
  <si>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</si>
  <si>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</si>
  <si>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</si>
  <si>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</si>
  <si>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</si>
  <si>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</si>
  <si>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</si>
  <si>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</si>
  <si>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</si>
  <si>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</si>
  <si>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</si>
  <si>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</si>
  <si>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</si>
  <si>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</si>
  <si>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</si>
  <si>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</si>
  <si>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</si>
  <si>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</si>
  <si>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</si>
  <si>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</si>
  <si>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</si>
  <si>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</si>
  <si>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</si>
  <si>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</si>
  <si>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</si>
  <si>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</si>
  <si>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</si>
  <si>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</si>
  <si>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</si>
  <si>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</si>
  <si>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</si>
  <si>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</si>
  <si>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</si>
  <si>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</si>
  <si>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</si>
  <si>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</si>
  <si>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</si>
  <si>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</si>
  <si>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</si>
  <si>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</si>
  <si>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</si>
  <si>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</si>
  <si>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</si>
  <si>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</si>
  <si>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</si>
  <si>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</si>
  <si>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</si>
  <si>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</si>
  <si>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</si>
  <si>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</si>
  <si>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</si>
  <si>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</si>
  <si>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</si>
  <si>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</si>
  <si>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</si>
  <si>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</si>
  <si>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</si>
  <si>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</si>
  <si>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</si>
  <si>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</si>
  <si>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</si>
  <si>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</si>
  <si>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</si>
  <si>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</si>
  <si>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</si>
  <si>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</si>
  <si>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</si>
  <si>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</si>
  <si>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</si>
  <si>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</si>
  <si>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</si>
  <si>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</si>
  <si>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</si>
  <si>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</si>
  <si>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</si>
  <si>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</si>
  <si>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</si>
  <si>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</si>
  <si>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</si>
  <si>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</si>
  <si>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</si>
  <si>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</si>
  <si>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</si>
  <si>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</si>
  <si>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</si>
  <si>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</si>
  <si>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</si>
  <si>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</si>
  <si>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</si>
  <si>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</si>
  <si>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</si>
  <si>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</si>
  <si>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</si>
  <si>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</si>
  <si>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</si>
  <si>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</si>
  <si>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</si>
  <si>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</si>
  <si>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</si>
  <si>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</si>
  <si>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</si>
  <si>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</si>
  <si>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</si>
  <si>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</si>
  <si>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</si>
  <si>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</si>
  <si>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</si>
  <si>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</si>
  <si>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</si>
  <si>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</si>
  <si>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</si>
  <si>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</si>
  <si>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</si>
  <si>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</si>
  <si>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</si>
  <si>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</si>
  <si>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</si>
  <si>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</si>
  <si>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</si>
  <si>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</si>
  <si>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</si>
  <si>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</si>
  <si>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</si>
  <si>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</si>
  <si>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</si>
  <si>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</si>
  <si>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</si>
  <si>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</si>
  <si>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</si>
  <si>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</si>
  <si>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</si>
  <si>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</si>
  <si>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</si>
  <si>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</si>
  <si>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</si>
  <si>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</si>
  <si>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</si>
  <si>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</si>
  <si>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</si>
  <si>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</si>
  <si>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</si>
  <si>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</si>
  <si>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</si>
  <si>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</si>
  <si>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</si>
  <si>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</si>
  <si>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</si>
  <si>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</si>
  <si>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</si>
  <si>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</si>
  <si>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</si>
  <si>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</si>
  <si>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</si>
  <si>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</si>
  <si>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</si>
  <si>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</si>
  <si>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</si>
  <si>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</si>
  <si>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</si>
  <si>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</si>
  <si>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</si>
  <si>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</si>
  <si>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</si>
  <si>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</si>
  <si>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</si>
  <si>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</si>
  <si>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</si>
  <si>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</si>
  <si>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</si>
  <si>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</si>
  <si>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</si>
  <si>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</si>
  <si>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</si>
  <si>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</si>
  <si>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</si>
  <si>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</si>
  <si>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</si>
  <si>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</si>
  <si>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</si>
  <si>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</si>
  <si>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</si>
  <si>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</si>
  <si>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</si>
  <si>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</si>
  <si>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</si>
  <si>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</si>
  <si>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</si>
  <si>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</si>
  <si>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</si>
  <si>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</si>
  <si>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</si>
  <si>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</si>
  <si>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</si>
  <si>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</si>
  <si>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</si>
  <si>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</si>
  <si>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</si>
  <si>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</si>
  <si>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</si>
  <si>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</si>
  <si>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</si>
  <si>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</si>
  <si>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</si>
  <si>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</si>
  <si>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</si>
  <si>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</si>
  <si>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</si>
  <si>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</si>
  <si>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</si>
  <si>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</si>
  <si>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</si>
  <si>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</si>
  <si>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</si>
  <si>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</si>
  <si>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</si>
  <si>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</si>
  <si>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</si>
  <si>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</si>
  <si>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</si>
  <si>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</si>
  <si>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</si>
  <si>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</si>
  <si>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</si>
  <si>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</si>
  <si>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</si>
  <si>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</si>
  <si>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</si>
  <si>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</si>
  <si>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</si>
  <si>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</si>
  <si>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</si>
  <si>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</si>
  <si>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</si>
  <si>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</si>
  <si>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</si>
  <si>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</si>
  <si>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</si>
  <si>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</si>
  <si>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</si>
  <si>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</si>
  <si>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</si>
  <si>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</si>
  <si>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</si>
  <si>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</si>
  <si>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</si>
  <si>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</si>
  <si>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</si>
  <si>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</si>
  <si>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</si>
  <si>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</si>
  <si>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</si>
  <si>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</si>
  <si>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</si>
  <si>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</si>
  <si>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</si>
  <si>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</si>
  <si>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</si>
  <si>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</si>
  <si>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</si>
  <si>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</si>
  <si>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</si>
  <si>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</si>
  <si>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</si>
  <si>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</si>
  <si>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</si>
  <si>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</si>
  <si>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</si>
  <si>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</si>
  <si>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</si>
  <si>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</si>
  <si>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</si>
  <si>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</si>
  <si>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</si>
  <si>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</si>
  <si>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</si>
  <si>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</si>
  <si>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</si>
  <si>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</si>
  <si>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</si>
  <si>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</si>
  <si>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</si>
  <si>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</si>
  <si>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</si>
  <si>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</si>
  <si>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</si>
  <si>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</si>
  <si>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</si>
  <si>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</si>
  <si>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</si>
  <si>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</si>
  <si>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</si>
  <si>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</si>
  <si>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</si>
  <si>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</si>
  <si>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</si>
  <si>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</si>
  <si>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</si>
  <si>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</si>
  <si>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</si>
  <si>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</si>
  <si>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</si>
  <si>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</si>
  <si>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</si>
  <si>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</si>
  <si>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</si>
  <si>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</si>
  <si>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</si>
  <si>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</si>
  <si>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</si>
  <si>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</si>
  <si>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</si>
  <si>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</si>
  <si>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</si>
  <si>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</si>
  <si>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</si>
  <si>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</si>
  <si>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</si>
  <si>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</si>
  <si>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</si>
  <si>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</si>
  <si>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</si>
  <si>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</si>
  <si>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</si>
  <si>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</si>
  <si>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</si>
  <si>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</si>
  <si>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</si>
  <si>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</si>
  <si>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</si>
  <si>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</si>
  <si>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</si>
  <si>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</si>
  <si>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</si>
  <si>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</si>
  <si>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</si>
  <si>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</si>
  <si>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</si>
  <si>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</si>
  <si>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</si>
  <si>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</si>
  <si>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</si>
  <si>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</si>
  <si>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</si>
  <si>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</si>
  <si>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</si>
  <si>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</si>
  <si>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</si>
  <si>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</si>
  <si>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</si>
  <si>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</si>
  <si>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</si>
  <si>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</si>
  <si>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</si>
  <si>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</si>
  <si>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</si>
  <si>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</si>
  <si>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</si>
  <si>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</si>
  <si>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</si>
  <si>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</si>
  <si>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</si>
  <si>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</si>
  <si>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</si>
  <si>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</si>
  <si>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</si>
  <si>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</si>
  <si>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</si>
  <si>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</si>
  <si>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</si>
  <si>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</si>
  <si>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</si>
  <si>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</si>
  <si>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</si>
  <si>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</si>
  <si>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</si>
  <si>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</si>
  <si>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</si>
  <si>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</si>
  <si>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</si>
  <si>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</si>
  <si>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</si>
  <si>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</si>
  <si>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</si>
  <si>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</si>
  <si>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</si>
  <si>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</si>
  <si>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</si>
  <si>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</si>
  <si>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</si>
  <si>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</si>
  <si>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</si>
  <si>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</si>
  <si>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</si>
  <si>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</si>
  <si>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</si>
  <si>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</si>
  <si>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</si>
  <si>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</si>
  <si>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</si>
  <si>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</si>
  <si>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</si>
  <si>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</si>
  <si>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</si>
  <si>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</si>
  <si>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</si>
  <si>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</si>
  <si>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</si>
  <si>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</si>
  <si>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</si>
  <si>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</si>
  <si>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</si>
  <si>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</si>
  <si>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</si>
  <si>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</si>
  <si>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</si>
  <si>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</si>
  <si>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</si>
  <si>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</si>
  <si>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</si>
  <si>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</si>
  <si>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</si>
  <si>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</si>
  <si>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</si>
  <si>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</si>
  <si>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</si>
  <si>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</si>
  <si>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</si>
  <si>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</si>
  <si>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</si>
  <si>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</si>
  <si>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</si>
  <si>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</si>
  <si>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</si>
  <si>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</si>
  <si>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</si>
  <si>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</si>
  <si>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</si>
  <si>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</si>
  <si>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</si>
  <si>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</si>
  <si>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</si>
  <si>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</si>
  <si>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</si>
  <si>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</si>
  <si>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</si>
  <si>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</si>
  <si>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</si>
  <si>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</si>
  <si>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</si>
  <si>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</si>
  <si>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</si>
  <si>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</si>
  <si>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</si>
  <si>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</si>
  <si>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</si>
  <si>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</si>
  <si>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</si>
  <si>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</si>
  <si>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</si>
  <si>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</si>
  <si>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</si>
  <si>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</si>
  <si>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</si>
  <si>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</si>
  <si>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</si>
  <si>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</si>
  <si>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</si>
  <si>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</si>
  <si>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</si>
  <si>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</si>
  <si>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</si>
  <si>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</si>
  <si>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</si>
  <si>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</si>
  <si>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</si>
  <si>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</si>
  <si>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</si>
  <si>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</si>
  <si>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</si>
  <si>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</si>
  <si>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</si>
  <si>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</si>
  <si>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</si>
  <si>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</si>
  <si>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</si>
  <si>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</si>
  <si>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</si>
  <si>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</si>
  <si>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</si>
  <si>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</si>
  <si>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</si>
  <si>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</si>
  <si>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</si>
  <si>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</si>
  <si>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</si>
  <si>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</si>
  <si>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</si>
  <si>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</si>
  <si>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</si>
  <si>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</si>
  <si>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</si>
  <si>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</si>
  <si>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</si>
  <si>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</si>
  <si>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</si>
  <si>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</si>
  <si>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</si>
  <si>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</si>
  <si>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</si>
  <si>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</si>
  <si>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</si>
  <si>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</si>
  <si>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</si>
  <si>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</si>
  <si>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</si>
  <si>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</si>
  <si>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</si>
  <si>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</si>
  <si>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</si>
  <si>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</si>
  <si>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</si>
  <si>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</si>
  <si>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</si>
  <si>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</si>
  <si>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</si>
  <si>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</si>
  <si>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</si>
  <si>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</si>
  <si>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</si>
  <si>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</si>
  <si>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</si>
  <si>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</si>
  <si>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</si>
  <si>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</si>
  <si>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</si>
  <si>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</si>
  <si>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</si>
  <si>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</si>
  <si>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</si>
  <si>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</si>
  <si>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</si>
  <si>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</si>
  <si>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</si>
  <si>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</si>
  <si>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</si>
  <si>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</si>
  <si>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</si>
  <si>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</si>
  <si>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</si>
  <si>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</si>
  <si>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</si>
  <si>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</si>
  <si>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</si>
  <si>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</si>
  <si>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</si>
  <si>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</si>
  <si>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</si>
  <si>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</si>
  <si>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</si>
  <si>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</si>
  <si>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</si>
  <si>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</si>
  <si>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</si>
  <si>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</si>
  <si>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</si>
  <si>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</si>
  <si>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</si>
  <si>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</si>
  <si>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</si>
  <si>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</si>
  <si>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</si>
  <si>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</si>
  <si>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</si>
  <si>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</si>
  <si>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</si>
  <si>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</si>
  <si>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</si>
  <si>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</si>
  <si>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</si>
  <si>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</si>
  <si>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</si>
  <si>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</si>
  <si>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</si>
  <si>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</si>
  <si>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</si>
  <si>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</si>
  <si>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</si>
  <si>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</si>
  <si>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</si>
  <si>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</si>
  <si>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</si>
  <si>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</si>
  <si>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</si>
  <si>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</si>
  <si>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</si>
  <si>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</si>
  <si>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</si>
  <si>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</si>
  <si>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</si>
  <si>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</si>
  <si>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</si>
  <si>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</si>
  <si>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</si>
  <si>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</si>
  <si>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</si>
  <si>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</si>
  <si>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</si>
  <si>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</si>
  <si>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</si>
  <si>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</si>
  <si>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</si>
  <si>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</si>
  <si>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</si>
  <si>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</si>
  <si>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</si>
  <si>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</si>
  <si>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</si>
  <si>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</si>
  <si>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</si>
  <si>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</si>
  <si>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</si>
  <si>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</si>
  <si>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</si>
  <si>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</si>
  <si>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</si>
  <si>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</si>
  <si>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</si>
  <si>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</si>
  <si>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</si>
  <si>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</si>
  <si>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</si>
  <si>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</si>
  <si>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</si>
  <si>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</si>
  <si>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</si>
  <si>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</si>
  <si>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</si>
  <si>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</si>
  <si>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</si>
  <si>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</si>
  <si>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</si>
  <si>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</si>
  <si>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</si>
  <si>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</si>
  <si>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</si>
  <si>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</si>
  <si>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</si>
  <si>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</si>
  <si>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</si>
  <si>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</si>
  <si>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</si>
  <si>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</si>
  <si>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</si>
  <si>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</si>
  <si>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</si>
  <si>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</si>
  <si>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</si>
  <si>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</si>
  <si>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</si>
  <si>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</si>
  <si>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</si>
  <si>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</si>
  <si>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</si>
  <si>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</si>
  <si>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</si>
  <si>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</si>
  <si>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</si>
  <si>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</si>
  <si>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</si>
  <si>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</si>
  <si>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</si>
  <si>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</si>
  <si>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</si>
  <si>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</si>
  <si>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</si>
  <si>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</si>
  <si>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</si>
  <si>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</si>
  <si>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</si>
  <si>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</si>
  <si>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</si>
  <si>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</si>
  <si>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</si>
  <si>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</si>
  <si>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</si>
  <si>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</si>
  <si>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</si>
  <si>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</si>
  <si>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</si>
  <si>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</si>
  <si>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</si>
  <si>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</si>
  <si>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</si>
  <si>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</si>
  <si>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</si>
  <si>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</si>
  <si>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</si>
  <si>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</si>
  <si>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</si>
  <si>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</si>
  <si>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</si>
  <si>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</si>
  <si>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</si>
  <si>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</si>
  <si>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</si>
  <si>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</si>
  <si>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</si>
  <si>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</si>
  <si>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</si>
  <si>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</si>
  <si>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</si>
  <si>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</si>
  <si>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</si>
  <si>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</si>
  <si>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</si>
  <si>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</si>
  <si>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</si>
  <si>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</si>
  <si>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</si>
  <si>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</si>
  <si>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</si>
  <si>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</si>
  <si>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</si>
  <si>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</si>
  <si>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</si>
  <si>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</si>
  <si>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</si>
  <si>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</si>
  <si>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</si>
  <si>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</si>
  <si>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</si>
  <si>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</si>
  <si>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</si>
  <si>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</si>
  <si>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</si>
  <si>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</si>
  <si>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</si>
  <si>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</si>
  <si>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</si>
  <si>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</si>
  <si>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</si>
  <si>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</si>
  <si>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</si>
  <si>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</si>
  <si>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</si>
  <si>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</si>
  <si>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</si>
  <si>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</si>
  <si>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</si>
  <si>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</si>
  <si>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</si>
  <si>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</si>
  <si>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</si>
  <si>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</si>
  <si>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</si>
  <si>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</si>
  <si>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</si>
  <si>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</si>
  <si>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</si>
  <si>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</si>
  <si>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</si>
  <si>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</si>
  <si>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</si>
  <si>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</si>
  <si>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</si>
  <si>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</si>
  <si>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</si>
  <si>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</si>
  <si>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</si>
  <si>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</si>
  <si>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</si>
  <si>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</si>
  <si>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</si>
  <si>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</si>
  <si>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</si>
  <si>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</si>
  <si>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</si>
  <si>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</si>
  <si>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</si>
  <si>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</si>
  <si>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</si>
  <si>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</si>
  <si>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</si>
  <si>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</si>
  <si>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</si>
  <si>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</si>
  <si>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</si>
  <si>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</si>
  <si>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</si>
  <si>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</si>
  <si>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</si>
  <si>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</si>
  <si>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</si>
  <si>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</si>
  <si>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</si>
  <si>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</si>
  <si>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</si>
  <si>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</si>
  <si>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</si>
  <si>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</si>
  <si>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</si>
  <si>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</si>
  <si>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</si>
  <si>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</si>
  <si>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</si>
  <si>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</si>
  <si>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</si>
  <si>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</si>
  <si>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</si>
  <si>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</si>
  <si>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</si>
  <si>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</si>
  <si>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</si>
  <si>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</si>
  <si>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</si>
  <si>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</si>
  <si>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</si>
  <si>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</si>
  <si>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</si>
  <si>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</si>
  <si>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</si>
  <si>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</si>
  <si>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</si>
  <si>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</si>
  <si>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</si>
  <si>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</si>
  <si>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</si>
  <si>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</si>
  <si>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</si>
  <si>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</si>
  <si>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</si>
  <si>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</si>
  <si>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</si>
  <si>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</si>
  <si>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</si>
  <si>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</si>
  <si>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</si>
  <si>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</si>
  <si>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</si>
  <si>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</si>
  <si>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</si>
  <si>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</si>
  <si>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</si>
  <si>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</si>
  <si>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</si>
  <si>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</si>
  <si>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</si>
  <si>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</si>
  <si>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</si>
  <si>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</si>
  <si>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</si>
  <si>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</si>
  <si>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</si>
  <si>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</si>
  <si>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</si>
  <si>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</si>
  <si>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</si>
  <si>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</si>
  <si>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</si>
  <si>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</si>
  <si>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</si>
  <si>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</si>
  <si>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</si>
  <si>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</si>
  <si>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</si>
  <si>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</si>
  <si>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</si>
  <si>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</si>
  <si>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</si>
  <si>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</si>
  <si>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</si>
  <si>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</si>
  <si>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</si>
  <si>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</si>
  <si>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</si>
  <si>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</si>
  <si>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</si>
  <si>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</si>
  <si>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</si>
  <si>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</si>
  <si>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</si>
  <si>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72030</t>
  </si>
  <si>
    <t>PEER</t>
  </si>
  <si>
    <t>Fluvius</t>
  </si>
  <si>
    <t>referentietaak LNE (2017); Jaarverslag De Lijn</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</si>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</sst>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146244.5096107813</c:v>
                </c:pt>
                <c:pt idx="1">
                  <c:v>79350.405171434628</c:v>
                </c:pt>
                <c:pt idx="2">
                  <c:v>1071.1220000000001</c:v>
                </c:pt>
                <c:pt idx="3">
                  <c:v>19957.207214186899</c:v>
                </c:pt>
                <c:pt idx="4">
                  <c:v>33110.204710216269</c:v>
                </c:pt>
                <c:pt idx="5">
                  <c:v>112851.4273660968</c:v>
                </c:pt>
                <c:pt idx="6">
                  <c:v>2620.157409462186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146244.5096107813</c:v>
                </c:pt>
                <c:pt idx="1">
                  <c:v>79350.405171434628</c:v>
                </c:pt>
                <c:pt idx="2">
                  <c:v>1071.1220000000001</c:v>
                </c:pt>
                <c:pt idx="3">
                  <c:v>19957.207214186899</c:v>
                </c:pt>
                <c:pt idx="4">
                  <c:v>33110.204710216269</c:v>
                </c:pt>
                <c:pt idx="5">
                  <c:v>112851.4273660968</c:v>
                </c:pt>
                <c:pt idx="6">
                  <c:v>2620.157409462186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25982.323535882941</c:v>
                </c:pt>
                <c:pt idx="2">
                  <c:v>14498.099188587676</c:v>
                </c:pt>
                <c:pt idx="3">
                  <c:v>174.52730694437321</c:v>
                </c:pt>
                <c:pt idx="4">
                  <c:v>4962.683700691231</c:v>
                </c:pt>
                <c:pt idx="5">
                  <c:v>3423.6981251030502</c:v>
                </c:pt>
                <c:pt idx="6">
                  <c:v>28220.548346352873</c:v>
                </c:pt>
                <c:pt idx="7">
                  <c:v>661.98693303765458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25982.323535882941</c:v>
                </c:pt>
                <c:pt idx="2">
                  <c:v>14498.099188587676</c:v>
                </c:pt>
                <c:pt idx="3">
                  <c:v>174.52730694437321</c:v>
                </c:pt>
                <c:pt idx="4">
                  <c:v>4962.683700691231</c:v>
                </c:pt>
                <c:pt idx="5">
                  <c:v>3423.6981251030502</c:v>
                </c:pt>
                <c:pt idx="6">
                  <c:v>28220.548346352873</c:v>
                </c:pt>
                <c:pt idx="7">
                  <c:v>661.98693303765458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72030</v>
      </c>
      <c r="B6" s="390"/>
      <c r="C6" s="391"/>
    </row>
    <row r="7" spans="1:7" s="388" customFormat="1" ht="15.75" customHeight="1">
      <c r="A7" s="392" t="str">
        <f>txtMunicipality</f>
        <v>PEER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0.16293877536300552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0.16293877536300552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6627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5235.4399999999996</v>
      </c>
      <c r="C14" s="330"/>
      <c r="D14" s="330"/>
      <c r="E14" s="330"/>
      <c r="F14" s="330"/>
    </row>
    <row r="15" spans="1:6">
      <c r="A15" s="1293" t="s">
        <v>183</v>
      </c>
      <c r="B15" s="1294">
        <v>1376</v>
      </c>
      <c r="C15" s="330"/>
      <c r="D15" s="330"/>
      <c r="E15" s="330"/>
      <c r="F15" s="330"/>
    </row>
    <row r="16" spans="1:6">
      <c r="A16" s="1293" t="s">
        <v>6</v>
      </c>
      <c r="B16" s="1294">
        <v>4258</v>
      </c>
      <c r="C16" s="330"/>
      <c r="D16" s="330"/>
      <c r="E16" s="330"/>
      <c r="F16" s="330"/>
    </row>
    <row r="17" spans="1:6">
      <c r="A17" s="1293" t="s">
        <v>7</v>
      </c>
      <c r="B17" s="1294">
        <v>628</v>
      </c>
      <c r="C17" s="330"/>
      <c r="D17" s="330"/>
      <c r="E17" s="330"/>
      <c r="F17" s="330"/>
    </row>
    <row r="18" spans="1:6">
      <c r="A18" s="1293" t="s">
        <v>8</v>
      </c>
      <c r="B18" s="1294">
        <v>2570</v>
      </c>
      <c r="C18" s="330"/>
      <c r="D18" s="330"/>
      <c r="E18" s="330"/>
      <c r="F18" s="330"/>
    </row>
    <row r="19" spans="1:6">
      <c r="A19" s="1293" t="s">
        <v>9</v>
      </c>
      <c r="B19" s="1294">
        <v>2177</v>
      </c>
      <c r="C19" s="330"/>
      <c r="D19" s="330"/>
      <c r="E19" s="330"/>
      <c r="F19" s="330"/>
    </row>
    <row r="20" spans="1:6">
      <c r="A20" s="1293" t="s">
        <v>10</v>
      </c>
      <c r="B20" s="1294">
        <v>1331</v>
      </c>
      <c r="C20" s="330"/>
      <c r="D20" s="330"/>
      <c r="E20" s="330"/>
      <c r="F20" s="330"/>
    </row>
    <row r="21" spans="1:6">
      <c r="A21" s="1293" t="s">
        <v>11</v>
      </c>
      <c r="B21" s="1294">
        <v>7475</v>
      </c>
      <c r="C21" s="330"/>
      <c r="D21" s="330"/>
      <c r="E21" s="330"/>
      <c r="F21" s="330"/>
    </row>
    <row r="22" spans="1:6">
      <c r="A22" s="1293" t="s">
        <v>12</v>
      </c>
      <c r="B22" s="1294">
        <v>20729</v>
      </c>
      <c r="C22" s="330"/>
      <c r="D22" s="330"/>
      <c r="E22" s="330"/>
      <c r="F22" s="330"/>
    </row>
    <row r="23" spans="1:6">
      <c r="A23" s="1293" t="s">
        <v>13</v>
      </c>
      <c r="B23" s="1294">
        <v>778</v>
      </c>
      <c r="C23" s="330"/>
      <c r="D23" s="330"/>
      <c r="E23" s="330"/>
      <c r="F23" s="330"/>
    </row>
    <row r="24" spans="1:6">
      <c r="A24" s="1293" t="s">
        <v>14</v>
      </c>
      <c r="B24" s="1294">
        <v>23</v>
      </c>
      <c r="C24" s="330"/>
      <c r="D24" s="330"/>
      <c r="E24" s="330"/>
      <c r="F24" s="330"/>
    </row>
    <row r="25" spans="1:6">
      <c r="A25" s="1293" t="s">
        <v>15</v>
      </c>
      <c r="B25" s="1294">
        <v>3871</v>
      </c>
      <c r="C25" s="330"/>
      <c r="D25" s="330"/>
      <c r="E25" s="330"/>
      <c r="F25" s="330"/>
    </row>
    <row r="26" spans="1:6">
      <c r="A26" s="1293" t="s">
        <v>16</v>
      </c>
      <c r="B26" s="1294">
        <v>432</v>
      </c>
      <c r="C26" s="330"/>
      <c r="D26" s="330"/>
      <c r="E26" s="330"/>
      <c r="F26" s="330"/>
    </row>
    <row r="27" spans="1:6">
      <c r="A27" s="1293" t="s">
        <v>17</v>
      </c>
      <c r="B27" s="1294">
        <v>1225</v>
      </c>
      <c r="C27" s="330"/>
      <c r="D27" s="330"/>
      <c r="E27" s="330"/>
      <c r="F27" s="330"/>
    </row>
    <row r="28" spans="1:6" s="43" customFormat="1">
      <c r="A28" s="1295" t="s">
        <v>18</v>
      </c>
      <c r="B28" s="1296">
        <v>383669</v>
      </c>
      <c r="C28" s="336"/>
      <c r="D28" s="336"/>
      <c r="E28" s="336"/>
      <c r="F28" s="336"/>
    </row>
    <row r="29" spans="1:6">
      <c r="A29" s="1295" t="s">
        <v>734</v>
      </c>
      <c r="B29" s="1296">
        <v>533</v>
      </c>
      <c r="C29" s="336"/>
      <c r="D29" s="336"/>
      <c r="E29" s="336"/>
      <c r="F29" s="336"/>
    </row>
    <row r="30" spans="1:6">
      <c r="A30" s="1288" t="s">
        <v>735</v>
      </c>
      <c r="B30" s="1297">
        <v>141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4165</v>
      </c>
    </row>
    <row r="36" spans="1:6">
      <c r="A36" s="1293" t="s">
        <v>24</v>
      </c>
      <c r="B36" s="1293" t="s">
        <v>26</v>
      </c>
      <c r="C36" s="1294">
        <v>0</v>
      </c>
      <c r="D36" s="1294">
        <v>0</v>
      </c>
      <c r="E36" s="1294">
        <v>21</v>
      </c>
      <c r="F36" s="1294">
        <v>54622</v>
      </c>
    </row>
    <row r="37" spans="1:6">
      <c r="A37" s="1293" t="s">
        <v>24</v>
      </c>
      <c r="B37" s="1293" t="s">
        <v>27</v>
      </c>
      <c r="C37" s="1294">
        <v>0</v>
      </c>
      <c r="D37" s="1294">
        <v>0</v>
      </c>
      <c r="E37" s="1294">
        <v>0</v>
      </c>
      <c r="F37" s="1294">
        <v>0</v>
      </c>
    </row>
    <row r="38" spans="1:6">
      <c r="A38" s="1293" t="s">
        <v>24</v>
      </c>
      <c r="B38" s="1293" t="s">
        <v>28</v>
      </c>
      <c r="C38" s="1294">
        <v>2</v>
      </c>
      <c r="D38" s="1294">
        <v>291868</v>
      </c>
      <c r="E38" s="1294">
        <v>0</v>
      </c>
      <c r="F38" s="1294">
        <v>0</v>
      </c>
    </row>
    <row r="39" spans="1:6">
      <c r="A39" s="1293" t="s">
        <v>29</v>
      </c>
      <c r="B39" s="1293" t="s">
        <v>30</v>
      </c>
      <c r="C39" s="1294">
        <v>3188</v>
      </c>
      <c r="D39" s="1294">
        <v>44810098.200000003</v>
      </c>
      <c r="E39" s="1294">
        <v>6484</v>
      </c>
      <c r="F39" s="1294">
        <v>21473160.850000001</v>
      </c>
    </row>
    <row r="40" spans="1:6">
      <c r="A40" s="1293" t="s">
        <v>29</v>
      </c>
      <c r="B40" s="1293" t="s">
        <v>28</v>
      </c>
      <c r="C40" s="1294">
        <v>0</v>
      </c>
      <c r="D40" s="1294">
        <v>0</v>
      </c>
      <c r="E40" s="1294">
        <v>0</v>
      </c>
      <c r="F40" s="1294">
        <v>0</v>
      </c>
    </row>
    <row r="41" spans="1:6">
      <c r="A41" s="1293" t="s">
        <v>31</v>
      </c>
      <c r="B41" s="1293" t="s">
        <v>32</v>
      </c>
      <c r="C41" s="1294">
        <v>60</v>
      </c>
      <c r="D41" s="1294">
        <v>1637628.8</v>
      </c>
      <c r="E41" s="1294">
        <v>137</v>
      </c>
      <c r="F41" s="1294">
        <v>2073129.034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9</v>
      </c>
      <c r="D44" s="1294">
        <v>207744</v>
      </c>
      <c r="E44" s="1294">
        <v>32</v>
      </c>
      <c r="F44" s="1294">
        <v>447443.5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1735044</v>
      </c>
    </row>
    <row r="48" spans="1:6">
      <c r="A48" s="1293" t="s">
        <v>31</v>
      </c>
      <c r="B48" s="1293" t="s">
        <v>28</v>
      </c>
      <c r="C48" s="1294">
        <v>4</v>
      </c>
      <c r="D48" s="1294">
        <v>362633</v>
      </c>
      <c r="E48" s="1294">
        <v>3</v>
      </c>
      <c r="F48" s="1294">
        <v>213621.05100000001</v>
      </c>
    </row>
    <row r="49" spans="1:6">
      <c r="A49" s="1293" t="s">
        <v>31</v>
      </c>
      <c r="B49" s="1293" t="s">
        <v>39</v>
      </c>
      <c r="C49" s="1294">
        <v>0</v>
      </c>
      <c r="D49" s="1294">
        <v>0</v>
      </c>
      <c r="E49" s="1294">
        <v>5</v>
      </c>
      <c r="F49" s="1294">
        <v>39861</v>
      </c>
    </row>
    <row r="50" spans="1:6">
      <c r="A50" s="1293" t="s">
        <v>31</v>
      </c>
      <c r="B50" s="1293" t="s">
        <v>40</v>
      </c>
      <c r="C50" s="1294">
        <v>4</v>
      </c>
      <c r="D50" s="1294">
        <v>162394</v>
      </c>
      <c r="E50" s="1294">
        <v>10</v>
      </c>
      <c r="F50" s="1294">
        <v>204968</v>
      </c>
    </row>
    <row r="51" spans="1:6">
      <c r="A51" s="1293" t="s">
        <v>41</v>
      </c>
      <c r="B51" s="1293" t="s">
        <v>42</v>
      </c>
      <c r="C51" s="1294">
        <v>5</v>
      </c>
      <c r="D51" s="1294">
        <v>96341</v>
      </c>
      <c r="E51" s="1294">
        <v>185</v>
      </c>
      <c r="F51" s="1294">
        <v>3709202.9180000001</v>
      </c>
    </row>
    <row r="52" spans="1:6">
      <c r="A52" s="1293" t="s">
        <v>41</v>
      </c>
      <c r="B52" s="1293" t="s">
        <v>28</v>
      </c>
      <c r="C52" s="1294">
        <v>0</v>
      </c>
      <c r="D52" s="1294">
        <v>0</v>
      </c>
      <c r="E52" s="1294">
        <v>0</v>
      </c>
      <c r="F52" s="1294">
        <v>0</v>
      </c>
    </row>
    <row r="53" spans="1:6">
      <c r="A53" s="1293" t="s">
        <v>43</v>
      </c>
      <c r="B53" s="1293" t="s">
        <v>44</v>
      </c>
      <c r="C53" s="1294">
        <v>59</v>
      </c>
      <c r="D53" s="1294">
        <v>1316107.45</v>
      </c>
      <c r="E53" s="1294">
        <v>130</v>
      </c>
      <c r="F53" s="1294">
        <v>459593.54200000002</v>
      </c>
    </row>
    <row r="54" spans="1:6">
      <c r="A54" s="1293" t="s">
        <v>45</v>
      </c>
      <c r="B54" s="1293" t="s">
        <v>46</v>
      </c>
      <c r="C54" s="1294">
        <v>0</v>
      </c>
      <c r="D54" s="1294">
        <v>0</v>
      </c>
      <c r="E54" s="1294">
        <v>4</v>
      </c>
      <c r="F54" s="1294">
        <v>1071122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40</v>
      </c>
      <c r="D57" s="1294">
        <v>1092800.7</v>
      </c>
      <c r="E57" s="1294">
        <v>96</v>
      </c>
      <c r="F57" s="1294">
        <v>3926426.4</v>
      </c>
    </row>
    <row r="58" spans="1:6">
      <c r="A58" s="1293" t="s">
        <v>48</v>
      </c>
      <c r="B58" s="1293" t="s">
        <v>50</v>
      </c>
      <c r="C58" s="1294">
        <v>34</v>
      </c>
      <c r="D58" s="1294">
        <v>5251147.8619999997</v>
      </c>
      <c r="E58" s="1294">
        <v>48</v>
      </c>
      <c r="F58" s="1294">
        <v>1691545.6869999999</v>
      </c>
    </row>
    <row r="59" spans="1:6">
      <c r="A59" s="1293" t="s">
        <v>48</v>
      </c>
      <c r="B59" s="1293" t="s">
        <v>51</v>
      </c>
      <c r="C59" s="1294">
        <v>77</v>
      </c>
      <c r="D59" s="1294">
        <v>4701383.0329999998</v>
      </c>
      <c r="E59" s="1294">
        <v>218</v>
      </c>
      <c r="F59" s="1294">
        <v>7347928.1229999997</v>
      </c>
    </row>
    <row r="60" spans="1:6">
      <c r="A60" s="1293" t="s">
        <v>48</v>
      </c>
      <c r="B60" s="1293" t="s">
        <v>52</v>
      </c>
      <c r="C60" s="1294">
        <v>51</v>
      </c>
      <c r="D60" s="1294">
        <v>27943689.199999999</v>
      </c>
      <c r="E60" s="1294">
        <v>82</v>
      </c>
      <c r="F60" s="1294">
        <v>11494245.358999999</v>
      </c>
    </row>
    <row r="61" spans="1:6">
      <c r="A61" s="1293" t="s">
        <v>48</v>
      </c>
      <c r="B61" s="1293" t="s">
        <v>53</v>
      </c>
      <c r="C61" s="1294">
        <v>83</v>
      </c>
      <c r="D61" s="1294">
        <v>3287892.5819999999</v>
      </c>
      <c r="E61" s="1294">
        <v>276</v>
      </c>
      <c r="F61" s="1294">
        <v>4262359.3640000001</v>
      </c>
    </row>
    <row r="62" spans="1:6">
      <c r="A62" s="1293" t="s">
        <v>48</v>
      </c>
      <c r="B62" s="1293" t="s">
        <v>54</v>
      </c>
      <c r="C62" s="1294">
        <v>19</v>
      </c>
      <c r="D62" s="1294">
        <v>2837925.4169999999</v>
      </c>
      <c r="E62" s="1294">
        <v>21</v>
      </c>
      <c r="F62" s="1294">
        <v>1032540.138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49485</v>
      </c>
      <c r="E65" s="1294">
        <v>0</v>
      </c>
      <c r="F65" s="1294">
        <v>0</v>
      </c>
    </row>
    <row r="66" spans="1:6">
      <c r="A66" s="1293" t="s">
        <v>55</v>
      </c>
      <c r="B66" s="1293" t="s">
        <v>57</v>
      </c>
      <c r="C66" s="1294">
        <v>0</v>
      </c>
      <c r="D66" s="1294">
        <v>0</v>
      </c>
      <c r="E66" s="1294">
        <v>14</v>
      </c>
      <c r="F66" s="1294">
        <v>148651</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93128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86426873</v>
      </c>
      <c r="E73" s="449"/>
      <c r="F73" s="330"/>
    </row>
    <row r="74" spans="1:6">
      <c r="A74" s="1293" t="s">
        <v>63</v>
      </c>
      <c r="B74" s="1293" t="s">
        <v>656</v>
      </c>
      <c r="C74" s="1307" t="s">
        <v>658</v>
      </c>
      <c r="D74" s="1308">
        <v>6965509</v>
      </c>
      <c r="E74" s="449"/>
      <c r="F74" s="330"/>
    </row>
    <row r="75" spans="1:6">
      <c r="A75" s="1293" t="s">
        <v>64</v>
      </c>
      <c r="B75" s="1293" t="s">
        <v>655</v>
      </c>
      <c r="C75" s="1307" t="s">
        <v>659</v>
      </c>
      <c r="D75" s="1308">
        <v>40873072</v>
      </c>
      <c r="E75" s="449"/>
      <c r="F75" s="330"/>
    </row>
    <row r="76" spans="1:6">
      <c r="A76" s="1293" t="s">
        <v>64</v>
      </c>
      <c r="B76" s="1293" t="s">
        <v>656</v>
      </c>
      <c r="C76" s="1307" t="s">
        <v>660</v>
      </c>
      <c r="D76" s="1308">
        <v>714781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714600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7248.6609287630372</v>
      </c>
      <c r="C91" s="330"/>
      <c r="D91" s="330"/>
      <c r="E91" s="330"/>
      <c r="F91" s="330"/>
    </row>
    <row r="92" spans="1:6">
      <c r="A92" s="1288" t="s">
        <v>68</v>
      </c>
      <c r="B92" s="1289">
        <v>3464.9006574357013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903</v>
      </c>
      <c r="C97" s="330"/>
      <c r="D97" s="330"/>
      <c r="E97" s="330"/>
      <c r="F97" s="330"/>
    </row>
    <row r="98" spans="1:6">
      <c r="A98" s="1293" t="s">
        <v>71</v>
      </c>
      <c r="B98" s="1294">
        <v>5</v>
      </c>
      <c r="C98" s="330"/>
      <c r="D98" s="330"/>
      <c r="E98" s="330"/>
      <c r="F98" s="330"/>
    </row>
    <row r="99" spans="1:6">
      <c r="A99" s="1293" t="s">
        <v>72</v>
      </c>
      <c r="B99" s="1294">
        <v>58</v>
      </c>
      <c r="C99" s="330"/>
      <c r="D99" s="330"/>
      <c r="E99" s="330"/>
      <c r="F99" s="330"/>
    </row>
    <row r="100" spans="1:6">
      <c r="A100" s="1293" t="s">
        <v>73</v>
      </c>
      <c r="B100" s="1294">
        <v>226</v>
      </c>
      <c r="C100" s="330"/>
      <c r="D100" s="330"/>
      <c r="E100" s="330"/>
      <c r="F100" s="330"/>
    </row>
    <row r="101" spans="1:6">
      <c r="A101" s="1293" t="s">
        <v>74</v>
      </c>
      <c r="B101" s="1294">
        <v>79</v>
      </c>
      <c r="C101" s="330"/>
      <c r="D101" s="330"/>
      <c r="E101" s="330"/>
      <c r="F101" s="330"/>
    </row>
    <row r="102" spans="1:6">
      <c r="A102" s="1293" t="s">
        <v>75</v>
      </c>
      <c r="B102" s="1294">
        <v>57</v>
      </c>
      <c r="C102" s="330"/>
      <c r="D102" s="330"/>
      <c r="E102" s="330"/>
      <c r="F102" s="330"/>
    </row>
    <row r="103" spans="1:6">
      <c r="A103" s="1293" t="s">
        <v>76</v>
      </c>
      <c r="B103" s="1294">
        <v>102</v>
      </c>
      <c r="C103" s="330"/>
      <c r="D103" s="330"/>
      <c r="E103" s="330"/>
      <c r="F103" s="330"/>
    </row>
    <row r="104" spans="1:6">
      <c r="A104" s="1293" t="s">
        <v>77</v>
      </c>
      <c r="B104" s="1294">
        <v>3908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51</v>
      </c>
      <c r="C123" s="1294">
        <v>47</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266</v>
      </c>
      <c r="C129" s="330"/>
      <c r="D129" s="330"/>
      <c r="E129" s="330"/>
      <c r="F129" s="330"/>
    </row>
    <row r="130" spans="1:6">
      <c r="A130" s="1293" t="s">
        <v>294</v>
      </c>
      <c r="B130" s="1294">
        <v>2</v>
      </c>
      <c r="C130" s="330"/>
      <c r="D130" s="330"/>
      <c r="E130" s="330"/>
      <c r="F130" s="330"/>
    </row>
    <row r="131" spans="1:6">
      <c r="A131" s="1293" t="s">
        <v>295</v>
      </c>
      <c r="B131" s="1294">
        <v>4</v>
      </c>
      <c r="C131" s="330"/>
      <c r="D131" s="330"/>
      <c r="E131" s="330"/>
      <c r="F131" s="330"/>
    </row>
    <row r="132" spans="1:6">
      <c r="A132" s="1288" t="s">
        <v>296</v>
      </c>
      <c r="B132" s="1289">
        <v>61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78282.675554416288</v>
      </c>
      <c r="C3" s="43" t="s">
        <v>169</v>
      </c>
      <c r="D3" s="43"/>
      <c r="E3" s="154"/>
      <c r="F3" s="43"/>
      <c r="G3" s="43"/>
      <c r="H3" s="43"/>
      <c r="I3" s="43"/>
      <c r="J3" s="43"/>
      <c r="K3" s="96"/>
    </row>
    <row r="4" spans="1:11">
      <c r="A4" s="358" t="s">
        <v>170</v>
      </c>
      <c r="B4" s="49">
        <f>IF(ISERROR('SEAP template'!B78+'SEAP template'!C78),0,'SEAP template'!B78+'SEAP template'!C78)</f>
        <v>20566.46158619874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0.16293877536300552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14075.571428571429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1071.1220000000001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1071.1220000000001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0.16293877536300552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174.52730694437321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21473.16085</v>
      </c>
      <c r="C5" s="17">
        <f>IF(ISERROR('Eigen informatie GS &amp; warmtenet'!B57),0,'Eigen informatie GS &amp; warmtenet'!B57)</f>
        <v>0</v>
      </c>
      <c r="D5" s="30">
        <f>(SUM(HH_hh_gas_kWh,HH_rest_gas_kWh)/1000)*0.902</f>
        <v>40418.7085764</v>
      </c>
      <c r="E5" s="17">
        <f>B46*B57</f>
        <v>12449.013625331931</v>
      </c>
      <c r="F5" s="17">
        <f>B51*B62</f>
        <v>38621.422635481802</v>
      </c>
      <c r="G5" s="18"/>
      <c r="H5" s="17"/>
      <c r="I5" s="17"/>
      <c r="J5" s="17">
        <f>B50*B61+C50*C61</f>
        <v>0</v>
      </c>
      <c r="K5" s="17"/>
      <c r="L5" s="17"/>
      <c r="M5" s="17"/>
      <c r="N5" s="17">
        <f>B48*B59+C48*C59</f>
        <v>23370.619661471184</v>
      </c>
      <c r="O5" s="17">
        <f>B69*B70*B71</f>
        <v>489.32333333333338</v>
      </c>
      <c r="P5" s="17">
        <f>B77*B78*B79/1000-B77*B78*B79/1000/B80</f>
        <v>2173.6</v>
      </c>
    </row>
    <row r="6" spans="1:16">
      <c r="A6" s="16" t="s">
        <v>620</v>
      </c>
      <c r="B6" s="762">
        <f>kWh_PV_kleiner_dan_10kW</f>
        <v>7248.6609287630372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28721.821778763038</v>
      </c>
      <c r="C8" s="21">
        <f>C5</f>
        <v>0</v>
      </c>
      <c r="D8" s="21">
        <f>D5</f>
        <v>40418.7085764</v>
      </c>
      <c r="E8" s="21">
        <f>E5</f>
        <v>12449.013625331931</v>
      </c>
      <c r="F8" s="21">
        <f>F5</f>
        <v>38621.422635481802</v>
      </c>
      <c r="G8" s="21"/>
      <c r="H8" s="21"/>
      <c r="I8" s="21"/>
      <c r="J8" s="21">
        <f>J5</f>
        <v>0</v>
      </c>
      <c r="K8" s="21"/>
      <c r="L8" s="21">
        <f>L5</f>
        <v>0</v>
      </c>
      <c r="M8" s="21">
        <f>M5</f>
        <v>0</v>
      </c>
      <c r="N8" s="21">
        <f>N5</f>
        <v>23370.619661471184</v>
      </c>
      <c r="O8" s="21">
        <f>O5</f>
        <v>489.32333333333338</v>
      </c>
      <c r="P8" s="21">
        <f>P5</f>
        <v>2173.6</v>
      </c>
    </row>
    <row r="9" spans="1:16">
      <c r="B9" s="19"/>
      <c r="C9" s="19"/>
      <c r="D9" s="258"/>
      <c r="E9" s="19"/>
      <c r="F9" s="19"/>
      <c r="G9" s="19"/>
      <c r="H9" s="19"/>
      <c r="I9" s="19"/>
      <c r="J9" s="19"/>
      <c r="K9" s="19"/>
      <c r="L9" s="19"/>
      <c r="M9" s="19"/>
      <c r="N9" s="19"/>
      <c r="O9" s="19"/>
      <c r="P9" s="19"/>
    </row>
    <row r="10" spans="1:16">
      <c r="A10" s="24" t="s">
        <v>213</v>
      </c>
      <c r="B10" s="25">
        <f ca="1">'EF ele_warmte'!B12</f>
        <v>0.16293877536300552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4679.8984668261501</v>
      </c>
      <c r="C12" s="23">
        <f ca="1">C10*C8</f>
        <v>0</v>
      </c>
      <c r="D12" s="23">
        <f>D8*D10</f>
        <v>8164.5791324328002</v>
      </c>
      <c r="E12" s="23">
        <f>E10*E8</f>
        <v>2825.9260929503484</v>
      </c>
      <c r="F12" s="23">
        <f>F10*F8</f>
        <v>10311.919843673642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6627</v>
      </c>
      <c r="C28" s="36"/>
      <c r="D28" s="228"/>
    </row>
    <row r="29" spans="1:7" s="15" customFormat="1">
      <c r="A29" s="230" t="s">
        <v>781</v>
      </c>
      <c r="B29" s="37">
        <f>SUM(HH_hh_gas_aantal,HH_rest_gas_aantal)</f>
        <v>3188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3188</v>
      </c>
      <c r="C32" s="167">
        <f>IF(ISERROR(B32/SUM($B$32,$B$34,$B$35,$B$36,$B$38,$B$39)*100),0,B32/SUM($B$32,$B$34,$B$35,$B$36,$B$38,$B$39)*100)</f>
        <v>48.948257331490865</v>
      </c>
      <c r="D32" s="233"/>
      <c r="G32" s="15"/>
    </row>
    <row r="33" spans="1:7">
      <c r="A33" s="171" t="s">
        <v>71</v>
      </c>
      <c r="B33" s="34" t="s">
        <v>110</v>
      </c>
      <c r="C33" s="167"/>
      <c r="D33" s="233"/>
      <c r="G33" s="15"/>
    </row>
    <row r="34" spans="1:7">
      <c r="A34" s="171" t="s">
        <v>72</v>
      </c>
      <c r="B34" s="33">
        <f>IF((($B$28-$B$32-$B$39-$B$77-$B$38)*C20/100)&lt;0,0,($B$28-$B$32-$B$39-$B$77-$B$38)*C20/100)</f>
        <v>235.43526170798899</v>
      </c>
      <c r="C34" s="167">
        <f>IF(ISERROR(B34/SUM($B$32,$B$34,$B$35,$B$36,$B$38,$B$39)*100),0,B34/SUM($B$32,$B$34,$B$35,$B$36,$B$38,$B$39)*100)</f>
        <v>3.6148512468599572</v>
      </c>
      <c r="D34" s="233"/>
      <c r="G34" s="15"/>
    </row>
    <row r="35" spans="1:7">
      <c r="A35" s="171" t="s">
        <v>73</v>
      </c>
      <c r="B35" s="33">
        <f>IF((($B$28-$B$32-$B$39-$B$77-$B$38)*C21/100)&lt;0,0,($B$28-$B$32-$B$39-$B$77-$B$38)*C21/100)</f>
        <v>917.38567493112942</v>
      </c>
      <c r="C35" s="167">
        <f>IF(ISERROR(B35/SUM($B$32,$B$34,$B$35,$B$36,$B$38,$B$39)*100),0,B35/SUM($B$32,$B$34,$B$35,$B$36,$B$38,$B$39)*100)</f>
        <v>14.085454858454312</v>
      </c>
      <c r="D35" s="233"/>
      <c r="G35" s="15"/>
    </row>
    <row r="36" spans="1:7">
      <c r="A36" s="171" t="s">
        <v>74</v>
      </c>
      <c r="B36" s="33">
        <f>IF((($B$28-$B$32-$B$39-$B$77-$B$38)*C22/100)&lt;0,0,($B$28-$B$32-$B$39-$B$77-$B$38)*C22/100)</f>
        <v>320.67906336088157</v>
      </c>
      <c r="C36" s="167">
        <f>IF(ISERROR(B36/SUM($B$32,$B$34,$B$35,$B$36,$B$38,$B$39)*100),0,B36/SUM($B$32,$B$34,$B$35,$B$36,$B$38,$B$39)*100)</f>
        <v>4.9236766983092517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1851.5</v>
      </c>
      <c r="C39" s="167">
        <f>IF(ISERROR(B39/SUM($B$32,$B$34,$B$35,$B$36,$B$38,$B$39)*100),0,B39/SUM($B$32,$B$34,$B$35,$B$36,$B$38,$B$39)*100)</f>
        <v>28.427759864885616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3188</v>
      </c>
      <c r="C44" s="34" t="s">
        <v>110</v>
      </c>
      <c r="D44" s="174"/>
    </row>
    <row r="45" spans="1:7">
      <c r="A45" s="171" t="s">
        <v>71</v>
      </c>
      <c r="B45" s="33" t="str">
        <f t="shared" si="0"/>
        <v>-</v>
      </c>
      <c r="C45" s="34" t="s">
        <v>110</v>
      </c>
      <c r="D45" s="174"/>
    </row>
    <row r="46" spans="1:7">
      <c r="A46" s="171" t="s">
        <v>72</v>
      </c>
      <c r="B46" s="33">
        <f t="shared" si="0"/>
        <v>235.43526170798899</v>
      </c>
      <c r="C46" s="34" t="s">
        <v>110</v>
      </c>
      <c r="D46" s="174"/>
    </row>
    <row r="47" spans="1:7">
      <c r="A47" s="171" t="s">
        <v>73</v>
      </c>
      <c r="B47" s="33">
        <f t="shared" si="0"/>
        <v>917.38567493112942</v>
      </c>
      <c r="C47" s="34" t="s">
        <v>110</v>
      </c>
      <c r="D47" s="174"/>
    </row>
    <row r="48" spans="1:7">
      <c r="A48" s="171" t="s">
        <v>74</v>
      </c>
      <c r="B48" s="33">
        <f t="shared" si="0"/>
        <v>320.67906336088157</v>
      </c>
      <c r="C48" s="33">
        <f>B48*10</f>
        <v>3206.7906336088158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1851.5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29755.045071</v>
      </c>
      <c r="C5" s="17">
        <f>IF(ISERROR('Eigen informatie GS &amp; warmtenet'!B58),0,'Eigen informatie GS &amp; warmtenet'!B58)</f>
        <v>0</v>
      </c>
      <c r="D5" s="30">
        <f>SUM(D6:D12)</f>
        <v>40693.584592187995</v>
      </c>
      <c r="E5" s="17">
        <f>SUM(E6:E12)</f>
        <v>451.4962759726742</v>
      </c>
      <c r="F5" s="17">
        <f>SUM(F6:F12)</f>
        <v>4970.8789180027452</v>
      </c>
      <c r="G5" s="18"/>
      <c r="H5" s="17"/>
      <c r="I5" s="17"/>
      <c r="J5" s="17">
        <f>SUM(J6:J12)</f>
        <v>8.522732597749226E-2</v>
      </c>
      <c r="K5" s="17"/>
      <c r="L5" s="17"/>
      <c r="M5" s="17"/>
      <c r="N5" s="17">
        <f>SUM(N6:N12)</f>
        <v>3380.855086945242</v>
      </c>
      <c r="O5" s="17">
        <f>B38*B39*B40</f>
        <v>3.1266666666666669</v>
      </c>
      <c r="P5" s="17">
        <f>B46*B47*B48/1000-B46*B47*B48/1000/B49</f>
        <v>95.333333333333343</v>
      </c>
      <c r="R5" s="32"/>
    </row>
    <row r="6" spans="1:18">
      <c r="A6" s="32" t="s">
        <v>53</v>
      </c>
      <c r="B6" s="37">
        <f>B26</f>
        <v>4262.3593639999999</v>
      </c>
      <c r="C6" s="33"/>
      <c r="D6" s="37">
        <f>IF(ISERROR(TER_kantoor_gas_kWh/1000),0,TER_kantoor_gas_kWh/1000)*0.902</f>
        <v>2965.6791089640001</v>
      </c>
      <c r="E6" s="33">
        <f>$C$26*'E Balans VL '!I12/100/3.6*1000000</f>
        <v>2.6715050855036841E-2</v>
      </c>
      <c r="F6" s="33">
        <f>$C$26*('E Balans VL '!L12+'E Balans VL '!N12)/100/3.6*1000000</f>
        <v>640.5135107293944</v>
      </c>
      <c r="G6" s="34"/>
      <c r="H6" s="33"/>
      <c r="I6" s="33"/>
      <c r="J6" s="33">
        <f>$C$26*('E Balans VL '!D12+'E Balans VL '!E12)/100/3.6*1000000</f>
        <v>0</v>
      </c>
      <c r="K6" s="33"/>
      <c r="L6" s="33"/>
      <c r="M6" s="33"/>
      <c r="N6" s="33">
        <f>$C$26*'E Balans VL '!Y12/100/3.6*1000000</f>
        <v>4.0763147675359104</v>
      </c>
      <c r="O6" s="33"/>
      <c r="P6" s="33"/>
      <c r="R6" s="32"/>
    </row>
    <row r="7" spans="1:18">
      <c r="A7" s="32" t="s">
        <v>52</v>
      </c>
      <c r="B7" s="37">
        <f t="shared" ref="B7:B12" si="0">B27</f>
        <v>11494.245358999999</v>
      </c>
      <c r="C7" s="33"/>
      <c r="D7" s="37">
        <f>IF(ISERROR(TER_horeca_gas_kWh/1000),0,TER_horeca_gas_kWh/1000)*0.902</f>
        <v>25205.207658400002</v>
      </c>
      <c r="E7" s="33">
        <f>$C$27*'E Balans VL '!I9/100/3.6*1000000</f>
        <v>164.59567896509208</v>
      </c>
      <c r="F7" s="33">
        <f>$C$27*('E Balans VL '!L9+'E Balans VL '!N9)/100/3.6*1000000</f>
        <v>1455.5505572662955</v>
      </c>
      <c r="G7" s="34"/>
      <c r="H7" s="33"/>
      <c r="I7" s="33"/>
      <c r="J7" s="33">
        <f>$C$27*('E Balans VL '!D9+'E Balans VL '!E9)/100/3.6*1000000</f>
        <v>0</v>
      </c>
      <c r="K7" s="33"/>
      <c r="L7" s="33"/>
      <c r="M7" s="33"/>
      <c r="N7" s="33">
        <f>$C$27*'E Balans VL '!Y9/100/3.6*1000000</f>
        <v>3.3043421143563676</v>
      </c>
      <c r="O7" s="33"/>
      <c r="P7" s="33"/>
      <c r="R7" s="32"/>
    </row>
    <row r="8" spans="1:18">
      <c r="A8" s="6" t="s">
        <v>51</v>
      </c>
      <c r="B8" s="37">
        <f t="shared" si="0"/>
        <v>7347.9281229999997</v>
      </c>
      <c r="C8" s="33"/>
      <c r="D8" s="37">
        <f>IF(ISERROR(TER_handel_gas_kWh/1000),0,TER_handel_gas_kWh/1000)*0.902</f>
        <v>4240.6474957660002</v>
      </c>
      <c r="E8" s="33">
        <f>$C$28*'E Balans VL '!I13/100/3.6*1000000</f>
        <v>266.50844691530881</v>
      </c>
      <c r="F8" s="33">
        <f>$C$28*('E Balans VL '!L13+'E Balans VL '!N13)/100/3.6*1000000</f>
        <v>1415.2853589924089</v>
      </c>
      <c r="G8" s="34"/>
      <c r="H8" s="33"/>
      <c r="I8" s="33"/>
      <c r="J8" s="33">
        <f>$C$28*('E Balans VL '!D13+'E Balans VL '!E13)/100/3.6*1000000</f>
        <v>0</v>
      </c>
      <c r="K8" s="33"/>
      <c r="L8" s="33"/>
      <c r="M8" s="33"/>
      <c r="N8" s="33">
        <f>$C$28*'E Balans VL '!Y13/100/3.6*1000000</f>
        <v>10.178571133213905</v>
      </c>
      <c r="O8" s="33"/>
      <c r="P8" s="33"/>
      <c r="R8" s="32"/>
    </row>
    <row r="9" spans="1:18">
      <c r="A9" s="32" t="s">
        <v>50</v>
      </c>
      <c r="B9" s="37">
        <f t="shared" si="0"/>
        <v>1691.5456869999998</v>
      </c>
      <c r="C9" s="33"/>
      <c r="D9" s="37">
        <f>IF(ISERROR(TER_gezond_gas_kWh/1000),0,TER_gezond_gas_kWh/1000)*0.902</f>
        <v>4736.5353715239999</v>
      </c>
      <c r="E9" s="33">
        <f>$C$29*'E Balans VL '!I10/100/3.6*1000000</f>
        <v>0.10590746100264965</v>
      </c>
      <c r="F9" s="33">
        <f>$C$29*('E Balans VL '!L10+'E Balans VL '!N10)/100/3.6*1000000</f>
        <v>251.28426206998151</v>
      </c>
      <c r="G9" s="34"/>
      <c r="H9" s="33"/>
      <c r="I9" s="33"/>
      <c r="J9" s="33">
        <f>$C$29*('E Balans VL '!D10+'E Balans VL '!E10)/100/3.6*1000000</f>
        <v>0</v>
      </c>
      <c r="K9" s="33"/>
      <c r="L9" s="33"/>
      <c r="M9" s="33"/>
      <c r="N9" s="33">
        <f>$C$29*'E Balans VL '!Y10/100/3.6*1000000</f>
        <v>26.164991906722697</v>
      </c>
      <c r="O9" s="33"/>
      <c r="P9" s="33"/>
      <c r="R9" s="32"/>
    </row>
    <row r="10" spans="1:18">
      <c r="A10" s="32" t="s">
        <v>49</v>
      </c>
      <c r="B10" s="37">
        <f t="shared" si="0"/>
        <v>3926.4263999999998</v>
      </c>
      <c r="C10" s="33"/>
      <c r="D10" s="37">
        <f>IF(ISERROR(TER_ander_gas_kWh/1000),0,TER_ander_gas_kWh/1000)*0.902</f>
        <v>985.70623139999998</v>
      </c>
      <c r="E10" s="33">
        <f>$C$30*'E Balans VL '!I14/100/3.6*1000000</f>
        <v>4.6801599620281413</v>
      </c>
      <c r="F10" s="33">
        <f>$C$30*('E Balans VL '!L14+'E Balans VL '!N14)/100/3.6*1000000</f>
        <v>1027.3277014476294</v>
      </c>
      <c r="G10" s="34"/>
      <c r="H10" s="33"/>
      <c r="I10" s="33"/>
      <c r="J10" s="33">
        <f>$C$30*('E Balans VL '!D14+'E Balans VL '!E14)/100/3.6*1000000</f>
        <v>8.522732597749226E-2</v>
      </c>
      <c r="K10" s="33"/>
      <c r="L10" s="33"/>
      <c r="M10" s="33"/>
      <c r="N10" s="33">
        <f>$C$30*'E Balans VL '!Y14/100/3.6*1000000</f>
        <v>3334.2252205783902</v>
      </c>
      <c r="O10" s="33"/>
      <c r="P10" s="33"/>
      <c r="R10" s="32"/>
    </row>
    <row r="11" spans="1:18">
      <c r="A11" s="32" t="s">
        <v>54</v>
      </c>
      <c r="B11" s="37">
        <f t="shared" si="0"/>
        <v>1032.5401380000001</v>
      </c>
      <c r="C11" s="33"/>
      <c r="D11" s="37">
        <f>IF(ISERROR(TER_onderwijs_gas_kWh/1000),0,TER_onderwijs_gas_kWh/1000)*0.902</f>
        <v>2559.8087261340002</v>
      </c>
      <c r="E11" s="33">
        <f>$C$31*'E Balans VL '!I11/100/3.6*1000000</f>
        <v>15.579367618387504</v>
      </c>
      <c r="F11" s="33">
        <f>$C$31*('E Balans VL '!L11+'E Balans VL '!N11)/100/3.6*1000000</f>
        <v>180.91752749703483</v>
      </c>
      <c r="G11" s="34"/>
      <c r="H11" s="33"/>
      <c r="I11" s="33"/>
      <c r="J11" s="33">
        <f>$C$31*('E Balans VL '!D11+'E Balans VL '!E11)/100/3.6*1000000</f>
        <v>0</v>
      </c>
      <c r="K11" s="33"/>
      <c r="L11" s="33"/>
      <c r="M11" s="33"/>
      <c r="N11" s="33">
        <f>$C$31*'E Balans VL '!Y11/100/3.6*1000000</f>
        <v>2.9056464450225921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29755.045071</v>
      </c>
      <c r="C16" s="21">
        <f t="shared" ca="1" si="1"/>
        <v>0</v>
      </c>
      <c r="D16" s="21">
        <f t="shared" ca="1" si="1"/>
        <v>40693.584592187995</v>
      </c>
      <c r="E16" s="21">
        <f t="shared" si="1"/>
        <v>451.4962759726742</v>
      </c>
      <c r="F16" s="21">
        <f t="shared" ca="1" si="1"/>
        <v>4970.8789180027452</v>
      </c>
      <c r="G16" s="21">
        <f t="shared" si="1"/>
        <v>0</v>
      </c>
      <c r="H16" s="21">
        <f t="shared" si="1"/>
        <v>0</v>
      </c>
      <c r="I16" s="21">
        <f t="shared" si="1"/>
        <v>0</v>
      </c>
      <c r="J16" s="21">
        <f t="shared" si="1"/>
        <v>8.522732597749226E-2</v>
      </c>
      <c r="K16" s="21">
        <f t="shared" si="1"/>
        <v>0</v>
      </c>
      <c r="L16" s="21">
        <f t="shared" ca="1" si="1"/>
        <v>0</v>
      </c>
      <c r="M16" s="21">
        <f t="shared" si="1"/>
        <v>0</v>
      </c>
      <c r="N16" s="21">
        <f t="shared" ca="1" si="1"/>
        <v>3380.855086945242</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0.16293877536300552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4848.2506047397737</v>
      </c>
      <c r="C20" s="23">
        <f t="shared" ref="C20:P20" ca="1" si="2">C16*C18</f>
        <v>0</v>
      </c>
      <c r="D20" s="23">
        <f t="shared" ca="1" si="2"/>
        <v>8220.1040876219759</v>
      </c>
      <c r="E20" s="23">
        <f t="shared" si="2"/>
        <v>102.48965464579705</v>
      </c>
      <c r="F20" s="23">
        <f t="shared" ca="1" si="2"/>
        <v>1327.224671106733</v>
      </c>
      <c r="G20" s="23">
        <f t="shared" si="2"/>
        <v>0</v>
      </c>
      <c r="H20" s="23">
        <f t="shared" si="2"/>
        <v>0</v>
      </c>
      <c r="I20" s="23">
        <f t="shared" si="2"/>
        <v>0</v>
      </c>
      <c r="J20" s="23">
        <f t="shared" si="2"/>
        <v>3.0170473396032259E-2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4262.3593639999999</v>
      </c>
      <c r="C26" s="39">
        <f>IF(ISERROR(B26*3.6/1000000/'E Balans VL '!Z12*100),0,B26*3.6/1000000/'E Balans VL '!Z12*100)</f>
        <v>9.0099524832324238E-2</v>
      </c>
      <c r="D26" s="237" t="s">
        <v>744</v>
      </c>
      <c r="F26" s="6"/>
    </row>
    <row r="27" spans="1:18">
      <c r="A27" s="231" t="s">
        <v>52</v>
      </c>
      <c r="B27" s="33">
        <f>IF(ISERROR(TER_horeca_ele_kWh/1000),0,TER_horeca_ele_kWh/1000)</f>
        <v>11494.245358999999</v>
      </c>
      <c r="C27" s="39">
        <f>IF(ISERROR(B27*3.6/1000000/'E Balans VL '!Z9*100),0,B27*3.6/1000000/'E Balans VL '!Z9*100)</f>
        <v>0.90608707752601225</v>
      </c>
      <c r="D27" s="237" t="s">
        <v>744</v>
      </c>
      <c r="F27" s="6"/>
    </row>
    <row r="28" spans="1:18">
      <c r="A28" s="171" t="s">
        <v>51</v>
      </c>
      <c r="B28" s="33">
        <f>IF(ISERROR(TER_handel_ele_kWh/1000),0,TER_handel_ele_kWh/1000)</f>
        <v>7347.9281229999997</v>
      </c>
      <c r="C28" s="39">
        <f>IF(ISERROR(B28*3.6/1000000/'E Balans VL '!Z13*100),0,B28*3.6/1000000/'E Balans VL '!Z13*100)</f>
        <v>0.21326656308590569</v>
      </c>
      <c r="D28" s="237" t="s">
        <v>744</v>
      </c>
      <c r="F28" s="6"/>
    </row>
    <row r="29" spans="1:18">
      <c r="A29" s="231" t="s">
        <v>50</v>
      </c>
      <c r="B29" s="33">
        <f>IF(ISERROR(TER_gezond_ele_kWh/1000),0,TER_gezond_ele_kWh/1000)</f>
        <v>1691.5456869999998</v>
      </c>
      <c r="C29" s="39">
        <f>IF(ISERROR(B29*3.6/1000000/'E Balans VL '!Z10*100),0,B29*3.6/1000000/'E Balans VL '!Z10*100)</f>
        <v>0.17814753675445727</v>
      </c>
      <c r="D29" s="237" t="s">
        <v>744</v>
      </c>
      <c r="F29" s="6"/>
    </row>
    <row r="30" spans="1:18">
      <c r="A30" s="231" t="s">
        <v>49</v>
      </c>
      <c r="B30" s="33">
        <f>IF(ISERROR(TER_ander_ele_kWh/1000),0,TER_ander_ele_kWh/1000)</f>
        <v>3926.4263999999998</v>
      </c>
      <c r="C30" s="39">
        <f>IF(ISERROR(B30*3.6/1000000/'E Balans VL '!Z14*100),0,B30*3.6/1000000/'E Balans VL '!Z14*100)</f>
        <v>0.28961406407957185</v>
      </c>
      <c r="D30" s="237" t="s">
        <v>744</v>
      </c>
      <c r="F30" s="6"/>
    </row>
    <row r="31" spans="1:18">
      <c r="A31" s="231" t="s">
        <v>54</v>
      </c>
      <c r="B31" s="33">
        <f>IF(ISERROR(TER_onderwijs_ele_kWh/1000),0,TER_onderwijs_ele_kWh/1000)</f>
        <v>1032.5401380000001</v>
      </c>
      <c r="C31" s="39">
        <f>IF(ISERROR(B31*3.6/1000000/'E Balans VL '!Z11*100),0,B31*3.6/1000000/'E Balans VL '!Z11*100)</f>
        <v>0.25642808329389788</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4714.0665849999996</v>
      </c>
      <c r="C5" s="17">
        <f>IF(ISERROR('Eigen informatie GS &amp; warmtenet'!B59),0,'Eigen informatie GS &amp; warmtenet'!B59)</f>
        <v>0</v>
      </c>
      <c r="D5" s="30">
        <f>SUM(D6:D15)</f>
        <v>2138.1006195999998</v>
      </c>
      <c r="E5" s="17">
        <f>SUM(E6:E15)</f>
        <v>624.93870129224968</v>
      </c>
      <c r="F5" s="17">
        <f>SUM(F6:F15)</f>
        <v>1809.6014184651078</v>
      </c>
      <c r="G5" s="18"/>
      <c r="H5" s="17"/>
      <c r="I5" s="17"/>
      <c r="J5" s="17">
        <f>SUM(J6:J15)</f>
        <v>1.0331001446273291</v>
      </c>
      <c r="K5" s="17"/>
      <c r="L5" s="17"/>
      <c r="M5" s="17"/>
      <c r="N5" s="17">
        <f>SUM(N6:N15)</f>
        <v>909.24908772354763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447.44349999999997</v>
      </c>
      <c r="C8" s="33"/>
      <c r="D8" s="37">
        <f>IF( ISERROR(IND_metaal_Gas_kWH/1000),0,IND_metaal_Gas_kWH/1000)*0.902</f>
        <v>187.385088</v>
      </c>
      <c r="E8" s="33">
        <f>C30*'E Balans VL '!I18/100/3.6*1000000</f>
        <v>4.1138108374579883</v>
      </c>
      <c r="F8" s="33">
        <f>C30*'E Balans VL '!L18/100/3.6*1000000+C30*'E Balans VL '!N18/100/3.6*1000000</f>
        <v>41.955303397952278</v>
      </c>
      <c r="G8" s="34"/>
      <c r="H8" s="33"/>
      <c r="I8" s="33"/>
      <c r="J8" s="40">
        <f>C30*'E Balans VL '!D18/100/3.6*1000000+C30*'E Balans VL '!E18/100/3.6*1000000</f>
        <v>0</v>
      </c>
      <c r="K8" s="33"/>
      <c r="L8" s="33"/>
      <c r="M8" s="33"/>
      <c r="N8" s="33">
        <f>C30*'E Balans VL '!Y18/100/3.6*1000000</f>
        <v>6.3835209590219861</v>
      </c>
      <c r="O8" s="33"/>
      <c r="P8" s="33"/>
      <c r="R8" s="32"/>
    </row>
    <row r="9" spans="1:18">
      <c r="A9" s="6" t="s">
        <v>32</v>
      </c>
      <c r="B9" s="37">
        <f t="shared" si="0"/>
        <v>2073.129034</v>
      </c>
      <c r="C9" s="33"/>
      <c r="D9" s="37">
        <f>IF( ISERROR(IND_andere_gas_kWh/1000),0,IND_andere_gas_kWh/1000)*0.902</f>
        <v>1477.1411776</v>
      </c>
      <c r="E9" s="33">
        <f>C31*'E Balans VL '!I19/100/3.6*1000000</f>
        <v>606.01597570016816</v>
      </c>
      <c r="F9" s="33">
        <f>C31*'E Balans VL '!L19/100/3.6*1000000+C31*'E Balans VL '!N19/100/3.6*1000000</f>
        <v>1665.9161002680021</v>
      </c>
      <c r="G9" s="34"/>
      <c r="H9" s="33"/>
      <c r="I9" s="33"/>
      <c r="J9" s="40">
        <f>C31*'E Balans VL '!D19/100/3.6*1000000+C31*'E Balans VL '!E19/100/3.6*1000000</f>
        <v>0</v>
      </c>
      <c r="K9" s="33"/>
      <c r="L9" s="33"/>
      <c r="M9" s="33"/>
      <c r="N9" s="33">
        <f>C31*'E Balans VL '!Y19/100/3.6*1000000</f>
        <v>162.61342576764224</v>
      </c>
      <c r="O9" s="33"/>
      <c r="P9" s="33"/>
      <c r="R9" s="32"/>
    </row>
    <row r="10" spans="1:18">
      <c r="A10" s="6" t="s">
        <v>40</v>
      </c>
      <c r="B10" s="37">
        <f t="shared" si="0"/>
        <v>204.96799999999999</v>
      </c>
      <c r="C10" s="33"/>
      <c r="D10" s="37">
        <f>IF( ISERROR(IND_voed_gas_kWh/1000),0,IND_voed_gas_kWh/1000)*0.902</f>
        <v>146.479388</v>
      </c>
      <c r="E10" s="33">
        <f>C32*'E Balans VL '!I20/100/3.6*1000000</f>
        <v>0.43361298206648058</v>
      </c>
      <c r="F10" s="33">
        <f>C32*'E Balans VL '!L20/100/3.6*1000000+C32*'E Balans VL '!N20/100/3.6*1000000</f>
        <v>13.032074808672357</v>
      </c>
      <c r="G10" s="34"/>
      <c r="H10" s="33"/>
      <c r="I10" s="33"/>
      <c r="J10" s="40">
        <f>C32*'E Balans VL '!D20/100/3.6*1000000+C32*'E Balans VL '!E20/100/3.6*1000000</f>
        <v>0</v>
      </c>
      <c r="K10" s="33"/>
      <c r="L10" s="33"/>
      <c r="M10" s="33"/>
      <c r="N10" s="33">
        <f>C32*'E Balans VL '!Y20/100/3.6*1000000</f>
        <v>14.144814673647183</v>
      </c>
      <c r="O10" s="33"/>
      <c r="P10" s="33"/>
      <c r="R10" s="32"/>
    </row>
    <row r="11" spans="1:18">
      <c r="A11" s="6" t="s">
        <v>39</v>
      </c>
      <c r="B11" s="37">
        <f t="shared" si="0"/>
        <v>39.860999999999997</v>
      </c>
      <c r="C11" s="33"/>
      <c r="D11" s="37">
        <f>IF( ISERROR(IND_textiel_gas_kWh/1000),0,IND_textiel_gas_kWh/1000)*0.902</f>
        <v>0</v>
      </c>
      <c r="E11" s="33">
        <f>C33*'E Balans VL '!I21/100/3.6*1000000</f>
        <v>0.11838373332112401</v>
      </c>
      <c r="F11" s="33">
        <f>C33*'E Balans VL '!L21/100/3.6*1000000+C33*'E Balans VL '!N21/100/3.6*1000000</f>
        <v>4.0270553485423068</v>
      </c>
      <c r="G11" s="34"/>
      <c r="H11" s="33"/>
      <c r="I11" s="33"/>
      <c r="J11" s="40">
        <f>C33*'E Balans VL '!D21/100/3.6*1000000+C33*'E Balans VL '!E21/100/3.6*1000000</f>
        <v>0</v>
      </c>
      <c r="K11" s="33"/>
      <c r="L11" s="33"/>
      <c r="M11" s="33"/>
      <c r="N11" s="33">
        <f>C33*'E Balans VL '!Y21/100/3.6*1000000</f>
        <v>2.1984613605718102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1735.0440000000001</v>
      </c>
      <c r="C13" s="33"/>
      <c r="D13" s="37">
        <f>IF( ISERROR(IND_papier_gas_kWh/1000),0,IND_papier_gas_kWh/1000)*0.902</f>
        <v>0</v>
      </c>
      <c r="E13" s="33">
        <f>C35*'E Balans VL '!I23/100/3.6*1000000</f>
        <v>2.4616306345175625</v>
      </c>
      <c r="F13" s="33">
        <f>C35*'E Balans VL '!L23/100/3.6*1000000+C35*'E Balans VL '!N23/100/3.6*1000000</f>
        <v>42.358948226083051</v>
      </c>
      <c r="G13" s="34"/>
      <c r="H13" s="33"/>
      <c r="I13" s="33"/>
      <c r="J13" s="40">
        <f>C35*'E Balans VL '!D23/100/3.6*1000000+C35*'E Balans VL '!E23/100/3.6*1000000</f>
        <v>0.26834084418571785</v>
      </c>
      <c r="K13" s="33"/>
      <c r="L13" s="33"/>
      <c r="M13" s="33"/>
      <c r="N13" s="33">
        <f>C35*'E Balans VL '!Y23/100/3.6*1000000</f>
        <v>708.91382194914331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213.62105099999999</v>
      </c>
      <c r="C15" s="33"/>
      <c r="D15" s="37">
        <f>IF( ISERROR(IND_rest_gas_kWh/1000),0,IND_rest_gas_kWh/1000)*0.902</f>
        <v>327.094966</v>
      </c>
      <c r="E15" s="33">
        <f>C37*'E Balans VL '!I15/100/3.6*1000000</f>
        <v>11.795287404718396</v>
      </c>
      <c r="F15" s="33">
        <f>C37*'E Balans VL '!L15/100/3.6*1000000+C37*'E Balans VL '!N15/100/3.6*1000000</f>
        <v>42.311936415855691</v>
      </c>
      <c r="G15" s="34"/>
      <c r="H15" s="33"/>
      <c r="I15" s="33"/>
      <c r="J15" s="40">
        <f>C37*'E Balans VL '!D15/100/3.6*1000000+C37*'E Balans VL '!E15/100/3.6*1000000</f>
        <v>0.76475930044161133</v>
      </c>
      <c r="K15" s="33"/>
      <c r="L15" s="33"/>
      <c r="M15" s="33"/>
      <c r="N15" s="33">
        <f>C37*'E Balans VL '!Y15/100/3.6*1000000</f>
        <v>14.995043013521096</v>
      </c>
      <c r="O15" s="33"/>
      <c r="P15" s="33"/>
      <c r="R15" s="32"/>
    </row>
    <row r="16" spans="1:18">
      <c r="A16" s="16" t="s">
        <v>487</v>
      </c>
      <c r="B16" s="247">
        <f>'lokale energieproductie'!N38+'lokale energieproductie'!N31</f>
        <v>9809.25</v>
      </c>
      <c r="C16" s="247">
        <f>'lokale energieproductie'!O38+'lokale energieproductie'!O31</f>
        <v>14013.214285714286</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-28026.428571428572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14523.316585</v>
      </c>
      <c r="C18" s="21">
        <f>C5+C16</f>
        <v>14013.214285714286</v>
      </c>
      <c r="D18" s="21">
        <f>MAX((D5+D16),0)</f>
        <v>2138.1006195999998</v>
      </c>
      <c r="E18" s="21">
        <f>MAX((E5+E16),0)</f>
        <v>624.93870129224968</v>
      </c>
      <c r="F18" s="21">
        <f>MAX((F5+F16),0)</f>
        <v>1809.6014184651078</v>
      </c>
      <c r="G18" s="21"/>
      <c r="H18" s="21"/>
      <c r="I18" s="21"/>
      <c r="J18" s="21">
        <f>MAX((J5+J16),0)</f>
        <v>1.0331001446273291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0.16293877536300552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2366.4114185691274</v>
      </c>
      <c r="C22" s="23">
        <f ca="1">C18*C20</f>
        <v>0</v>
      </c>
      <c r="D22" s="23">
        <f>D18*D20</f>
        <v>431.89632515919999</v>
      </c>
      <c r="E22" s="23">
        <f>E18*E20</f>
        <v>141.86108519334067</v>
      </c>
      <c r="F22" s="23">
        <f>F18*F20</f>
        <v>483.16357873018381</v>
      </c>
      <c r="G22" s="23"/>
      <c r="H22" s="23"/>
      <c r="I22" s="23"/>
      <c r="J22" s="23">
        <f>J18*J20</f>
        <v>0.36571745119807447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447.44349999999997</v>
      </c>
      <c r="C30" s="39">
        <f>IF(ISERROR(B30*3.6/1000000/'E Balans VL '!Z18*100),0,B30*3.6/1000000/'E Balans VL '!Z18*100)</f>
        <v>2.535777046517429E-2</v>
      </c>
      <c r="D30" s="237" t="s">
        <v>744</v>
      </c>
    </row>
    <row r="31" spans="1:18">
      <c r="A31" s="6" t="s">
        <v>32</v>
      </c>
      <c r="B31" s="37">
        <f>IF( ISERROR(IND_ander_ele_kWh/1000),0,IND_ander_ele_kWh/1000)</f>
        <v>2073.129034</v>
      </c>
      <c r="C31" s="39">
        <f>IF(ISERROR(B31*3.6/1000000/'E Balans VL '!Z19*100),0,B31*3.6/1000000/'E Balans VL '!Z19*100)</f>
        <v>9.4028500623186004E-2</v>
      </c>
      <c r="D31" s="237" t="s">
        <v>744</v>
      </c>
    </row>
    <row r="32" spans="1:18">
      <c r="A32" s="171" t="s">
        <v>40</v>
      </c>
      <c r="B32" s="37">
        <f>IF( ISERROR(IND_voed_ele_kWh/1000),0,IND_voed_ele_kWh/1000)</f>
        <v>204.96799999999999</v>
      </c>
      <c r="C32" s="39">
        <f>IF(ISERROR(B32*3.6/1000000/'E Balans VL '!Z20*100),0,B32*3.6/1000000/'E Balans VL '!Z20*100)</f>
        <v>6.3405907161547858E-3</v>
      </c>
      <c r="D32" s="237" t="s">
        <v>744</v>
      </c>
    </row>
    <row r="33" spans="1:5">
      <c r="A33" s="171" t="s">
        <v>39</v>
      </c>
      <c r="B33" s="37">
        <f>IF( ISERROR(IND_textiel_ele_kWh/1000),0,IND_textiel_ele_kWh/1000)</f>
        <v>39.860999999999997</v>
      </c>
      <c r="C33" s="39">
        <f>IF(ISERROR(B33*3.6/1000000/'E Balans VL '!Z21*100),0,B33*3.6/1000000/'E Balans VL '!Z21*100)</f>
        <v>5.1974313224234289E-3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1735.0440000000001</v>
      </c>
      <c r="C35" s="39">
        <f>IF(ISERROR(B35*3.6/1000000/'E Balans VL '!Z22*100),0,B35*3.6/1000000/'E Balans VL '!Z22*100)</f>
        <v>0.31208028285064232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213.62105099999999</v>
      </c>
      <c r="C37" s="39">
        <f>IF(ISERROR(B37*3.6/1000000/'E Balans VL '!Z15*100),0,B37*3.6/1000000/'E Balans VL '!Z15*100)</f>
        <v>1.6932091807765281E-3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3709.202918</v>
      </c>
      <c r="C5" s="17">
        <f>'Eigen informatie GS &amp; warmtenet'!B60</f>
        <v>0</v>
      </c>
      <c r="D5" s="30">
        <f>IF(ISERROR(SUM(LB_lb_gas_kWh,LB_rest_gas_kWh)/1000),0,SUM(LB_lb_gas_kWh,LB_rest_gas_kWh)/1000)*0.902</f>
        <v>86.899581999999995</v>
      </c>
      <c r="E5" s="17">
        <f>B17*'E Balans VL '!I25/3.6*1000000/100</f>
        <v>109.02480297336636</v>
      </c>
      <c r="F5" s="17">
        <f>B17*('E Balans VL '!L25/3.6*1000000+'E Balans VL '!N25/3.6*1000000)/100</f>
        <v>15452.338921582668</v>
      </c>
      <c r="G5" s="18"/>
      <c r="H5" s="17"/>
      <c r="I5" s="17"/>
      <c r="J5" s="17">
        <f>('E Balans VL '!D25+'E Balans VL '!E25)/3.6*1000000*landbouw!B17/100</f>
        <v>537.38384677372233</v>
      </c>
      <c r="K5" s="17"/>
      <c r="L5" s="17">
        <f>L6*(-1)</f>
        <v>0</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3709.202918</v>
      </c>
      <c r="C8" s="21">
        <f>C5+C6</f>
        <v>62.357142857142847</v>
      </c>
      <c r="D8" s="21">
        <f>MAX((D5+D6),0)</f>
        <v>86.899581999999995</v>
      </c>
      <c r="E8" s="21">
        <f>MAX((E5+E6),0)</f>
        <v>109.02480297336636</v>
      </c>
      <c r="F8" s="21">
        <f>MAX((F5+F6),0)</f>
        <v>15452.338921582668</v>
      </c>
      <c r="G8" s="21"/>
      <c r="H8" s="21"/>
      <c r="I8" s="21"/>
      <c r="J8" s="21">
        <f>MAX((J5+J6),0)</f>
        <v>537.38384677372233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0.16293877536300552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604.3729810318066</v>
      </c>
      <c r="C12" s="23">
        <f ca="1">C8*C10</f>
        <v>0</v>
      </c>
      <c r="D12" s="23">
        <f>D8*D10</f>
        <v>17.553715564000001</v>
      </c>
      <c r="E12" s="23">
        <f>E8*E10</f>
        <v>24.748630274954166</v>
      </c>
      <c r="F12" s="23">
        <f>F8*F10</f>
        <v>4125.7744920625728</v>
      </c>
      <c r="G12" s="23"/>
      <c r="H12" s="23"/>
      <c r="I12" s="23"/>
      <c r="J12" s="23">
        <f>J8*J10</f>
        <v>190.23388175789771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0.5263475313334548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1019.0323104712209</v>
      </c>
      <c r="C26" s="247">
        <f>B26*'GWP N2O_CH4'!B5</f>
        <v>21399.678519895639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359.37178620029971</v>
      </c>
      <c r="C27" s="247">
        <f>B27*'GWP N2O_CH4'!B5</f>
        <v>7546.807510206294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12.68819772922315</v>
      </c>
      <c r="C28" s="247">
        <f>B28*'GWP N2O_CH4'!B4</f>
        <v>3933.3412960591763</v>
      </c>
      <c r="D28" s="50"/>
    </row>
    <row r="29" spans="1:4">
      <c r="A29" s="41" t="s">
        <v>276</v>
      </c>
      <c r="B29" s="247">
        <f>B34*'ha_N2O bodem landbouw'!B4</f>
        <v>34.063031161345187</v>
      </c>
      <c r="C29" s="247">
        <f>B29*'GWP N2O_CH4'!B4</f>
        <v>10559.539660017008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7.7730663245914097E-3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1.532651747517105E-4</v>
      </c>
      <c r="C5" s="437" t="s">
        <v>210</v>
      </c>
      <c r="D5" s="422">
        <f>SUM(D6:D11)</f>
        <v>4.6400335984177985E-4</v>
      </c>
      <c r="E5" s="422">
        <f>SUM(E6:E11)</f>
        <v>7.7876291907666114E-4</v>
      </c>
      <c r="F5" s="435" t="s">
        <v>210</v>
      </c>
      <c r="G5" s="422">
        <f>SUM(G6:G11)</f>
        <v>0.30659097097090188</v>
      </c>
      <c r="H5" s="422">
        <f>SUM(H6:H11)</f>
        <v>7.8067084724663616E-2</v>
      </c>
      <c r="I5" s="437" t="s">
        <v>210</v>
      </c>
      <c r="J5" s="437" t="s">
        <v>210</v>
      </c>
      <c r="K5" s="437" t="s">
        <v>210</v>
      </c>
      <c r="L5" s="437" t="s">
        <v>210</v>
      </c>
      <c r="M5" s="422">
        <f>SUM(M6:M11)</f>
        <v>2.021105136871278E-2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1.040552672162497E-4</v>
      </c>
      <c r="C6" s="423"/>
      <c r="D6" s="865">
        <f>vkm_GW_PW*SUMIFS(TableVerdeelsleutelVkm[CNG],TableVerdeelsleutelVkm[Voertuigtype],"Lichte voertuigen")*SUMIFS(TableECFTransport[EnergieConsumptieFactor (PJ per km)],TableECFTransport[Index],CONCATENATE($A6,"_CNG_CNG"))</f>
        <v>2.5787435917764163E-4</v>
      </c>
      <c r="E6" s="865">
        <f>vkm_GW_PW*SUMIFS(TableVerdeelsleutelVkm[LPG],TableVerdeelsleutelVkm[Voertuigtype],"Lichte voertuigen")*SUMIFS(TableECFTransport[EnergieConsumptieFactor (PJ per km)],TableECFTransport[Index],CONCATENATE($A6,"_LPG_LPG"))</f>
        <v>4.4270587991774722E-4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0.13565151056304375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4.3813930873845608E-2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9.2154197303318981E-3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6.5440106356879163E-2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1.0946939453749091E-6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3.8233745997331577E-3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4.9209907535460799E-5</v>
      </c>
      <c r="C8" s="423"/>
      <c r="D8" s="425">
        <f>vkm_NGW_PW*SUMIFS(TableVerdeelsleutelVkm[CNG],TableVerdeelsleutelVkm[Voertuigtype],"Lichte voertuigen")*SUMIFS(TableECFTransport[EnergieConsumptieFactor (PJ per km)],TableECFTransport[Index],CONCATENATE($A8,"_CNG_CNG"))</f>
        <v>2.0612900066413822E-4</v>
      </c>
      <c r="E8" s="425">
        <f>vkm_NGW_PW*SUMIFS(TableVerdeelsleutelVkm[LPG],TableVerdeelsleutelVkm[Voertuigtype],"Lichte voertuigen")*SUMIFS(TableECFTransport[EnergieConsumptieFactor (PJ per km)],TableECFTransport[Index],CONCATENATE($A8,"_LPG_LPG"))</f>
        <v>3.3605703915891392E-4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9.6859614658188875E-2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3.4251881118265638E-2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6.6674744741327396E-3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8.6397393927901116E-3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1.780386069999973E-7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5.0478256451498365E-4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42.573659653252918</v>
      </c>
      <c r="C14" s="21"/>
      <c r="D14" s="21">
        <f t="shared" ref="D14:M14" si="0">((D5)*10^9/3600)+D12</f>
        <v>128.8898221782722</v>
      </c>
      <c r="E14" s="21">
        <f t="shared" si="0"/>
        <v>216.32303307685032</v>
      </c>
      <c r="F14" s="21"/>
      <c r="G14" s="21">
        <f t="shared" si="0"/>
        <v>85164.158603028307</v>
      </c>
      <c r="H14" s="21">
        <f t="shared" si="0"/>
        <v>21685.301312406558</v>
      </c>
      <c r="I14" s="21"/>
      <c r="J14" s="21"/>
      <c r="K14" s="21"/>
      <c r="L14" s="21"/>
      <c r="M14" s="21">
        <f t="shared" si="0"/>
        <v>5614.1809357535494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0.16293877536300552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6.9368999666224287</v>
      </c>
      <c r="C18" s="23"/>
      <c r="D18" s="23">
        <f t="shared" ref="D18:M18" si="1">D14*D16</f>
        <v>26.035744080010986</v>
      </c>
      <c r="E18" s="23">
        <f t="shared" si="1"/>
        <v>49.105328508445027</v>
      </c>
      <c r="F18" s="23"/>
      <c r="G18" s="23">
        <f t="shared" si="1"/>
        <v>22738.830347008559</v>
      </c>
      <c r="H18" s="23">
        <f t="shared" si="1"/>
        <v>5399.6400267892332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8.9256665128672526E-3</v>
      </c>
      <c r="H50" s="319">
        <f t="shared" si="2"/>
        <v>0</v>
      </c>
      <c r="I50" s="319">
        <f t="shared" si="2"/>
        <v>0</v>
      </c>
      <c r="J50" s="319">
        <f t="shared" si="2"/>
        <v>0</v>
      </c>
      <c r="K50" s="319">
        <f t="shared" si="2"/>
        <v>0</v>
      </c>
      <c r="L50" s="319">
        <f t="shared" si="2"/>
        <v>0</v>
      </c>
      <c r="M50" s="319">
        <f t="shared" si="2"/>
        <v>5.0690016119661629E-4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8.9256665128672526E-3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5.0690016119661629E-4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2479.3518091297924</v>
      </c>
      <c r="H54" s="21">
        <f t="shared" si="3"/>
        <v>0</v>
      </c>
      <c r="I54" s="21">
        <f t="shared" si="3"/>
        <v>0</v>
      </c>
      <c r="J54" s="21">
        <f t="shared" si="3"/>
        <v>0</v>
      </c>
      <c r="K54" s="21">
        <f t="shared" si="3"/>
        <v>0</v>
      </c>
      <c r="L54" s="21">
        <f t="shared" si="3"/>
        <v>0</v>
      </c>
      <c r="M54" s="21">
        <f t="shared" si="3"/>
        <v>140.80560033239342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0.16293877536300552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661.98693303765458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30826.167071</v>
      </c>
      <c r="D10" s="979">
        <f ca="1">tertiair!C16</f>
        <v>0</v>
      </c>
      <c r="E10" s="979">
        <f ca="1">tertiair!D16</f>
        <v>40693.584592187995</v>
      </c>
      <c r="F10" s="979">
        <f>tertiair!E16</f>
        <v>451.4962759726742</v>
      </c>
      <c r="G10" s="979">
        <f ca="1">tertiair!F16</f>
        <v>4970.8789180027452</v>
      </c>
      <c r="H10" s="979">
        <f>tertiair!G16</f>
        <v>0</v>
      </c>
      <c r="I10" s="979">
        <f>tertiair!H16</f>
        <v>0</v>
      </c>
      <c r="J10" s="979">
        <f>tertiair!I16</f>
        <v>0</v>
      </c>
      <c r="K10" s="979">
        <f>tertiair!J16</f>
        <v>8.522732597749226E-2</v>
      </c>
      <c r="L10" s="979">
        <f>tertiair!K16</f>
        <v>0</v>
      </c>
      <c r="M10" s="979">
        <f ca="1">tertiair!L16</f>
        <v>0</v>
      </c>
      <c r="N10" s="979">
        <f>tertiair!M16</f>
        <v>0</v>
      </c>
      <c r="O10" s="979">
        <f ca="1">tertiair!N16</f>
        <v>3380.855086945242</v>
      </c>
      <c r="P10" s="979">
        <f>tertiair!O16</f>
        <v>3.1266666666666669</v>
      </c>
      <c r="Q10" s="980">
        <f>tertiair!P16</f>
        <v>95.333333333333343</v>
      </c>
      <c r="R10" s="674">
        <f ca="1">SUM(C10:Q10)</f>
        <v>80421.527171434631</v>
      </c>
      <c r="S10" s="67"/>
    </row>
    <row r="11" spans="1:19" s="447" customFormat="1">
      <c r="A11" s="783" t="s">
        <v>224</v>
      </c>
      <c r="B11" s="788"/>
      <c r="C11" s="979">
        <f>huishoudens!B8</f>
        <v>28721.821778763038</v>
      </c>
      <c r="D11" s="979">
        <f>huishoudens!C8</f>
        <v>0</v>
      </c>
      <c r="E11" s="979">
        <f>huishoudens!D8</f>
        <v>40418.7085764</v>
      </c>
      <c r="F11" s="979">
        <f>huishoudens!E8</f>
        <v>12449.013625331931</v>
      </c>
      <c r="G11" s="979">
        <f>huishoudens!F8</f>
        <v>38621.422635481802</v>
      </c>
      <c r="H11" s="979">
        <f>huishoudens!G8</f>
        <v>0</v>
      </c>
      <c r="I11" s="979">
        <f>huishoudens!H8</f>
        <v>0</v>
      </c>
      <c r="J11" s="979">
        <f>huishoudens!I8</f>
        <v>0</v>
      </c>
      <c r="K11" s="979">
        <f>huishoudens!J8</f>
        <v>0</v>
      </c>
      <c r="L11" s="979">
        <f>huishoudens!K8</f>
        <v>0</v>
      </c>
      <c r="M11" s="979">
        <f>huishoudens!L8</f>
        <v>0</v>
      </c>
      <c r="N11" s="979">
        <f>huishoudens!M8</f>
        <v>0</v>
      </c>
      <c r="O11" s="979">
        <f>huishoudens!N8</f>
        <v>23370.619661471184</v>
      </c>
      <c r="P11" s="979">
        <f>huishoudens!O8</f>
        <v>489.32333333333338</v>
      </c>
      <c r="Q11" s="980">
        <f>huishoudens!P8</f>
        <v>2173.6</v>
      </c>
      <c r="R11" s="674">
        <f>SUM(C11:Q11)</f>
        <v>146244.5096107813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14523.316585</v>
      </c>
      <c r="D13" s="979">
        <f>industrie!C18</f>
        <v>14013.214285714286</v>
      </c>
      <c r="E13" s="979">
        <f>industrie!D18</f>
        <v>2138.1006195999998</v>
      </c>
      <c r="F13" s="979">
        <f>industrie!E18</f>
        <v>624.93870129224968</v>
      </c>
      <c r="G13" s="979">
        <f>industrie!F18</f>
        <v>1809.6014184651078</v>
      </c>
      <c r="H13" s="979">
        <f>industrie!G18</f>
        <v>0</v>
      </c>
      <c r="I13" s="979">
        <f>industrie!H18</f>
        <v>0</v>
      </c>
      <c r="J13" s="979">
        <f>industrie!I18</f>
        <v>0</v>
      </c>
      <c r="K13" s="979">
        <f>industrie!J18</f>
        <v>1.0331001446273291</v>
      </c>
      <c r="L13" s="979">
        <f>industrie!K18</f>
        <v>0</v>
      </c>
      <c r="M13" s="979">
        <f>industrie!L18</f>
        <v>0</v>
      </c>
      <c r="N13" s="979">
        <f>industrie!M18</f>
        <v>0</v>
      </c>
      <c r="O13" s="979">
        <f>industrie!N18</f>
        <v>0</v>
      </c>
      <c r="P13" s="979">
        <f>industrie!O18</f>
        <v>0</v>
      </c>
      <c r="Q13" s="980">
        <f>industrie!P18</f>
        <v>0</v>
      </c>
      <c r="R13" s="674">
        <f>SUM(C13:Q13)</f>
        <v>33110.204710216269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74071.305434763039</v>
      </c>
      <c r="D16" s="706">
        <f t="shared" ref="D16:R16" ca="1" si="0">SUM(D9:D15)</f>
        <v>14013.214285714286</v>
      </c>
      <c r="E16" s="706">
        <f t="shared" ca="1" si="0"/>
        <v>83250.393788187983</v>
      </c>
      <c r="F16" s="706">
        <f t="shared" si="0"/>
        <v>13525.448602596854</v>
      </c>
      <c r="G16" s="706">
        <f t="shared" ca="1" si="0"/>
        <v>45401.902971949654</v>
      </c>
      <c r="H16" s="706">
        <f t="shared" si="0"/>
        <v>0</v>
      </c>
      <c r="I16" s="706">
        <f t="shared" si="0"/>
        <v>0</v>
      </c>
      <c r="J16" s="706">
        <f t="shared" si="0"/>
        <v>0</v>
      </c>
      <c r="K16" s="706">
        <f t="shared" si="0"/>
        <v>1.1183274706048214</v>
      </c>
      <c r="L16" s="706">
        <f t="shared" si="0"/>
        <v>0</v>
      </c>
      <c r="M16" s="706">
        <f t="shared" ca="1" si="0"/>
        <v>0</v>
      </c>
      <c r="N16" s="706">
        <f t="shared" si="0"/>
        <v>0</v>
      </c>
      <c r="O16" s="706">
        <f t="shared" ca="1" si="0"/>
        <v>26751.474748416425</v>
      </c>
      <c r="P16" s="706">
        <f t="shared" si="0"/>
        <v>492.45000000000005</v>
      </c>
      <c r="Q16" s="706">
        <f t="shared" si="0"/>
        <v>2268.9333333333334</v>
      </c>
      <c r="R16" s="706">
        <f t="shared" ca="1" si="0"/>
        <v>259776.24149243219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2479.3518091297924</v>
      </c>
      <c r="I19" s="979">
        <f>transport!H54</f>
        <v>0</v>
      </c>
      <c r="J19" s="979">
        <f>transport!I54</f>
        <v>0</v>
      </c>
      <c r="K19" s="979">
        <f>transport!J54</f>
        <v>0</v>
      </c>
      <c r="L19" s="979">
        <f>transport!K54</f>
        <v>0</v>
      </c>
      <c r="M19" s="979">
        <f>transport!L54</f>
        <v>0</v>
      </c>
      <c r="N19" s="979">
        <f>transport!M54</f>
        <v>140.80560033239342</v>
      </c>
      <c r="O19" s="979">
        <f>transport!N54</f>
        <v>0</v>
      </c>
      <c r="P19" s="979">
        <f>transport!O54</f>
        <v>0</v>
      </c>
      <c r="Q19" s="980">
        <f>transport!P54</f>
        <v>0</v>
      </c>
      <c r="R19" s="674">
        <f>SUM(C19:Q19)</f>
        <v>2620.157409462186</v>
      </c>
      <c r="S19" s="67"/>
    </row>
    <row r="20" spans="1:19" s="447" customFormat="1">
      <c r="A20" s="783" t="s">
        <v>306</v>
      </c>
      <c r="B20" s="788"/>
      <c r="C20" s="979">
        <f>transport!B14</f>
        <v>42.573659653252918</v>
      </c>
      <c r="D20" s="979">
        <f>transport!C14</f>
        <v>0</v>
      </c>
      <c r="E20" s="979">
        <f>transport!D14</f>
        <v>128.8898221782722</v>
      </c>
      <c r="F20" s="979">
        <f>transport!E14</f>
        <v>216.32303307685032</v>
      </c>
      <c r="G20" s="979">
        <f>transport!F14</f>
        <v>0</v>
      </c>
      <c r="H20" s="979">
        <f>transport!G14</f>
        <v>85164.158603028307</v>
      </c>
      <c r="I20" s="979">
        <f>transport!H14</f>
        <v>21685.301312406558</v>
      </c>
      <c r="J20" s="979">
        <f>transport!I14</f>
        <v>0</v>
      </c>
      <c r="K20" s="979">
        <f>transport!J14</f>
        <v>0</v>
      </c>
      <c r="L20" s="979">
        <f>transport!K14</f>
        <v>0</v>
      </c>
      <c r="M20" s="979">
        <f>transport!L14</f>
        <v>0</v>
      </c>
      <c r="N20" s="979">
        <f>transport!M14</f>
        <v>5614.1809357535494</v>
      </c>
      <c r="O20" s="979">
        <f>transport!N14</f>
        <v>0</v>
      </c>
      <c r="P20" s="979">
        <f>transport!O14</f>
        <v>0</v>
      </c>
      <c r="Q20" s="980">
        <f>transport!P14</f>
        <v>0</v>
      </c>
      <c r="R20" s="674">
        <f>SUM(C20:Q20)</f>
        <v>112851.4273660968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42.573659653252918</v>
      </c>
      <c r="D22" s="786">
        <f t="shared" ref="D22:R22" si="1">SUM(D18:D21)</f>
        <v>0</v>
      </c>
      <c r="E22" s="786">
        <f t="shared" si="1"/>
        <v>128.8898221782722</v>
      </c>
      <c r="F22" s="786">
        <f t="shared" si="1"/>
        <v>216.32303307685032</v>
      </c>
      <c r="G22" s="786">
        <f t="shared" si="1"/>
        <v>0</v>
      </c>
      <c r="H22" s="786">
        <f t="shared" si="1"/>
        <v>87643.510412158095</v>
      </c>
      <c r="I22" s="786">
        <f t="shared" si="1"/>
        <v>21685.301312406558</v>
      </c>
      <c r="J22" s="786">
        <f t="shared" si="1"/>
        <v>0</v>
      </c>
      <c r="K22" s="786">
        <f t="shared" si="1"/>
        <v>0</v>
      </c>
      <c r="L22" s="786">
        <f t="shared" si="1"/>
        <v>0</v>
      </c>
      <c r="M22" s="786">
        <f t="shared" si="1"/>
        <v>0</v>
      </c>
      <c r="N22" s="786">
        <f t="shared" si="1"/>
        <v>5754.986536085943</v>
      </c>
      <c r="O22" s="786">
        <f t="shared" si="1"/>
        <v>0</v>
      </c>
      <c r="P22" s="786">
        <f t="shared" si="1"/>
        <v>0</v>
      </c>
      <c r="Q22" s="786">
        <f t="shared" si="1"/>
        <v>0</v>
      </c>
      <c r="R22" s="786">
        <f t="shared" si="1"/>
        <v>115471.58477555899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3709.202918</v>
      </c>
      <c r="D24" s="979">
        <f>+landbouw!C8</f>
        <v>62.357142857142847</v>
      </c>
      <c r="E24" s="979">
        <f>+landbouw!D8</f>
        <v>86.899581999999995</v>
      </c>
      <c r="F24" s="979">
        <f>+landbouw!E8</f>
        <v>109.02480297336636</v>
      </c>
      <c r="G24" s="979">
        <f>+landbouw!F8</f>
        <v>15452.338921582668</v>
      </c>
      <c r="H24" s="979">
        <f>+landbouw!G8</f>
        <v>0</v>
      </c>
      <c r="I24" s="979">
        <f>+landbouw!H8</f>
        <v>0</v>
      </c>
      <c r="J24" s="979">
        <f>+landbouw!I8</f>
        <v>0</v>
      </c>
      <c r="K24" s="979">
        <f>+landbouw!J8</f>
        <v>537.38384677372233</v>
      </c>
      <c r="L24" s="979">
        <f>+landbouw!K8</f>
        <v>0</v>
      </c>
      <c r="M24" s="979">
        <f>+landbouw!L8</f>
        <v>0</v>
      </c>
      <c r="N24" s="979">
        <f>+landbouw!M8</f>
        <v>0</v>
      </c>
      <c r="O24" s="979">
        <f>+landbouw!N8</f>
        <v>0</v>
      </c>
      <c r="P24" s="979">
        <f>+landbouw!O8</f>
        <v>0</v>
      </c>
      <c r="Q24" s="980">
        <f>+landbouw!P8</f>
        <v>0</v>
      </c>
      <c r="R24" s="674">
        <f>SUM(C24:Q24)</f>
        <v>19957.207214186899</v>
      </c>
      <c r="S24" s="67"/>
    </row>
    <row r="25" spans="1:19" s="447" customFormat="1" ht="15" thickBot="1">
      <c r="A25" s="805" t="s">
        <v>823</v>
      </c>
      <c r="B25" s="982"/>
      <c r="C25" s="983">
        <f>IF(Onbekend_ele_kWh="---",0,Onbekend_ele_kWh)/1000+IF(REST_rest_ele_kWh="---",0,REST_rest_ele_kWh)/1000</f>
        <v>459.59354200000001</v>
      </c>
      <c r="D25" s="983"/>
      <c r="E25" s="983">
        <f>IF(onbekend_gas_kWh="---",0,onbekend_gas_kWh)/1000+IF(REST_rest_gas_kWh="---",0,REST_rest_gas_kWh)/1000</f>
        <v>1316.10745</v>
      </c>
      <c r="F25" s="983"/>
      <c r="G25" s="983"/>
      <c r="H25" s="983"/>
      <c r="I25" s="983"/>
      <c r="J25" s="983"/>
      <c r="K25" s="983"/>
      <c r="L25" s="983"/>
      <c r="M25" s="983"/>
      <c r="N25" s="983"/>
      <c r="O25" s="983"/>
      <c r="P25" s="983"/>
      <c r="Q25" s="984"/>
      <c r="R25" s="674">
        <f>SUM(C25:Q25)</f>
        <v>1775.700992</v>
      </c>
      <c r="S25" s="67"/>
    </row>
    <row r="26" spans="1:19" s="447" customFormat="1" ht="15.75" thickBot="1">
      <c r="A26" s="679" t="s">
        <v>824</v>
      </c>
      <c r="B26" s="791"/>
      <c r="C26" s="786">
        <f>SUM(C24:C25)</f>
        <v>4168.7964599999996</v>
      </c>
      <c r="D26" s="786">
        <f t="shared" ref="D26:R26" si="2">SUM(D24:D25)</f>
        <v>62.357142857142847</v>
      </c>
      <c r="E26" s="786">
        <f t="shared" si="2"/>
        <v>1403.007032</v>
      </c>
      <c r="F26" s="786">
        <f t="shared" si="2"/>
        <v>109.02480297336636</v>
      </c>
      <c r="G26" s="786">
        <f t="shared" si="2"/>
        <v>15452.338921582668</v>
      </c>
      <c r="H26" s="786">
        <f t="shared" si="2"/>
        <v>0</v>
      </c>
      <c r="I26" s="786">
        <f t="shared" si="2"/>
        <v>0</v>
      </c>
      <c r="J26" s="786">
        <f t="shared" si="2"/>
        <v>0</v>
      </c>
      <c r="K26" s="786">
        <f t="shared" si="2"/>
        <v>537.38384677372233</v>
      </c>
      <c r="L26" s="786">
        <f t="shared" si="2"/>
        <v>0</v>
      </c>
      <c r="M26" s="786">
        <f t="shared" si="2"/>
        <v>0</v>
      </c>
      <c r="N26" s="786">
        <f t="shared" si="2"/>
        <v>0</v>
      </c>
      <c r="O26" s="786">
        <f t="shared" si="2"/>
        <v>0</v>
      </c>
      <c r="P26" s="786">
        <f t="shared" si="2"/>
        <v>0</v>
      </c>
      <c r="Q26" s="786">
        <f t="shared" si="2"/>
        <v>0</v>
      </c>
      <c r="R26" s="786">
        <f t="shared" si="2"/>
        <v>21732.908206186898</v>
      </c>
      <c r="S26" s="67"/>
    </row>
    <row r="27" spans="1:19" s="447" customFormat="1" ht="17.25" thickTop="1" thickBot="1">
      <c r="A27" s="680" t="s">
        <v>115</v>
      </c>
      <c r="B27" s="779"/>
      <c r="C27" s="681">
        <f ca="1">C22+C16+C26</f>
        <v>78282.675554416288</v>
      </c>
      <c r="D27" s="681">
        <f t="shared" ref="D27:R27" ca="1" si="3">D22+D16+D26</f>
        <v>14075.571428571429</v>
      </c>
      <c r="E27" s="681">
        <f t="shared" ca="1" si="3"/>
        <v>84782.29064236625</v>
      </c>
      <c r="F27" s="681">
        <f t="shared" si="3"/>
        <v>13850.796438647072</v>
      </c>
      <c r="G27" s="681">
        <f t="shared" ca="1" si="3"/>
        <v>60854.241893532322</v>
      </c>
      <c r="H27" s="681">
        <f t="shared" si="3"/>
        <v>87643.510412158095</v>
      </c>
      <c r="I27" s="681">
        <f t="shared" si="3"/>
        <v>21685.301312406558</v>
      </c>
      <c r="J27" s="681">
        <f t="shared" si="3"/>
        <v>0</v>
      </c>
      <c r="K27" s="681">
        <f t="shared" si="3"/>
        <v>538.50217424432719</v>
      </c>
      <c r="L27" s="681">
        <f t="shared" si="3"/>
        <v>0</v>
      </c>
      <c r="M27" s="681">
        <f t="shared" ca="1" si="3"/>
        <v>0</v>
      </c>
      <c r="N27" s="681">
        <f t="shared" si="3"/>
        <v>5754.986536085943</v>
      </c>
      <c r="O27" s="681">
        <f t="shared" ca="1" si="3"/>
        <v>26751.474748416425</v>
      </c>
      <c r="P27" s="681">
        <f t="shared" si="3"/>
        <v>492.45000000000005</v>
      </c>
      <c r="Q27" s="681">
        <f t="shared" si="3"/>
        <v>2268.9333333333334</v>
      </c>
      <c r="R27" s="681">
        <f t="shared" ca="1" si="3"/>
        <v>396980.73447417811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5022.7779116841466</v>
      </c>
      <c r="D40" s="979">
        <f ca="1">tertiair!C20</f>
        <v>0</v>
      </c>
      <c r="E40" s="979">
        <f ca="1">tertiair!D20</f>
        <v>8220.1040876219759</v>
      </c>
      <c r="F40" s="979">
        <f>tertiair!E20</f>
        <v>102.48965464579705</v>
      </c>
      <c r="G40" s="979">
        <f ca="1">tertiair!F20</f>
        <v>1327.224671106733</v>
      </c>
      <c r="H40" s="979">
        <f>tertiair!G20</f>
        <v>0</v>
      </c>
      <c r="I40" s="979">
        <f>tertiair!H20</f>
        <v>0</v>
      </c>
      <c r="J40" s="979">
        <f>tertiair!I20</f>
        <v>0</v>
      </c>
      <c r="K40" s="979">
        <f>tertiair!J20</f>
        <v>3.0170473396032259E-2</v>
      </c>
      <c r="L40" s="979">
        <f>tertiair!K20</f>
        <v>0</v>
      </c>
      <c r="M40" s="979">
        <f ca="1">tertiair!L20</f>
        <v>0</v>
      </c>
      <c r="N40" s="979">
        <f>tertiair!M20</f>
        <v>0</v>
      </c>
      <c r="O40" s="979">
        <f ca="1">tertiair!N20</f>
        <v>0</v>
      </c>
      <c r="P40" s="979">
        <f>tertiair!O20</f>
        <v>0</v>
      </c>
      <c r="Q40" s="748">
        <f>tertiair!P20</f>
        <v>0</v>
      </c>
      <c r="R40" s="824">
        <f t="shared" ca="1" si="4"/>
        <v>14672.626495532048</v>
      </c>
    </row>
    <row r="41" spans="1:18">
      <c r="A41" s="796" t="s">
        <v>224</v>
      </c>
      <c r="B41" s="803"/>
      <c r="C41" s="979">
        <f ca="1">huishoudens!B12</f>
        <v>4679.8984668261501</v>
      </c>
      <c r="D41" s="979">
        <f ca="1">huishoudens!C12</f>
        <v>0</v>
      </c>
      <c r="E41" s="979">
        <f>huishoudens!D12</f>
        <v>8164.5791324328002</v>
      </c>
      <c r="F41" s="979">
        <f>huishoudens!E12</f>
        <v>2825.9260929503484</v>
      </c>
      <c r="G41" s="979">
        <f>huishoudens!F12</f>
        <v>10311.919843673642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25982.323535882941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2366.4114185691274</v>
      </c>
      <c r="D43" s="979">
        <f ca="1">industrie!C22</f>
        <v>0</v>
      </c>
      <c r="E43" s="979">
        <f>industrie!D22</f>
        <v>431.89632515919999</v>
      </c>
      <c r="F43" s="979">
        <f>industrie!E22</f>
        <v>141.86108519334067</v>
      </c>
      <c r="G43" s="979">
        <f>industrie!F22</f>
        <v>483.16357873018381</v>
      </c>
      <c r="H43" s="979">
        <f>industrie!G22</f>
        <v>0</v>
      </c>
      <c r="I43" s="979">
        <f>industrie!H22</f>
        <v>0</v>
      </c>
      <c r="J43" s="979">
        <f>industrie!I22</f>
        <v>0</v>
      </c>
      <c r="K43" s="979">
        <f>industrie!J22</f>
        <v>0.36571745119807447</v>
      </c>
      <c r="L43" s="979">
        <f>industrie!K22</f>
        <v>0</v>
      </c>
      <c r="M43" s="979">
        <f>industrie!L22</f>
        <v>0</v>
      </c>
      <c r="N43" s="979">
        <f>industrie!M22</f>
        <v>0</v>
      </c>
      <c r="O43" s="979">
        <f>industrie!N22</f>
        <v>0</v>
      </c>
      <c r="P43" s="979">
        <f>industrie!O22</f>
        <v>0</v>
      </c>
      <c r="Q43" s="748">
        <f>industrie!P22</f>
        <v>0</v>
      </c>
      <c r="R43" s="823">
        <f t="shared" ca="1" si="4"/>
        <v>3423.6981251030502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12069.087797079423</v>
      </c>
      <c r="D46" s="706">
        <f t="shared" ref="D46:Q46" ca="1" si="5">SUM(D39:D45)</f>
        <v>0</v>
      </c>
      <c r="E46" s="706">
        <f t="shared" ca="1" si="5"/>
        <v>16816.579545213976</v>
      </c>
      <c r="F46" s="706">
        <f t="shared" si="5"/>
        <v>3070.2768327894864</v>
      </c>
      <c r="G46" s="706">
        <f t="shared" ca="1" si="5"/>
        <v>12122.308093510559</v>
      </c>
      <c r="H46" s="706">
        <f t="shared" si="5"/>
        <v>0</v>
      </c>
      <c r="I46" s="706">
        <f t="shared" si="5"/>
        <v>0</v>
      </c>
      <c r="J46" s="706">
        <f t="shared" si="5"/>
        <v>0</v>
      </c>
      <c r="K46" s="706">
        <f t="shared" si="5"/>
        <v>0.39588792459410671</v>
      </c>
      <c r="L46" s="706">
        <f t="shared" si="5"/>
        <v>0</v>
      </c>
      <c r="M46" s="706">
        <f t="shared" ca="1" si="5"/>
        <v>0</v>
      </c>
      <c r="N46" s="706">
        <f t="shared" si="5"/>
        <v>0</v>
      </c>
      <c r="O46" s="706">
        <f t="shared" ca="1" si="5"/>
        <v>0</v>
      </c>
      <c r="P46" s="706">
        <f t="shared" si="5"/>
        <v>0</v>
      </c>
      <c r="Q46" s="706">
        <f t="shared" si="5"/>
        <v>0</v>
      </c>
      <c r="R46" s="706">
        <f ca="1">SUM(R39:R45)</f>
        <v>44078.648156518044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661.98693303765458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661.98693303765458</v>
      </c>
    </row>
    <row r="50" spans="1:18">
      <c r="A50" s="799" t="s">
        <v>306</v>
      </c>
      <c r="B50" s="809"/>
      <c r="C50" s="677">
        <f ca="1">transport!B18</f>
        <v>6.9368999666224287</v>
      </c>
      <c r="D50" s="677">
        <f>transport!C18</f>
        <v>0</v>
      </c>
      <c r="E50" s="677">
        <f>transport!D18</f>
        <v>26.035744080010986</v>
      </c>
      <c r="F50" s="677">
        <f>transport!E18</f>
        <v>49.105328508445027</v>
      </c>
      <c r="G50" s="677">
        <f>transport!F18</f>
        <v>0</v>
      </c>
      <c r="H50" s="677">
        <f>transport!G18</f>
        <v>22738.830347008559</v>
      </c>
      <c r="I50" s="677">
        <f>transport!H18</f>
        <v>5399.6400267892332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28220.548346352873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6.9368999666224287</v>
      </c>
      <c r="D52" s="706">
        <f t="shared" ref="D52:Q52" ca="1" si="6">SUM(D48:D51)</f>
        <v>0</v>
      </c>
      <c r="E52" s="706">
        <f t="shared" si="6"/>
        <v>26.035744080010986</v>
      </c>
      <c r="F52" s="706">
        <f t="shared" si="6"/>
        <v>49.105328508445027</v>
      </c>
      <c r="G52" s="706">
        <f t="shared" si="6"/>
        <v>0</v>
      </c>
      <c r="H52" s="706">
        <f t="shared" si="6"/>
        <v>23400.817280046213</v>
      </c>
      <c r="I52" s="706">
        <f t="shared" si="6"/>
        <v>5399.6400267892332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28882.535279390526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604.3729810318066</v>
      </c>
      <c r="D54" s="677">
        <f ca="1">+landbouw!C12</f>
        <v>0</v>
      </c>
      <c r="E54" s="677">
        <f>+landbouw!D12</f>
        <v>17.553715564000001</v>
      </c>
      <c r="F54" s="677">
        <f>+landbouw!E12</f>
        <v>24.748630274954166</v>
      </c>
      <c r="G54" s="677">
        <f>+landbouw!F12</f>
        <v>4125.7744920625728</v>
      </c>
      <c r="H54" s="677">
        <f>+landbouw!G12</f>
        <v>0</v>
      </c>
      <c r="I54" s="677">
        <f>+landbouw!H12</f>
        <v>0</v>
      </c>
      <c r="J54" s="677">
        <f>+landbouw!I12</f>
        <v>0</v>
      </c>
      <c r="K54" s="677">
        <f>+landbouw!J12</f>
        <v>190.23388175789771</v>
      </c>
      <c r="L54" s="677">
        <f>+landbouw!K12</f>
        <v>0</v>
      </c>
      <c r="M54" s="677">
        <f>+landbouw!L12</f>
        <v>0</v>
      </c>
      <c r="N54" s="677">
        <f>+landbouw!M12</f>
        <v>0</v>
      </c>
      <c r="O54" s="677">
        <f>+landbouw!N12</f>
        <v>0</v>
      </c>
      <c r="P54" s="677">
        <f>+landbouw!O12</f>
        <v>0</v>
      </c>
      <c r="Q54" s="678">
        <f>+landbouw!P12</f>
        <v>0</v>
      </c>
      <c r="R54" s="705">
        <f ca="1">SUM(C54:Q54)</f>
        <v>4962.683700691231</v>
      </c>
    </row>
    <row r="55" spans="1:18" ht="15" thickBot="1">
      <c r="A55" s="799" t="s">
        <v>823</v>
      </c>
      <c r="B55" s="809"/>
      <c r="C55" s="677">
        <f ca="1">C25*'EF ele_warmte'!B12</f>
        <v>74.885608898226053</v>
      </c>
      <c r="D55" s="677"/>
      <c r="E55" s="677">
        <f>E25*EF_CO2_aardgas</f>
        <v>265.85370490000003</v>
      </c>
      <c r="F55" s="677"/>
      <c r="G55" s="677"/>
      <c r="H55" s="677"/>
      <c r="I55" s="677"/>
      <c r="J55" s="677"/>
      <c r="K55" s="677"/>
      <c r="L55" s="677"/>
      <c r="M55" s="677"/>
      <c r="N55" s="677"/>
      <c r="O55" s="677"/>
      <c r="P55" s="677"/>
      <c r="Q55" s="678"/>
      <c r="R55" s="705">
        <f ca="1">SUM(C55:Q55)</f>
        <v>340.73931379822608</v>
      </c>
    </row>
    <row r="56" spans="1:18" ht="15.75" thickBot="1">
      <c r="A56" s="797" t="s">
        <v>824</v>
      </c>
      <c r="B56" s="810"/>
      <c r="C56" s="706">
        <f ca="1">SUM(C54:C55)</f>
        <v>679.25858993003271</v>
      </c>
      <c r="D56" s="706">
        <f t="shared" ref="D56:Q56" ca="1" si="7">SUM(D54:D55)</f>
        <v>0</v>
      </c>
      <c r="E56" s="706">
        <f t="shared" si="7"/>
        <v>283.40742046400004</v>
      </c>
      <c r="F56" s="706">
        <f t="shared" si="7"/>
        <v>24.748630274954166</v>
      </c>
      <c r="G56" s="706">
        <f t="shared" si="7"/>
        <v>4125.7744920625728</v>
      </c>
      <c r="H56" s="706">
        <f t="shared" si="7"/>
        <v>0</v>
      </c>
      <c r="I56" s="706">
        <f t="shared" si="7"/>
        <v>0</v>
      </c>
      <c r="J56" s="706">
        <f t="shared" si="7"/>
        <v>0</v>
      </c>
      <c r="K56" s="706">
        <f t="shared" si="7"/>
        <v>190.23388175789771</v>
      </c>
      <c r="L56" s="706">
        <f t="shared" si="7"/>
        <v>0</v>
      </c>
      <c r="M56" s="706">
        <f t="shared" si="7"/>
        <v>0</v>
      </c>
      <c r="N56" s="706">
        <f t="shared" si="7"/>
        <v>0</v>
      </c>
      <c r="O56" s="706">
        <f t="shared" si="7"/>
        <v>0</v>
      </c>
      <c r="P56" s="706">
        <f t="shared" si="7"/>
        <v>0</v>
      </c>
      <c r="Q56" s="707">
        <f t="shared" si="7"/>
        <v>0</v>
      </c>
      <c r="R56" s="708">
        <f ca="1">SUM(R54:R55)</f>
        <v>5303.4230144894573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12755.283286976077</v>
      </c>
      <c r="D61" s="714">
        <f t="shared" ref="D61:Q61" ca="1" si="8">D46+D52+D56</f>
        <v>0</v>
      </c>
      <c r="E61" s="714">
        <f t="shared" ca="1" si="8"/>
        <v>17126.022709757985</v>
      </c>
      <c r="F61" s="714">
        <f t="shared" si="8"/>
        <v>3144.1307915728858</v>
      </c>
      <c r="G61" s="714">
        <f t="shared" ca="1" si="8"/>
        <v>16248.082585573131</v>
      </c>
      <c r="H61" s="714">
        <f t="shared" si="8"/>
        <v>23400.817280046213</v>
      </c>
      <c r="I61" s="714">
        <f t="shared" si="8"/>
        <v>5399.6400267892332</v>
      </c>
      <c r="J61" s="714">
        <f t="shared" si="8"/>
        <v>0</v>
      </c>
      <c r="K61" s="714">
        <f t="shared" si="8"/>
        <v>190.62976968249183</v>
      </c>
      <c r="L61" s="714">
        <f t="shared" si="8"/>
        <v>0</v>
      </c>
      <c r="M61" s="714">
        <f t="shared" ca="1" si="8"/>
        <v>0</v>
      </c>
      <c r="N61" s="714">
        <f t="shared" si="8"/>
        <v>0</v>
      </c>
      <c r="O61" s="714">
        <f t="shared" ca="1" si="8"/>
        <v>0</v>
      </c>
      <c r="P61" s="714">
        <f t="shared" si="8"/>
        <v>0</v>
      </c>
      <c r="Q61" s="714">
        <f t="shared" si="8"/>
        <v>0</v>
      </c>
      <c r="R61" s="714">
        <f ca="1">R46+R52+R56</f>
        <v>78264.606450398031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0.16293877536300549</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10713.561586198739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9852.9</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11591.64705882353</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20566.46158619874</v>
      </c>
      <c r="C78" s="729">
        <f>SUM(C72:C77)</f>
        <v>0</v>
      </c>
      <c r="D78" s="730">
        <f t="shared" ref="D78:H78" si="10">SUM(D76:D77)</f>
        <v>0</v>
      </c>
      <c r="E78" s="730">
        <f t="shared" si="10"/>
        <v>0</v>
      </c>
      <c r="F78" s="730">
        <f t="shared" si="10"/>
        <v>0</v>
      </c>
      <c r="G78" s="730">
        <f t="shared" si="10"/>
        <v>0</v>
      </c>
      <c r="H78" s="730">
        <f t="shared" si="10"/>
        <v>0</v>
      </c>
      <c r="I78" s="730">
        <f>SUM(I76:I77)</f>
        <v>0</v>
      </c>
      <c r="J78" s="730">
        <f>SUM(J76:J77)</f>
        <v>11591.64705882353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14075.571428571429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16559.495798319331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14075.571428571429</v>
      </c>
      <c r="C90" s="729">
        <f>SUM(C87:C89)</f>
        <v>0</v>
      </c>
      <c r="D90" s="729">
        <f t="shared" ref="D90:H90" si="12">SUM(D87:D89)</f>
        <v>0</v>
      </c>
      <c r="E90" s="729">
        <f t="shared" si="12"/>
        <v>0</v>
      </c>
      <c r="F90" s="729">
        <f t="shared" si="12"/>
        <v>0</v>
      </c>
      <c r="G90" s="729">
        <f t="shared" si="12"/>
        <v>0</v>
      </c>
      <c r="H90" s="729">
        <f t="shared" si="12"/>
        <v>0</v>
      </c>
      <c r="I90" s="729">
        <f>SUM(I87:I89)</f>
        <v>0</v>
      </c>
      <c r="J90" s="729">
        <f>SUM(J87:J89)</f>
        <v>16559.495798319331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10713.561586198739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9852.9</v>
      </c>
      <c r="C8" s="544">
        <f>B49</f>
        <v>0</v>
      </c>
      <c r="D8" s="1010"/>
      <c r="E8" s="1010">
        <f>E49</f>
        <v>0</v>
      </c>
      <c r="F8" s="1011"/>
      <c r="G8" s="545"/>
      <c r="H8" s="1010">
        <f>I49</f>
        <v>0</v>
      </c>
      <c r="I8" s="1010">
        <f>G49+F49</f>
        <v>0</v>
      </c>
      <c r="J8" s="1010">
        <f>H49+D49+C49</f>
        <v>11591.64705882353</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20566.46158619874</v>
      </c>
      <c r="C10" s="557">
        <f t="shared" ref="C10:L10" si="0">SUM(C8:C9)</f>
        <v>0</v>
      </c>
      <c r="D10" s="557">
        <f t="shared" si="0"/>
        <v>0</v>
      </c>
      <c r="E10" s="557">
        <f t="shared" si="0"/>
        <v>0</v>
      </c>
      <c r="F10" s="557">
        <f t="shared" si="0"/>
        <v>0</v>
      </c>
      <c r="G10" s="557">
        <f t="shared" si="0"/>
        <v>0</v>
      </c>
      <c r="H10" s="557">
        <f t="shared" si="0"/>
        <v>0</v>
      </c>
      <c r="I10" s="557">
        <f t="shared" si="0"/>
        <v>0</v>
      </c>
      <c r="J10" s="557">
        <f t="shared" si="0"/>
        <v>11591.64705882353</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14075.571428571429</v>
      </c>
      <c r="C17" s="569">
        <f>B50</f>
        <v>0</v>
      </c>
      <c r="D17" s="570"/>
      <c r="E17" s="570">
        <f>E50</f>
        <v>0</v>
      </c>
      <c r="F17" s="1016"/>
      <c r="G17" s="571"/>
      <c r="H17" s="569">
        <f>I50</f>
        <v>0</v>
      </c>
      <c r="I17" s="570">
        <f>G50+F50</f>
        <v>0</v>
      </c>
      <c r="J17" s="570">
        <f>H50+D50+C50</f>
        <v>16559.495798319331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14075.571428571429</v>
      </c>
      <c r="C20" s="556">
        <f>SUM(C17:C19)</f>
        <v>0</v>
      </c>
      <c r="D20" s="556">
        <f t="shared" ref="D20:L20" si="1">SUM(D17:D19)</f>
        <v>0</v>
      </c>
      <c r="E20" s="556">
        <f t="shared" si="1"/>
        <v>0</v>
      </c>
      <c r="F20" s="556">
        <f t="shared" si="1"/>
        <v>0</v>
      </c>
      <c r="G20" s="556">
        <f t="shared" si="1"/>
        <v>0</v>
      </c>
      <c r="H20" s="556">
        <f t="shared" si="1"/>
        <v>0</v>
      </c>
      <c r="I20" s="556">
        <f t="shared" si="1"/>
        <v>0</v>
      </c>
      <c r="J20" s="556">
        <f t="shared" si="1"/>
        <v>16559.495798319331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72030</v>
      </c>
      <c r="C28" s="770">
        <v>3990</v>
      </c>
      <c r="D28" s="627" t="s">
        <v>887</v>
      </c>
      <c r="E28" s="626" t="s">
        <v>888</v>
      </c>
      <c r="F28" s="626" t="s">
        <v>889</v>
      </c>
      <c r="G28" s="626" t="s">
        <v>890</v>
      </c>
      <c r="H28" s="626" t="s">
        <v>891</v>
      </c>
      <c r="I28" s="626" t="s">
        <v>888</v>
      </c>
      <c r="J28" s="769">
        <v>41236</v>
      </c>
      <c r="K28" s="769">
        <v>41275</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38.25">
      <c r="A29" s="579"/>
      <c r="B29" s="770">
        <v>72030</v>
      </c>
      <c r="C29" s="770">
        <v>3990</v>
      </c>
      <c r="D29" s="627" t="s">
        <v>893</v>
      </c>
      <c r="E29" s="626"/>
      <c r="F29" s="626" t="s">
        <v>894</v>
      </c>
      <c r="G29" s="626" t="s">
        <v>895</v>
      </c>
      <c r="H29" s="626" t="s">
        <v>891</v>
      </c>
      <c r="I29" s="626" t="s">
        <v>896</v>
      </c>
      <c r="J29" s="769">
        <v>42395</v>
      </c>
      <c r="K29" s="769">
        <v>42395</v>
      </c>
      <c r="L29" s="626" t="s">
        <v>897</v>
      </c>
      <c r="M29" s="626">
        <v>2378</v>
      </c>
      <c r="N29" s="626">
        <v>9809.25</v>
      </c>
      <c r="O29" s="626">
        <v>14013.214285714286</v>
      </c>
      <c r="P29" s="626">
        <v>0</v>
      </c>
      <c r="Q29" s="626">
        <v>28026.428571428572</v>
      </c>
      <c r="R29" s="626">
        <v>0</v>
      </c>
      <c r="S29" s="626">
        <v>0</v>
      </c>
      <c r="T29" s="626">
        <v>0</v>
      </c>
      <c r="U29" s="626">
        <v>0</v>
      </c>
      <c r="V29" s="626">
        <v>0</v>
      </c>
      <c r="W29" s="626">
        <v>0</v>
      </c>
      <c r="X29" s="626">
        <v>600</v>
      </c>
      <c r="Y29" s="626" t="s">
        <v>39</v>
      </c>
      <c r="Z29" s="628" t="s">
        <v>388</v>
      </c>
    </row>
    <row r="30" spans="1:26" s="564" customFormat="1">
      <c r="A30" s="582" t="s">
        <v>279</v>
      </c>
      <c r="B30" s="583"/>
      <c r="C30" s="583"/>
      <c r="D30" s="583"/>
      <c r="E30" s="583"/>
      <c r="F30" s="583"/>
      <c r="G30" s="583"/>
      <c r="H30" s="583"/>
      <c r="I30" s="583"/>
      <c r="J30" s="583"/>
      <c r="K30" s="583"/>
      <c r="L30" s="584"/>
      <c r="M30" s="584">
        <f>SUM(M28:M29)</f>
        <v>2387.6999999999998</v>
      </c>
      <c r="N30" s="584">
        <f>SUM(N28:N29)</f>
        <v>9852.9</v>
      </c>
      <c r="O30" s="584">
        <f>SUM(O28:O29)</f>
        <v>14075.571428571429</v>
      </c>
      <c r="P30" s="584">
        <f>SUM(P28:P29)</f>
        <v>0</v>
      </c>
      <c r="Q30" s="584">
        <f>SUM(Q28:Q29)</f>
        <v>28151.142857142859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2378</v>
      </c>
      <c r="N31" s="584">
        <f>SUMIF($Z$28:$Z$29,"industrie",N28:N29)</f>
        <v>9809.25</v>
      </c>
      <c r="O31" s="584">
        <f>SUMIF($Z$28:$Z$29,"industrie",O28:O29)</f>
        <v>14013.214285714286</v>
      </c>
      <c r="P31" s="584">
        <f>SUMIF($Z$28:$Z$29,"industrie",P28:P29)</f>
        <v>0</v>
      </c>
      <c r="Q31" s="584">
        <f>SUMIF($Z$28:$Z$29,"industrie",Q28:Q29)</f>
        <v>28026.428571428572</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11591.64705882353</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16559.495798319331</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28721.821778763038</v>
      </c>
      <c r="C4" s="451">
        <f>huishoudens!C8</f>
        <v>0</v>
      </c>
      <c r="D4" s="451">
        <f>huishoudens!D8</f>
        <v>40418.7085764</v>
      </c>
      <c r="E4" s="451">
        <f>huishoudens!E8</f>
        <v>12449.013625331931</v>
      </c>
      <c r="F4" s="451">
        <f>huishoudens!F8</f>
        <v>38621.422635481802</v>
      </c>
      <c r="G4" s="451">
        <f>huishoudens!G8</f>
        <v>0</v>
      </c>
      <c r="H4" s="451">
        <f>huishoudens!H8</f>
        <v>0</v>
      </c>
      <c r="I4" s="451">
        <f>huishoudens!I8</f>
        <v>0</v>
      </c>
      <c r="J4" s="451">
        <f>huishoudens!J8</f>
        <v>0</v>
      </c>
      <c r="K4" s="451">
        <f>huishoudens!K8</f>
        <v>0</v>
      </c>
      <c r="L4" s="451">
        <f>huishoudens!L8</f>
        <v>0</v>
      </c>
      <c r="M4" s="451">
        <f>huishoudens!M8</f>
        <v>0</v>
      </c>
      <c r="N4" s="451">
        <f>huishoudens!N8</f>
        <v>23370.619661471184</v>
      </c>
      <c r="O4" s="451">
        <f>huishoudens!O8</f>
        <v>489.32333333333338</v>
      </c>
      <c r="P4" s="452">
        <f>huishoudens!P8</f>
        <v>2173.6</v>
      </c>
      <c r="Q4" s="453">
        <f>SUM(B4:P4)</f>
        <v>146244.5096107813</v>
      </c>
    </row>
    <row r="5" spans="1:17">
      <c r="A5" s="450" t="s">
        <v>155</v>
      </c>
      <c r="B5" s="451">
        <f ca="1">tertiair!B16</f>
        <v>29755.045071</v>
      </c>
      <c r="C5" s="451">
        <f ca="1">tertiair!C16</f>
        <v>0</v>
      </c>
      <c r="D5" s="451">
        <f ca="1">tertiair!D16</f>
        <v>40693.584592187995</v>
      </c>
      <c r="E5" s="451">
        <f>tertiair!E16</f>
        <v>451.4962759726742</v>
      </c>
      <c r="F5" s="451">
        <f ca="1">tertiair!F16</f>
        <v>4970.8789180027452</v>
      </c>
      <c r="G5" s="451">
        <f>tertiair!G16</f>
        <v>0</v>
      </c>
      <c r="H5" s="451">
        <f>tertiair!H16</f>
        <v>0</v>
      </c>
      <c r="I5" s="451">
        <f>tertiair!I16</f>
        <v>0</v>
      </c>
      <c r="J5" s="451">
        <f>tertiair!J16</f>
        <v>8.522732597749226E-2</v>
      </c>
      <c r="K5" s="451">
        <f>tertiair!K16</f>
        <v>0</v>
      </c>
      <c r="L5" s="451">
        <f ca="1">tertiair!L16</f>
        <v>0</v>
      </c>
      <c r="M5" s="451">
        <f>tertiair!M16</f>
        <v>0</v>
      </c>
      <c r="N5" s="451">
        <f ca="1">tertiair!N16</f>
        <v>3380.855086945242</v>
      </c>
      <c r="O5" s="451">
        <f>tertiair!O16</f>
        <v>3.1266666666666669</v>
      </c>
      <c r="P5" s="452">
        <f>tertiair!P16</f>
        <v>95.333333333333343</v>
      </c>
      <c r="Q5" s="450">
        <f t="shared" ref="Q5:Q14" ca="1" si="0">SUM(B5:P5)</f>
        <v>79350.405171434628</v>
      </c>
    </row>
    <row r="6" spans="1:17">
      <c r="A6" s="450" t="s">
        <v>193</v>
      </c>
      <c r="B6" s="451">
        <f>'openbare verlichting'!B8</f>
        <v>1071.1220000000001</v>
      </c>
      <c r="C6" s="451"/>
      <c r="D6" s="451"/>
      <c r="E6" s="451"/>
      <c r="F6" s="451"/>
      <c r="G6" s="451"/>
      <c r="H6" s="451"/>
      <c r="I6" s="451"/>
      <c r="J6" s="451"/>
      <c r="K6" s="451"/>
      <c r="L6" s="451"/>
      <c r="M6" s="451"/>
      <c r="N6" s="451"/>
      <c r="O6" s="451"/>
      <c r="P6" s="452"/>
      <c r="Q6" s="450">
        <f t="shared" si="0"/>
        <v>1071.1220000000001</v>
      </c>
    </row>
    <row r="7" spans="1:17">
      <c r="A7" s="450" t="s">
        <v>111</v>
      </c>
      <c r="B7" s="451">
        <f>landbouw!B8</f>
        <v>3709.202918</v>
      </c>
      <c r="C7" s="451">
        <f>landbouw!C8</f>
        <v>62.357142857142847</v>
      </c>
      <c r="D7" s="451">
        <f>landbouw!D8</f>
        <v>86.899581999999995</v>
      </c>
      <c r="E7" s="451">
        <f>landbouw!E8</f>
        <v>109.02480297336636</v>
      </c>
      <c r="F7" s="451">
        <f>landbouw!F8</f>
        <v>15452.338921582668</v>
      </c>
      <c r="G7" s="451">
        <f>landbouw!G8</f>
        <v>0</v>
      </c>
      <c r="H7" s="451">
        <f>landbouw!H8</f>
        <v>0</v>
      </c>
      <c r="I7" s="451">
        <f>landbouw!I8</f>
        <v>0</v>
      </c>
      <c r="J7" s="451">
        <f>landbouw!J8</f>
        <v>537.38384677372233</v>
      </c>
      <c r="K7" s="451">
        <f>landbouw!K8</f>
        <v>0</v>
      </c>
      <c r="L7" s="451">
        <f>landbouw!L8</f>
        <v>0</v>
      </c>
      <c r="M7" s="451">
        <f>landbouw!M8</f>
        <v>0</v>
      </c>
      <c r="N7" s="451">
        <f>landbouw!N8</f>
        <v>0</v>
      </c>
      <c r="O7" s="451">
        <f>landbouw!O8</f>
        <v>0</v>
      </c>
      <c r="P7" s="452">
        <f>landbouw!P8</f>
        <v>0</v>
      </c>
      <c r="Q7" s="450">
        <f t="shared" si="0"/>
        <v>19957.207214186899</v>
      </c>
    </row>
    <row r="8" spans="1:17">
      <c r="A8" s="450" t="s">
        <v>634</v>
      </c>
      <c r="B8" s="451">
        <f>industrie!B18</f>
        <v>14523.316585</v>
      </c>
      <c r="C8" s="451">
        <f>industrie!C18</f>
        <v>14013.214285714286</v>
      </c>
      <c r="D8" s="451">
        <f>industrie!D18</f>
        <v>2138.1006195999998</v>
      </c>
      <c r="E8" s="451">
        <f>industrie!E18</f>
        <v>624.93870129224968</v>
      </c>
      <c r="F8" s="451">
        <f>industrie!F18</f>
        <v>1809.6014184651078</v>
      </c>
      <c r="G8" s="451">
        <f>industrie!G18</f>
        <v>0</v>
      </c>
      <c r="H8" s="451">
        <f>industrie!H18</f>
        <v>0</v>
      </c>
      <c r="I8" s="451">
        <f>industrie!I18</f>
        <v>0</v>
      </c>
      <c r="J8" s="451">
        <f>industrie!J18</f>
        <v>1.0331001446273291</v>
      </c>
      <c r="K8" s="451">
        <f>industrie!K18</f>
        <v>0</v>
      </c>
      <c r="L8" s="451">
        <f>industrie!L18</f>
        <v>0</v>
      </c>
      <c r="M8" s="451">
        <f>industrie!M18</f>
        <v>0</v>
      </c>
      <c r="N8" s="451">
        <f>industrie!N18</f>
        <v>0</v>
      </c>
      <c r="O8" s="451">
        <f>industrie!O18</f>
        <v>0</v>
      </c>
      <c r="P8" s="452">
        <f>industrie!P18</f>
        <v>0</v>
      </c>
      <c r="Q8" s="450">
        <f t="shared" si="0"/>
        <v>33110.204710216269</v>
      </c>
    </row>
    <row r="9" spans="1:17" s="456" customFormat="1">
      <c r="A9" s="454" t="s">
        <v>560</v>
      </c>
      <c r="B9" s="455">
        <f>transport!B14</f>
        <v>42.573659653252918</v>
      </c>
      <c r="C9" s="455">
        <f>transport!C14</f>
        <v>0</v>
      </c>
      <c r="D9" s="455">
        <f>transport!D14</f>
        <v>128.8898221782722</v>
      </c>
      <c r="E9" s="455">
        <f>transport!E14</f>
        <v>216.32303307685032</v>
      </c>
      <c r="F9" s="455">
        <f>transport!F14</f>
        <v>0</v>
      </c>
      <c r="G9" s="455">
        <f>transport!G14</f>
        <v>85164.158603028307</v>
      </c>
      <c r="H9" s="455">
        <f>transport!H14</f>
        <v>21685.301312406558</v>
      </c>
      <c r="I9" s="455">
        <f>transport!I14</f>
        <v>0</v>
      </c>
      <c r="J9" s="455">
        <f>transport!J14</f>
        <v>0</v>
      </c>
      <c r="K9" s="455">
        <f>transport!K14</f>
        <v>0</v>
      </c>
      <c r="L9" s="455">
        <f>transport!L14</f>
        <v>0</v>
      </c>
      <c r="M9" s="455">
        <f>transport!M14</f>
        <v>5614.1809357535494</v>
      </c>
      <c r="N9" s="455">
        <f>transport!N14</f>
        <v>0</v>
      </c>
      <c r="O9" s="455">
        <f>transport!O14</f>
        <v>0</v>
      </c>
      <c r="P9" s="455">
        <f>transport!P14</f>
        <v>0</v>
      </c>
      <c r="Q9" s="454">
        <f>SUM(B9:P9)</f>
        <v>112851.4273660968</v>
      </c>
    </row>
    <row r="10" spans="1:17">
      <c r="A10" s="450" t="s">
        <v>550</v>
      </c>
      <c r="B10" s="451">
        <f>transport!B54</f>
        <v>0</v>
      </c>
      <c r="C10" s="451">
        <f>transport!C54</f>
        <v>0</v>
      </c>
      <c r="D10" s="451">
        <f>transport!D54</f>
        <v>0</v>
      </c>
      <c r="E10" s="451">
        <f>transport!E54</f>
        <v>0</v>
      </c>
      <c r="F10" s="451">
        <f>transport!F54</f>
        <v>0</v>
      </c>
      <c r="G10" s="451">
        <f>transport!G54</f>
        <v>2479.3518091297924</v>
      </c>
      <c r="H10" s="451">
        <f>transport!H54</f>
        <v>0</v>
      </c>
      <c r="I10" s="451">
        <f>transport!I54</f>
        <v>0</v>
      </c>
      <c r="J10" s="451">
        <f>transport!J54</f>
        <v>0</v>
      </c>
      <c r="K10" s="451">
        <f>transport!K54</f>
        <v>0</v>
      </c>
      <c r="L10" s="451">
        <f>transport!L54</f>
        <v>0</v>
      </c>
      <c r="M10" s="451">
        <f>transport!M54</f>
        <v>140.80560033239342</v>
      </c>
      <c r="N10" s="451">
        <f>transport!N54</f>
        <v>0</v>
      </c>
      <c r="O10" s="451">
        <f>transport!O54</f>
        <v>0</v>
      </c>
      <c r="P10" s="452">
        <f>transport!P54</f>
        <v>0</v>
      </c>
      <c r="Q10" s="450">
        <f t="shared" si="0"/>
        <v>2620.157409462186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459.59354200000001</v>
      </c>
      <c r="C14" s="458"/>
      <c r="D14" s="458">
        <f>'SEAP template'!E25</f>
        <v>1316.10745</v>
      </c>
      <c r="E14" s="458"/>
      <c r="F14" s="458"/>
      <c r="G14" s="458"/>
      <c r="H14" s="458"/>
      <c r="I14" s="458"/>
      <c r="J14" s="458"/>
      <c r="K14" s="458"/>
      <c r="L14" s="458"/>
      <c r="M14" s="458"/>
      <c r="N14" s="458"/>
      <c r="O14" s="458"/>
      <c r="P14" s="459"/>
      <c r="Q14" s="450">
        <f t="shared" si="0"/>
        <v>1775.700992</v>
      </c>
    </row>
    <row r="15" spans="1:17" s="460" customFormat="1">
      <c r="A15" s="1005" t="s">
        <v>554</v>
      </c>
      <c r="B15" s="953">
        <f ca="1">SUM(B4:B14)</f>
        <v>78282.675554416302</v>
      </c>
      <c r="C15" s="953">
        <f t="shared" ref="C15:Q15" ca="1" si="1">SUM(C4:C14)</f>
        <v>14075.571428571429</v>
      </c>
      <c r="D15" s="953">
        <f t="shared" ca="1" si="1"/>
        <v>84782.29064236625</v>
      </c>
      <c r="E15" s="953">
        <f t="shared" si="1"/>
        <v>13850.796438647072</v>
      </c>
      <c r="F15" s="953">
        <f t="shared" ca="1" si="1"/>
        <v>60854.241893532322</v>
      </c>
      <c r="G15" s="953">
        <f t="shared" si="1"/>
        <v>87643.510412158095</v>
      </c>
      <c r="H15" s="953">
        <f t="shared" si="1"/>
        <v>21685.301312406558</v>
      </c>
      <c r="I15" s="953">
        <f t="shared" si="1"/>
        <v>0</v>
      </c>
      <c r="J15" s="953">
        <f t="shared" si="1"/>
        <v>538.50217424432719</v>
      </c>
      <c r="K15" s="953">
        <f t="shared" si="1"/>
        <v>0</v>
      </c>
      <c r="L15" s="953">
        <f t="shared" ca="1" si="1"/>
        <v>0</v>
      </c>
      <c r="M15" s="953">
        <f t="shared" si="1"/>
        <v>5754.986536085943</v>
      </c>
      <c r="N15" s="953">
        <f t="shared" ca="1" si="1"/>
        <v>26751.474748416425</v>
      </c>
      <c r="O15" s="953">
        <f t="shared" si="1"/>
        <v>492.45000000000005</v>
      </c>
      <c r="P15" s="953">
        <f t="shared" si="1"/>
        <v>2268.9333333333334</v>
      </c>
      <c r="Q15" s="953">
        <f t="shared" ca="1" si="1"/>
        <v>396980.73447417811</v>
      </c>
    </row>
    <row r="17" spans="1:17">
      <c r="A17" s="461" t="s">
        <v>555</v>
      </c>
      <c r="B17" s="760">
        <f ca="1">huishoudens!B10</f>
        <v>0.16293877536300552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4679.8984668261501</v>
      </c>
      <c r="C22" s="451">
        <f t="shared" ref="C22:C32" ca="1" si="3">C4*$C$17</f>
        <v>0</v>
      </c>
      <c r="D22" s="451">
        <f t="shared" ref="D22:D32" si="4">D4*$D$17</f>
        <v>8164.5791324328002</v>
      </c>
      <c r="E22" s="451">
        <f t="shared" ref="E22:E32" si="5">E4*$E$17</f>
        <v>2825.9260929503484</v>
      </c>
      <c r="F22" s="451">
        <f t="shared" ref="F22:F32" si="6">F4*$F$17</f>
        <v>10311.919843673642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25982.323535882941</v>
      </c>
    </row>
    <row r="23" spans="1:17">
      <c r="A23" s="450" t="s">
        <v>155</v>
      </c>
      <c r="B23" s="451">
        <f t="shared" ca="1" si="2"/>
        <v>4848.2506047397737</v>
      </c>
      <c r="C23" s="451">
        <f t="shared" ca="1" si="3"/>
        <v>0</v>
      </c>
      <c r="D23" s="451">
        <f t="shared" ca="1" si="4"/>
        <v>8220.1040876219759</v>
      </c>
      <c r="E23" s="451">
        <f t="shared" si="5"/>
        <v>102.48965464579705</v>
      </c>
      <c r="F23" s="451">
        <f t="shared" ca="1" si="6"/>
        <v>1327.224671106733</v>
      </c>
      <c r="G23" s="451">
        <f t="shared" si="7"/>
        <v>0</v>
      </c>
      <c r="H23" s="451">
        <f t="shared" si="8"/>
        <v>0</v>
      </c>
      <c r="I23" s="451">
        <f t="shared" si="9"/>
        <v>0</v>
      </c>
      <c r="J23" s="451">
        <f t="shared" si="10"/>
        <v>3.0170473396032259E-2</v>
      </c>
      <c r="K23" s="451">
        <f t="shared" si="11"/>
        <v>0</v>
      </c>
      <c r="L23" s="451">
        <f t="shared" ca="1" si="12"/>
        <v>0</v>
      </c>
      <c r="M23" s="451">
        <f t="shared" si="13"/>
        <v>0</v>
      </c>
      <c r="N23" s="451">
        <f t="shared" ca="1" si="14"/>
        <v>0</v>
      </c>
      <c r="O23" s="451">
        <f t="shared" si="15"/>
        <v>0</v>
      </c>
      <c r="P23" s="452">
        <f t="shared" si="16"/>
        <v>0</v>
      </c>
      <c r="Q23" s="450">
        <f t="shared" ref="Q23:Q32" ca="1" si="17">SUM(B23:P23)</f>
        <v>14498.099188587676</v>
      </c>
    </row>
    <row r="24" spans="1:17">
      <c r="A24" s="450" t="s">
        <v>193</v>
      </c>
      <c r="B24" s="451">
        <f t="shared" ca="1" si="2"/>
        <v>174.52730694437321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174.52730694437321</v>
      </c>
    </row>
    <row r="25" spans="1:17">
      <c r="A25" s="450" t="s">
        <v>111</v>
      </c>
      <c r="B25" s="451">
        <f t="shared" ca="1" si="2"/>
        <v>604.3729810318066</v>
      </c>
      <c r="C25" s="451">
        <f t="shared" ca="1" si="3"/>
        <v>0</v>
      </c>
      <c r="D25" s="451">
        <f t="shared" si="4"/>
        <v>17.553715564000001</v>
      </c>
      <c r="E25" s="451">
        <f t="shared" si="5"/>
        <v>24.748630274954166</v>
      </c>
      <c r="F25" s="451">
        <f t="shared" si="6"/>
        <v>4125.7744920625728</v>
      </c>
      <c r="G25" s="451">
        <f t="shared" si="7"/>
        <v>0</v>
      </c>
      <c r="H25" s="451">
        <f t="shared" si="8"/>
        <v>0</v>
      </c>
      <c r="I25" s="451">
        <f t="shared" si="9"/>
        <v>0</v>
      </c>
      <c r="J25" s="451">
        <f t="shared" si="10"/>
        <v>190.23388175789771</v>
      </c>
      <c r="K25" s="451">
        <f t="shared" si="11"/>
        <v>0</v>
      </c>
      <c r="L25" s="451">
        <f t="shared" si="12"/>
        <v>0</v>
      </c>
      <c r="M25" s="451">
        <f t="shared" si="13"/>
        <v>0</v>
      </c>
      <c r="N25" s="451">
        <f t="shared" si="14"/>
        <v>0</v>
      </c>
      <c r="O25" s="451">
        <f t="shared" si="15"/>
        <v>0</v>
      </c>
      <c r="P25" s="452">
        <f t="shared" si="16"/>
        <v>0</v>
      </c>
      <c r="Q25" s="450">
        <f t="shared" ca="1" si="17"/>
        <v>4962.683700691231</v>
      </c>
    </row>
    <row r="26" spans="1:17">
      <c r="A26" s="450" t="s">
        <v>634</v>
      </c>
      <c r="B26" s="451">
        <f t="shared" ca="1" si="2"/>
        <v>2366.4114185691274</v>
      </c>
      <c r="C26" s="451">
        <f t="shared" ca="1" si="3"/>
        <v>0</v>
      </c>
      <c r="D26" s="451">
        <f t="shared" si="4"/>
        <v>431.89632515919999</v>
      </c>
      <c r="E26" s="451">
        <f t="shared" si="5"/>
        <v>141.86108519334067</v>
      </c>
      <c r="F26" s="451">
        <f t="shared" si="6"/>
        <v>483.16357873018381</v>
      </c>
      <c r="G26" s="451">
        <f t="shared" si="7"/>
        <v>0</v>
      </c>
      <c r="H26" s="451">
        <f t="shared" si="8"/>
        <v>0</v>
      </c>
      <c r="I26" s="451">
        <f t="shared" si="9"/>
        <v>0</v>
      </c>
      <c r="J26" s="451">
        <f t="shared" si="10"/>
        <v>0.36571745119807447</v>
      </c>
      <c r="K26" s="451">
        <f t="shared" si="11"/>
        <v>0</v>
      </c>
      <c r="L26" s="451">
        <f t="shared" si="12"/>
        <v>0</v>
      </c>
      <c r="M26" s="451">
        <f t="shared" si="13"/>
        <v>0</v>
      </c>
      <c r="N26" s="451">
        <f t="shared" si="14"/>
        <v>0</v>
      </c>
      <c r="O26" s="451">
        <f t="shared" si="15"/>
        <v>0</v>
      </c>
      <c r="P26" s="452">
        <f t="shared" si="16"/>
        <v>0</v>
      </c>
      <c r="Q26" s="450">
        <f t="shared" ca="1" si="17"/>
        <v>3423.6981251030502</v>
      </c>
    </row>
    <row r="27" spans="1:17" s="456" customFormat="1">
      <c r="A27" s="454" t="s">
        <v>560</v>
      </c>
      <c r="B27" s="754">
        <f t="shared" ca="1" si="2"/>
        <v>6.9368999666224287</v>
      </c>
      <c r="C27" s="455">
        <f t="shared" ca="1" si="3"/>
        <v>0</v>
      </c>
      <c r="D27" s="455">
        <f t="shared" si="4"/>
        <v>26.035744080010986</v>
      </c>
      <c r="E27" s="455">
        <f t="shared" si="5"/>
        <v>49.105328508445027</v>
      </c>
      <c r="F27" s="455">
        <f t="shared" si="6"/>
        <v>0</v>
      </c>
      <c r="G27" s="455">
        <f t="shared" si="7"/>
        <v>22738.830347008559</v>
      </c>
      <c r="H27" s="455">
        <f t="shared" si="8"/>
        <v>5399.6400267892332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28220.548346352873</v>
      </c>
    </row>
    <row r="28" spans="1:17">
      <c r="A28" s="450" t="s">
        <v>550</v>
      </c>
      <c r="B28" s="451">
        <f t="shared" ca="1" si="2"/>
        <v>0</v>
      </c>
      <c r="C28" s="451">
        <f t="shared" ca="1" si="3"/>
        <v>0</v>
      </c>
      <c r="D28" s="451">
        <f t="shared" si="4"/>
        <v>0</v>
      </c>
      <c r="E28" s="451">
        <f t="shared" si="5"/>
        <v>0</v>
      </c>
      <c r="F28" s="451">
        <f t="shared" si="6"/>
        <v>0</v>
      </c>
      <c r="G28" s="451">
        <f t="shared" si="7"/>
        <v>661.98693303765458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661.98693303765458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74.885608898226053</v>
      </c>
      <c r="C32" s="451">
        <f t="shared" ca="1" si="3"/>
        <v>0</v>
      </c>
      <c r="D32" s="451">
        <f t="shared" si="4"/>
        <v>265.85370490000003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340.73931379822608</v>
      </c>
    </row>
    <row r="33" spans="1:17" s="460" customFormat="1">
      <c r="A33" s="1005" t="s">
        <v>554</v>
      </c>
      <c r="B33" s="953">
        <f ca="1">SUM(B22:B32)</f>
        <v>12755.28328697608</v>
      </c>
      <c r="C33" s="953">
        <f t="shared" ref="C33:Q33" ca="1" si="18">SUM(C22:C32)</f>
        <v>0</v>
      </c>
      <c r="D33" s="953">
        <f t="shared" ca="1" si="18"/>
        <v>17126.022709757988</v>
      </c>
      <c r="E33" s="953">
        <f t="shared" si="18"/>
        <v>3144.1307915728853</v>
      </c>
      <c r="F33" s="953">
        <f t="shared" ca="1" si="18"/>
        <v>16248.082585573133</v>
      </c>
      <c r="G33" s="953">
        <f t="shared" si="18"/>
        <v>23400.817280046213</v>
      </c>
      <c r="H33" s="953">
        <f t="shared" si="18"/>
        <v>5399.6400267892332</v>
      </c>
      <c r="I33" s="953">
        <f t="shared" si="18"/>
        <v>0</v>
      </c>
      <c r="J33" s="953">
        <f t="shared" si="18"/>
        <v>190.6297696824918</v>
      </c>
      <c r="K33" s="953">
        <f t="shared" si="18"/>
        <v>0</v>
      </c>
      <c r="L33" s="953">
        <f t="shared" ca="1" si="18"/>
        <v>0</v>
      </c>
      <c r="M33" s="953">
        <f t="shared" si="18"/>
        <v>0</v>
      </c>
      <c r="N33" s="953">
        <f t="shared" ca="1" si="18"/>
        <v>0</v>
      </c>
      <c r="O33" s="953">
        <f t="shared" si="18"/>
        <v>0</v>
      </c>
      <c r="P33" s="953">
        <f t="shared" si="18"/>
        <v>0</v>
      </c>
      <c r="Q33" s="953">
        <f t="shared" ca="1" si="18"/>
        <v>78264.606450398031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10713.561586198739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9852.9</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11591.64705882353</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20566.46158619874</v>
      </c>
      <c r="C10" s="1026">
        <f>SUM(C4:C9)</f>
        <v>0</v>
      </c>
      <c r="D10" s="1026">
        <f t="shared" ref="D10:H10" si="0">SUM(D8:D9)</f>
        <v>0</v>
      </c>
      <c r="E10" s="1026">
        <f t="shared" si="0"/>
        <v>0</v>
      </c>
      <c r="F10" s="1026">
        <f t="shared" si="0"/>
        <v>0</v>
      </c>
      <c r="G10" s="1026">
        <f t="shared" si="0"/>
        <v>0</v>
      </c>
      <c r="H10" s="1026">
        <f t="shared" si="0"/>
        <v>0</v>
      </c>
      <c r="I10" s="1026">
        <f>SUM(I8:I9)</f>
        <v>0</v>
      </c>
      <c r="J10" s="1026">
        <f>SUM(J8:J9)</f>
        <v>11591.64705882353</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0.16293877536300552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14075.571428571429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16559.495798319331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14075.571428571429</v>
      </c>
      <c r="C20" s="1026">
        <f>SUM(C17:C19)</f>
        <v>0</v>
      </c>
      <c r="D20" s="1026">
        <f t="shared" ref="D20:H20" si="2">SUM(D17:D19)</f>
        <v>0</v>
      </c>
      <c r="E20" s="1026">
        <f t="shared" si="2"/>
        <v>0</v>
      </c>
      <c r="F20" s="1026">
        <f t="shared" si="2"/>
        <v>0</v>
      </c>
      <c r="G20" s="1026">
        <f t="shared" si="2"/>
        <v>0</v>
      </c>
      <c r="H20" s="1026">
        <f t="shared" si="2"/>
        <v>0</v>
      </c>
      <c r="I20" s="1026">
        <f>SUM(I17:I19)</f>
        <v>0</v>
      </c>
      <c r="J20" s="1026">
        <f>SUM(J17:J19)</f>
        <v>16559.495798319331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0.16293877536300552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2020-06-20T15:48:53Z</dcterms:modified>
</cp:coreProperties>
</file>