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I49" i="18"/>
  <c r="H17" i="18" s="1"/>
  <c r="E49" i="18"/>
  <c r="E17" i="18" s="1"/>
  <c r="G49" i="18"/>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I20" i="14"/>
  <c r="I22" i="14" s="1"/>
  <c r="I27" i="14"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J26" i="48" s="1"/>
  <c r="J33" i="48" s="1"/>
  <c r="J15" i="48"/>
  <c r="E8" i="48"/>
  <c r="E26" i="48" s="1"/>
  <c r="E33"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<sst xmlns="http://schemas.openxmlformats.org/spreadsheetml/2006/main" count="2398" uniqueCount="887">
  <si>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</si>
  <si>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</si>
  <si>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</si>
  <si>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</si>
  <si>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</si>
  <si>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</si>
  <si>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</si>
  <si>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</si>
  <si>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</si>
  <si>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</si>
  <si>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</si>
  <si>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</si>
  <si>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</si>
  <si>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</si>
  <si>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</si>
  <si>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</si>
  <si>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</si>
  <si>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</si>
  <si>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</si>
  <si>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</si>
  <si>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</si>
  <si>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</si>
  <si>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</si>
  <si>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</si>
  <si>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</si>
  <si>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</si>
  <si>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</si>
  <si>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</si>
  <si>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</si>
  <si>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</si>
  <si>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</si>
  <si>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</si>
  <si>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</si>
  <si>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</si>
  <si>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</si>
  <si>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</si>
  <si>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</si>
  <si>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</si>
  <si>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</si>
  <si>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</si>
  <si>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</si>
  <si>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</si>
  <si>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</si>
  <si>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</si>
  <si>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</si>
  <si>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</si>
  <si>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</si>
  <si>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</si>
  <si>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</si>
  <si>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</si>
  <si>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</si>
  <si>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</si>
  <si>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</si>
  <si>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</si>
  <si>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</si>
  <si>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</si>
  <si>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</si>
  <si>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</si>
  <si>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</si>
  <si>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</si>
  <si>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</si>
  <si>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</si>
  <si>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</si>
  <si>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</si>
  <si>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</si>
  <si>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</si>
  <si>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</si>
  <si>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</si>
  <si>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</si>
  <si>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</si>
  <si>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</si>
  <si>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</si>
  <si>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</si>
  <si>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</si>
  <si>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</si>
  <si>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</si>
  <si>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</si>
  <si>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</si>
  <si>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</si>
  <si>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</si>
  <si>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</si>
  <si>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</si>
  <si>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</si>
  <si>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</si>
  <si>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</si>
  <si>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</si>
  <si>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</si>
  <si>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</si>
  <si>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</si>
  <si>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</si>
  <si>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</si>
  <si>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</si>
  <si>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</si>
  <si>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</si>
  <si>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</si>
  <si>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</si>
  <si>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</si>
  <si>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</si>
  <si>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</si>
  <si>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</si>
  <si>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</si>
  <si>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</si>
  <si>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</si>
  <si>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</si>
  <si>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</si>
  <si>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</si>
  <si>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</si>
  <si>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</si>
  <si>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</si>
  <si>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</si>
  <si>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</si>
  <si>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</si>
  <si>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</si>
  <si>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</si>
  <si>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</si>
  <si>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</si>
  <si>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</si>
  <si>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</si>
  <si>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</si>
  <si>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</si>
  <si>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</si>
  <si>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</si>
  <si>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</si>
  <si>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</si>
  <si>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</si>
  <si>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</si>
  <si>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</si>
  <si>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</si>
  <si>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</si>
  <si>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</si>
  <si>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</si>
  <si>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</si>
  <si>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</si>
  <si>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</si>
  <si>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</si>
  <si>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</si>
  <si>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</si>
  <si>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</si>
  <si>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</si>
  <si>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</si>
  <si>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</si>
  <si>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</si>
  <si>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</si>
  <si>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</si>
  <si>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</si>
  <si>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</si>
  <si>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</si>
  <si>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</si>
  <si>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</si>
  <si>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</si>
  <si>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</si>
  <si>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</si>
  <si>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</si>
  <si>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</si>
  <si>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</si>
  <si>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</si>
  <si>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</si>
  <si>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</si>
  <si>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</si>
  <si>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</si>
  <si>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</si>
  <si>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</si>
  <si>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</si>
  <si>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</si>
  <si>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</si>
  <si>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</si>
  <si>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</si>
  <si>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</si>
  <si>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</si>
  <si>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</si>
  <si>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</si>
  <si>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</si>
  <si>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</si>
  <si>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</si>
  <si>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</si>
  <si>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</si>
  <si>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</si>
  <si>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</si>
  <si>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</si>
  <si>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</si>
  <si>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</si>
  <si>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</si>
  <si>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</si>
  <si>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</si>
  <si>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</si>
  <si>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</si>
  <si>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</si>
  <si>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</si>
  <si>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</si>
  <si>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</si>
  <si>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</si>
  <si>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</si>
  <si>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</si>
  <si>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</si>
  <si>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</si>
  <si>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</si>
  <si>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</si>
  <si>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</si>
  <si>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</si>
  <si>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</si>
  <si>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</si>
  <si>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</si>
  <si>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</si>
  <si>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</si>
  <si>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</si>
  <si>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</si>
  <si>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</si>
  <si>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</si>
  <si>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</si>
  <si>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</si>
  <si>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</si>
  <si>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</si>
  <si>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</si>
  <si>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</si>
  <si>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</si>
  <si>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</si>
  <si>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</si>
  <si>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</si>
  <si>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</si>
  <si>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</si>
  <si>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</si>
  <si>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</si>
  <si>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</si>
  <si>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</si>
  <si>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</si>
  <si>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</si>
  <si>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</si>
  <si>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</si>
  <si>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</si>
  <si>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</si>
  <si>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</si>
  <si>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</si>
  <si>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</si>
  <si>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</si>
  <si>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</si>
  <si>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</si>
  <si>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</si>
  <si>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</si>
  <si>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</si>
  <si>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</si>
  <si>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</si>
  <si>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</si>
  <si>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</si>
  <si>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</si>
  <si>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</si>
  <si>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</si>
  <si>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</si>
  <si>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</si>
  <si>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</si>
  <si>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</si>
  <si>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</si>
  <si>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</si>
  <si>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</si>
  <si>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</si>
  <si>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</si>
  <si>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</si>
  <si>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</si>
  <si>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</si>
  <si>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</si>
  <si>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</si>
  <si>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</si>
  <si>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</si>
  <si>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</si>
  <si>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</si>
  <si>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</si>
  <si>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</si>
  <si>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</si>
  <si>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</si>
  <si>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</si>
  <si>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</si>
  <si>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</si>
  <si>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</si>
  <si>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</si>
  <si>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</si>
  <si>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</si>
  <si>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</si>
  <si>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</si>
  <si>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</si>
  <si>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</si>
  <si>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</si>
  <si>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</si>
  <si>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</si>
  <si>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</si>
  <si>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</si>
  <si>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</si>
  <si>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</si>
  <si>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</si>
  <si>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</si>
  <si>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</si>
  <si>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</si>
  <si>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</si>
  <si>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</si>
  <si>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</si>
  <si>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</si>
  <si>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</si>
  <si>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</si>
  <si>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</si>
  <si>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</si>
  <si>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</si>
  <si>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</si>
  <si>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</si>
  <si>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</si>
  <si>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</si>
  <si>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</si>
  <si>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</si>
  <si>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</si>
  <si>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</si>
  <si>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</si>
  <si>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</si>
  <si>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</si>
  <si>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</si>
  <si>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</si>
  <si>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</si>
  <si>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</si>
  <si>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</si>
  <si>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</si>
  <si>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</si>
  <si>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</si>
  <si>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</si>
  <si>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</si>
  <si>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</si>
  <si>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</si>
  <si>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</si>
  <si>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</si>
  <si>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</si>
  <si>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</si>
  <si>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</si>
  <si>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</si>
  <si>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</si>
  <si>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</si>
  <si>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</si>
  <si>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</si>
  <si>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</si>
  <si>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</si>
  <si>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</si>
  <si>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</si>
  <si>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</si>
  <si>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</si>
  <si>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</si>
  <si>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</si>
  <si>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</si>
  <si>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</si>
  <si>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</si>
  <si>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</si>
  <si>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</si>
  <si>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</si>
  <si>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</si>
  <si>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</si>
  <si>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</si>
  <si>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</si>
  <si>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</si>
  <si>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</si>
  <si>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</si>
  <si>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</si>
  <si>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</si>
  <si>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</si>
  <si>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</si>
  <si>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</si>
  <si>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</si>
  <si>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</si>
  <si>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</si>
  <si>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</si>
  <si>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</si>
  <si>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</si>
  <si>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</si>
  <si>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</si>
  <si>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</si>
  <si>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</si>
  <si>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</si>
  <si>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</si>
  <si>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</si>
  <si>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</si>
  <si>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</si>
  <si>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</si>
  <si>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</si>
  <si>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</si>
  <si>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</si>
  <si>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</si>
  <si>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</si>
  <si>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</si>
  <si>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</si>
  <si>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</si>
  <si>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</si>
  <si>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</si>
  <si>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</si>
  <si>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</si>
  <si>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</si>
  <si>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</si>
  <si>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</si>
  <si>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</si>
  <si>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</si>
  <si>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</si>
  <si>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</si>
  <si>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</si>
  <si>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</si>
  <si>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</si>
  <si>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</si>
  <si>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</si>
  <si>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</si>
  <si>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</si>
  <si>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</si>
  <si>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</si>
  <si>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</si>
  <si>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</si>
  <si>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</si>
  <si>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</si>
  <si>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</si>
  <si>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</si>
  <si>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</si>
  <si>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</si>
  <si>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</si>
  <si>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</si>
  <si>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</si>
  <si>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</si>
  <si>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</si>
  <si>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</si>
  <si>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</si>
  <si>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</si>
  <si>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</si>
  <si>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</si>
  <si>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</si>
  <si>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</si>
  <si>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</si>
  <si>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</si>
  <si>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</si>
  <si>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</si>
  <si>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</si>
  <si>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</si>
  <si>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</si>
  <si>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</si>
  <si>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</si>
  <si>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</si>
  <si>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</si>
  <si>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</si>
  <si>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</si>
  <si>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</si>
  <si>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</si>
  <si>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</si>
  <si>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</si>
  <si>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</si>
  <si>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</si>
  <si>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</si>
  <si>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</si>
  <si>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</si>
  <si>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</si>
  <si>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</si>
  <si>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</si>
  <si>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</si>
  <si>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</si>
  <si>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</si>
  <si>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</si>
  <si>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</si>
  <si>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</si>
  <si>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</si>
  <si>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</si>
  <si>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</si>
  <si>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</si>
  <si>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</si>
  <si>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</si>
  <si>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</si>
  <si>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</si>
  <si>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</si>
  <si>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</si>
  <si>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</si>
  <si>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</si>
  <si>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</si>
  <si>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</si>
  <si>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</si>
  <si>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</si>
  <si>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</si>
  <si>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</si>
  <si>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</si>
  <si>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</si>
  <si>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</si>
  <si>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</si>
  <si>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</si>
  <si>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</si>
  <si>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</si>
  <si>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</si>
  <si>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</si>
  <si>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</si>
  <si>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</si>
  <si>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</si>
  <si>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</si>
  <si>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</si>
  <si>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</si>
  <si>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</si>
  <si>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</si>
  <si>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</si>
  <si>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</si>
  <si>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</si>
  <si>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</si>
  <si>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</si>
  <si>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</si>
  <si>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</si>
  <si>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</si>
  <si>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</si>
  <si>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</si>
  <si>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</si>
  <si>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</si>
  <si>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</si>
  <si>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</si>
  <si>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</si>
  <si>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</si>
  <si>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</si>
  <si>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</si>
  <si>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</si>
  <si>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</si>
  <si>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</si>
  <si>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</si>
  <si>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</si>
  <si>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</si>
  <si>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</si>
  <si>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</si>
  <si>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</si>
  <si>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</si>
  <si>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</si>
  <si>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</si>
  <si>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</si>
  <si>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</si>
  <si>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</si>
  <si>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</si>
  <si>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</si>
  <si>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</si>
  <si>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</si>
  <si>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</si>
  <si>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</si>
  <si>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</si>
  <si>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</si>
  <si>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</si>
  <si>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</si>
  <si>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</si>
  <si>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</si>
  <si>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</si>
  <si>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</si>
  <si>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</si>
  <si>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</si>
  <si>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</si>
  <si>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</si>
  <si>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</si>
  <si>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</si>
  <si>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</si>
  <si>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</si>
  <si>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</si>
  <si>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</si>
  <si>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</si>
  <si>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</si>
  <si>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</si>
  <si>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</si>
  <si>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</si>
  <si>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</si>
  <si>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</si>
  <si>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</si>
  <si>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</si>
  <si>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</si>
  <si>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</si>
  <si>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</si>
  <si>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</si>
  <si>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</si>
  <si>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</si>
  <si>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</si>
  <si>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</si>
  <si>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</si>
  <si>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</si>
  <si>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</si>
  <si>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</si>
  <si>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</si>
  <si>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</si>
  <si>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</si>
  <si>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</si>
  <si>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</si>
  <si>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</si>
  <si>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</si>
  <si>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</si>
  <si>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</si>
  <si>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</si>
  <si>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</si>
  <si>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</si>
  <si>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</si>
  <si>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</si>
  <si>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</si>
  <si>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</si>
  <si>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</si>
  <si>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</si>
  <si>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</si>
  <si>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</si>
  <si>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</si>
  <si>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</si>
  <si>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</si>
  <si>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</si>
  <si>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</si>
  <si>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</si>
  <si>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</si>
  <si>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</si>
  <si>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</si>
  <si>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</si>
  <si>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</si>
  <si>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</si>
  <si>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</si>
  <si>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</si>
  <si>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</si>
  <si>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</si>
  <si>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</si>
  <si>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</si>
  <si>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</si>
  <si>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</si>
  <si>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</si>
  <si>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</si>
  <si>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</si>
  <si>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</si>
  <si>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</si>
  <si>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</si>
  <si>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</si>
  <si>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</si>
  <si>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</si>
  <si>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</si>
  <si>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</si>
  <si>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</si>
  <si>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</si>
  <si>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</si>
  <si>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</si>
  <si>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</si>
  <si>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</si>
  <si>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</si>
  <si>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</si>
  <si>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</si>
  <si>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</si>
  <si>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</si>
  <si>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</si>
  <si>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</si>
  <si>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</si>
  <si>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</si>
  <si>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</si>
  <si>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</si>
  <si>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</si>
  <si>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</si>
  <si>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</si>
  <si>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</si>
  <si>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</si>
  <si>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</si>
  <si>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</si>
  <si>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</si>
  <si>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</si>
  <si>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</si>
  <si>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</si>
  <si>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</si>
  <si>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</si>
  <si>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</si>
  <si>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</si>
  <si>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</si>
  <si>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</si>
  <si>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</si>
  <si>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</si>
  <si>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</si>
  <si>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</si>
  <si>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</si>
  <si>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</si>
  <si>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</si>
  <si>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</si>
  <si>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</si>
  <si>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</si>
  <si>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</si>
  <si>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</si>
  <si>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</si>
  <si>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</si>
  <si>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</si>
  <si>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</si>
  <si>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</si>
  <si>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</si>
  <si>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</si>
  <si>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</si>
  <si>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</si>
  <si>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</si>
  <si>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</si>
  <si>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</si>
  <si>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</si>
  <si>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</si>
  <si>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</si>
  <si>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</si>
  <si>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</si>
  <si>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</si>
  <si>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</si>
  <si>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</si>
  <si>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</si>
  <si>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</si>
  <si>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</si>
  <si>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</si>
  <si>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</si>
  <si>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</si>
  <si>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</si>
  <si>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</si>
  <si>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</si>
  <si>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</si>
  <si>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</si>
  <si>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</si>
  <si>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</si>
  <si>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</si>
  <si>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</si>
  <si>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</si>
  <si>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</si>
  <si>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</si>
  <si>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</si>
  <si>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</si>
  <si>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</si>
  <si>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</si>
  <si>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</si>
  <si>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</si>
  <si>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</si>
  <si>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</si>
  <si>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</si>
  <si>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</si>
  <si>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</si>
  <si>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</si>
  <si>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</si>
  <si>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</si>
  <si>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</si>
  <si>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</si>
  <si>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</si>
  <si>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</si>
  <si>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</si>
  <si>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</si>
  <si>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</si>
  <si>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</si>
  <si>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</si>
  <si>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</si>
  <si>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</si>
  <si>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</si>
  <si>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</si>
  <si>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</si>
  <si>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</si>
  <si>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</si>
  <si>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</si>
  <si>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</si>
  <si>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</si>
  <si>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</si>
  <si>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</si>
  <si>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</si>
  <si>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</si>
  <si>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</si>
  <si>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</si>
  <si>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</si>
  <si>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</si>
  <si>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</si>
  <si>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</si>
  <si>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</si>
  <si>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</si>
  <si>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</si>
  <si>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</si>
  <si>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</si>
  <si>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</si>
  <si>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</si>
  <si>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</si>
  <si>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</si>
  <si>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</si>
  <si>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</si>
  <si>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</si>
  <si>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</si>
  <si>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</si>
  <si>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</si>
  <si>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</si>
  <si>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</si>
  <si>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</si>
  <si>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</si>
  <si>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</si>
  <si>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</si>
  <si>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</si>
  <si>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</si>
  <si>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</si>
  <si>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</si>
  <si>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</si>
  <si>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</si>
  <si>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</si>
  <si>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</si>
  <si>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</si>
  <si>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</si>
  <si>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</si>
  <si>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</si>
  <si>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</si>
  <si>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</si>
  <si>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</si>
  <si>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</si>
  <si>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</si>
  <si>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</si>
  <si>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</si>
  <si>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</si>
  <si>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</si>
  <si>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</si>
  <si>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</si>
  <si>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</si>
  <si>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</si>
  <si>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</si>
  <si>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</si>
  <si>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</si>
  <si>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</si>
  <si>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</si>
  <si>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</si>
  <si>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</si>
  <si>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</si>
  <si>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</si>
  <si>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</si>
  <si>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</si>
  <si>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</si>
  <si>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</si>
  <si>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</si>
  <si>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</si>
  <si>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</si>
  <si>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</si>
  <si>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</si>
  <si>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</si>
  <si>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</si>
  <si>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</si>
  <si>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</si>
  <si>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</si>
  <si>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</si>
  <si>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</si>
  <si>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</si>
  <si>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</si>
  <si>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</si>
  <si>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</si>
  <si>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</si>
  <si>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</si>
  <si>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</si>
  <si>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</si>
  <si>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</si>
  <si>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</si>
  <si>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</si>
  <si>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</si>
  <si>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</si>
  <si>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</si>
  <si>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</si>
  <si>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</si>
  <si>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</si>
  <si>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</si>
  <si>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</si>
  <si>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</si>
  <si>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</si>
  <si>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</si>
  <si>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</si>
  <si>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</si>
  <si>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</si>
  <si>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</si>
  <si>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</si>
  <si>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</si>
  <si>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</si>
  <si>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</si>
  <si>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</si>
  <si>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</si>
  <si>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</si>
  <si>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</si>
  <si>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</si>
  <si>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</si>
  <si>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</si>
  <si>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</si>
  <si>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</si>
  <si>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</si>
  <si>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</si>
  <si>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</si>
  <si>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</si>
  <si>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</si>
  <si>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</si>
  <si>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</si>
  <si>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</si>
  <si>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</si>
  <si>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</si>
  <si>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</si>
  <si>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</si>
  <si>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</si>
  <si>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</si>
  <si>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</si>
  <si>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</si>
  <si>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</si>
  <si>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</si>
  <si>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</si>
  <si>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</si>
  <si>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</si>
  <si>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</si>
  <si>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</si>
  <si>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</si>
  <si>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</si>
  <si>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</si>
  <si>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</si>
  <si>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</si>
  <si>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</si>
  <si>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71070</t>
  </si>
  <si>
    <t>HEUSDEN-ZOLDER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</si>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</sst>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252937.70464158198</c:v>
                </c:pt>
                <c:pt idx="1">
                  <c:v>109863.4996161586</c:v>
                </c:pt>
                <c:pt idx="2">
                  <c:v>1931.579</c:v>
                </c:pt>
                <c:pt idx="3">
                  <c:v>1180.5416817390796</c:v>
                </c:pt>
                <c:pt idx="4">
                  <c:v>111847.245759978</c:v>
                </c:pt>
                <c:pt idx="5">
                  <c:v>311612.61331548821</c:v>
                </c:pt>
                <c:pt idx="6">
                  <c:v>3291.8578243362631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252937.70464158198</c:v>
                </c:pt>
                <c:pt idx="1">
                  <c:v>109863.4996161586</c:v>
                </c:pt>
                <c:pt idx="2">
                  <c:v>1931.579</c:v>
                </c:pt>
                <c:pt idx="3">
                  <c:v>1180.5416817390796</c:v>
                </c:pt>
                <c:pt idx="4">
                  <c:v>111847.245759978</c:v>
                </c:pt>
                <c:pt idx="5">
                  <c:v>311612.61331548821</c:v>
                </c:pt>
                <c:pt idx="6">
                  <c:v>3291.8578243362631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48125.777026612617</c:v>
                </c:pt>
                <c:pt idx="2">
                  <c:v>19686.083391942484</c:v>
                </c:pt>
                <c:pt idx="3">
                  <c:v>317.04169797341075</c:v>
                </c:pt>
                <c:pt idx="4">
                  <c:v>290.12626808822597</c:v>
                </c:pt>
                <c:pt idx="5">
                  <c:v>21354.332703839103</c:v>
                </c:pt>
                <c:pt idx="6">
                  <c:v>78029.838161423482</c:v>
                </c:pt>
                <c:pt idx="7">
                  <c:v>831.69311021495673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48125.777026612617</c:v>
                </c:pt>
                <c:pt idx="2">
                  <c:v>19686.083391942484</c:v>
                </c:pt>
                <c:pt idx="3">
                  <c:v>317.04169797341075</c:v>
                </c:pt>
                <c:pt idx="4">
                  <c:v>290.12626808822597</c:v>
                </c:pt>
                <c:pt idx="5">
                  <c:v>21354.332703839103</c:v>
                </c:pt>
                <c:pt idx="6">
                  <c:v>78029.838161423482</c:v>
                </c:pt>
                <c:pt idx="7">
                  <c:v>831.69311021495673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71070</v>
      </c>
      <c r="B6" s="390"/>
      <c r="C6" s="391"/>
    </row>
    <row r="7" spans="1:7" s="388" customFormat="1" ht="15.75" customHeight="1">
      <c r="A7" s="392" t="str">
        <f>txtMunicipality</f>
        <v>HEUSDEN-ZOLDER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0.16413602445119291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0.16413602445119291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12727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858.7</v>
      </c>
      <c r="C14" s="330"/>
      <c r="D14" s="330"/>
      <c r="E14" s="330"/>
      <c r="F14" s="330"/>
    </row>
    <row r="15" spans="1:6">
      <c r="A15" s="1293" t="s">
        <v>183</v>
      </c>
      <c r="B15" s="1294">
        <v>1</v>
      </c>
      <c r="C15" s="330"/>
      <c r="D15" s="330"/>
      <c r="E15" s="330"/>
      <c r="F15" s="330"/>
    </row>
    <row r="16" spans="1:6">
      <c r="A16" s="1293" t="s">
        <v>6</v>
      </c>
      <c r="B16" s="1294">
        <v>42</v>
      </c>
      <c r="C16" s="330"/>
      <c r="D16" s="330"/>
      <c r="E16" s="330"/>
      <c r="F16" s="330"/>
    </row>
    <row r="17" spans="1:6">
      <c r="A17" s="1293" t="s">
        <v>7</v>
      </c>
      <c r="B17" s="1294">
        <v>64</v>
      </c>
      <c r="C17" s="330"/>
      <c r="D17" s="330"/>
      <c r="E17" s="330"/>
      <c r="F17" s="330"/>
    </row>
    <row r="18" spans="1:6">
      <c r="A18" s="1293" t="s">
        <v>8</v>
      </c>
      <c r="B18" s="1294">
        <v>73</v>
      </c>
      <c r="C18" s="330"/>
      <c r="D18" s="330"/>
      <c r="E18" s="330"/>
      <c r="F18" s="330"/>
    </row>
    <row r="19" spans="1:6">
      <c r="A19" s="1293" t="s">
        <v>9</v>
      </c>
      <c r="B19" s="1294">
        <v>91</v>
      </c>
      <c r="C19" s="330"/>
      <c r="D19" s="330"/>
      <c r="E19" s="330"/>
      <c r="F19" s="330"/>
    </row>
    <row r="20" spans="1:6">
      <c r="A20" s="1293" t="s">
        <v>10</v>
      </c>
      <c r="B20" s="1294">
        <v>140</v>
      </c>
      <c r="C20" s="330"/>
      <c r="D20" s="330"/>
      <c r="E20" s="330"/>
      <c r="F20" s="330"/>
    </row>
    <row r="21" spans="1:6">
      <c r="A21" s="1293" t="s">
        <v>11</v>
      </c>
      <c r="B21" s="1294">
        <v>0</v>
      </c>
      <c r="C21" s="330"/>
      <c r="D21" s="330"/>
      <c r="E21" s="330"/>
      <c r="F21" s="330"/>
    </row>
    <row r="22" spans="1:6">
      <c r="A22" s="1293" t="s">
        <v>12</v>
      </c>
      <c r="B22" s="1294">
        <v>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25</v>
      </c>
      <c r="C26" s="330"/>
      <c r="D26" s="330"/>
      <c r="E26" s="330"/>
      <c r="F26" s="330"/>
    </row>
    <row r="27" spans="1:6">
      <c r="A27" s="1293" t="s">
        <v>17</v>
      </c>
      <c r="B27" s="1294">
        <v>3</v>
      </c>
      <c r="C27" s="330"/>
      <c r="D27" s="330"/>
      <c r="E27" s="330"/>
      <c r="F27" s="330"/>
    </row>
    <row r="28" spans="1:6" s="43" customFormat="1">
      <c r="A28" s="1295" t="s">
        <v>18</v>
      </c>
      <c r="B28" s="1296">
        <v>7594</v>
      </c>
      <c r="C28" s="336"/>
      <c r="D28" s="336"/>
      <c r="E28" s="336"/>
      <c r="F28" s="336"/>
    </row>
    <row r="29" spans="1:6">
      <c r="A29" s="1295" t="s">
        <v>734</v>
      </c>
      <c r="B29" s="1296">
        <v>179</v>
      </c>
      <c r="C29" s="336"/>
      <c r="D29" s="336"/>
      <c r="E29" s="336"/>
      <c r="F29" s="336"/>
    </row>
    <row r="30" spans="1:6">
      <c r="A30" s="1288" t="s">
        <v>735</v>
      </c>
      <c r="B30" s="1297">
        <v>48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34887</v>
      </c>
    </row>
    <row r="37" spans="1:6">
      <c r="A37" s="1293" t="s">
        <v>24</v>
      </c>
      <c r="B37" s="1293" t="s">
        <v>27</v>
      </c>
      <c r="C37" s="1294">
        <v>0</v>
      </c>
      <c r="D37" s="1294">
        <v>0</v>
      </c>
      <c r="E37" s="1294">
        <v>0</v>
      </c>
      <c r="F37" s="1294">
        <v>0</v>
      </c>
    </row>
    <row r="38" spans="1:6">
      <c r="A38" s="1293" t="s">
        <v>24</v>
      </c>
      <c r="B38" s="1293" t="s">
        <v>28</v>
      </c>
      <c r="C38" s="1294">
        <v>2</v>
      </c>
      <c r="D38" s="1294">
        <v>348002</v>
      </c>
      <c r="E38" s="1294">
        <v>1</v>
      </c>
      <c r="F38" s="1294">
        <v>503</v>
      </c>
    </row>
    <row r="39" spans="1:6">
      <c r="A39" s="1293" t="s">
        <v>29</v>
      </c>
      <c r="B39" s="1293" t="s">
        <v>30</v>
      </c>
      <c r="C39" s="1294">
        <v>6937</v>
      </c>
      <c r="D39" s="1294">
        <v>101297732.05</v>
      </c>
      <c r="E39" s="1294">
        <v>12670</v>
      </c>
      <c r="F39" s="1294">
        <v>40677341.200000003</v>
      </c>
    </row>
    <row r="40" spans="1:6">
      <c r="A40" s="1293" t="s">
        <v>29</v>
      </c>
      <c r="B40" s="1293" t="s">
        <v>28</v>
      </c>
      <c r="C40" s="1294">
        <v>0</v>
      </c>
      <c r="D40" s="1294">
        <v>0</v>
      </c>
      <c r="E40" s="1294">
        <v>0</v>
      </c>
      <c r="F40" s="1294">
        <v>0</v>
      </c>
    </row>
    <row r="41" spans="1:6">
      <c r="A41" s="1293" t="s">
        <v>31</v>
      </c>
      <c r="B41" s="1293" t="s">
        <v>32</v>
      </c>
      <c r="C41" s="1294">
        <v>115</v>
      </c>
      <c r="D41" s="1294">
        <v>27585062.179000001</v>
      </c>
      <c r="E41" s="1294">
        <v>253</v>
      </c>
      <c r="F41" s="1294">
        <v>5562031.0350000001</v>
      </c>
    </row>
    <row r="42" spans="1:6">
      <c r="A42" s="1293" t="s">
        <v>31</v>
      </c>
      <c r="B42" s="1293" t="s">
        <v>33</v>
      </c>
      <c r="C42" s="1294">
        <v>4</v>
      </c>
      <c r="D42" s="1294">
        <v>2010339.7930000001</v>
      </c>
      <c r="E42" s="1294">
        <v>5</v>
      </c>
      <c r="F42" s="1294">
        <v>5735277</v>
      </c>
    </row>
    <row r="43" spans="1:6">
      <c r="A43" s="1293" t="s">
        <v>31</v>
      </c>
      <c r="B43" s="1293" t="s">
        <v>34</v>
      </c>
      <c r="C43" s="1294">
        <v>0</v>
      </c>
      <c r="D43" s="1294">
        <v>0</v>
      </c>
      <c r="E43" s="1294">
        <v>0</v>
      </c>
      <c r="F43" s="1294">
        <v>0</v>
      </c>
    </row>
    <row r="44" spans="1:6">
      <c r="A44" s="1293" t="s">
        <v>31</v>
      </c>
      <c r="B44" s="1293" t="s">
        <v>35</v>
      </c>
      <c r="C44" s="1294">
        <v>14</v>
      </c>
      <c r="D44" s="1294">
        <v>10533759</v>
      </c>
      <c r="E44" s="1294">
        <v>40</v>
      </c>
      <c r="F44" s="1294">
        <v>3091056.2859999998</v>
      </c>
    </row>
    <row r="45" spans="1:6">
      <c r="A45" s="1293" t="s">
        <v>31</v>
      </c>
      <c r="B45" s="1293" t="s">
        <v>36</v>
      </c>
      <c r="C45" s="1294">
        <v>0</v>
      </c>
      <c r="D45" s="1294">
        <v>0</v>
      </c>
      <c r="E45" s="1294">
        <v>6</v>
      </c>
      <c r="F45" s="1294">
        <v>2729760.0350000001</v>
      </c>
    </row>
    <row r="46" spans="1:6">
      <c r="A46" s="1293" t="s">
        <v>31</v>
      </c>
      <c r="B46" s="1293" t="s">
        <v>37</v>
      </c>
      <c r="C46" s="1294">
        <v>0</v>
      </c>
      <c r="D46" s="1294">
        <v>0</v>
      </c>
      <c r="E46" s="1294">
        <v>0</v>
      </c>
      <c r="F46" s="1294">
        <v>0</v>
      </c>
    </row>
    <row r="47" spans="1:6">
      <c r="A47" s="1293" t="s">
        <v>31</v>
      </c>
      <c r="B47" s="1293" t="s">
        <v>38</v>
      </c>
      <c r="C47" s="1294">
        <v>4</v>
      </c>
      <c r="D47" s="1294">
        <v>75333</v>
      </c>
      <c r="E47" s="1294">
        <v>6</v>
      </c>
      <c r="F47" s="1294">
        <v>22907</v>
      </c>
    </row>
    <row r="48" spans="1:6">
      <c r="A48" s="1293" t="s">
        <v>31</v>
      </c>
      <c r="B48" s="1293" t="s">
        <v>28</v>
      </c>
      <c r="C48" s="1294">
        <v>5</v>
      </c>
      <c r="D48" s="1294">
        <v>21268446</v>
      </c>
      <c r="E48" s="1294">
        <v>4</v>
      </c>
      <c r="F48" s="1294">
        <v>14777623</v>
      </c>
    </row>
    <row r="49" spans="1:6">
      <c r="A49" s="1293" t="s">
        <v>31</v>
      </c>
      <c r="B49" s="1293" t="s">
        <v>39</v>
      </c>
      <c r="C49" s="1294">
        <v>0</v>
      </c>
      <c r="D49" s="1294">
        <v>0</v>
      </c>
      <c r="E49" s="1294">
        <v>0</v>
      </c>
      <c r="F49" s="1294">
        <v>0</v>
      </c>
    </row>
    <row r="50" spans="1:6">
      <c r="A50" s="1293" t="s">
        <v>31</v>
      </c>
      <c r="B50" s="1293" t="s">
        <v>40</v>
      </c>
      <c r="C50" s="1294">
        <v>10</v>
      </c>
      <c r="D50" s="1294">
        <v>6487978.1430000002</v>
      </c>
      <c r="E50" s="1294">
        <v>14</v>
      </c>
      <c r="F50" s="1294">
        <v>4465768.7139999997</v>
      </c>
    </row>
    <row r="51" spans="1:6">
      <c r="A51" s="1293" t="s">
        <v>41</v>
      </c>
      <c r="B51" s="1293" t="s">
        <v>42</v>
      </c>
      <c r="C51" s="1294">
        <v>4</v>
      </c>
      <c r="D51" s="1294">
        <v>112655</v>
      </c>
      <c r="E51" s="1294">
        <v>13</v>
      </c>
      <c r="F51" s="1294">
        <v>202038</v>
      </c>
    </row>
    <row r="52" spans="1:6">
      <c r="A52" s="1293" t="s">
        <v>41</v>
      </c>
      <c r="B52" s="1293" t="s">
        <v>28</v>
      </c>
      <c r="C52" s="1294">
        <v>0</v>
      </c>
      <c r="D52" s="1294">
        <v>0</v>
      </c>
      <c r="E52" s="1294">
        <v>0</v>
      </c>
      <c r="F52" s="1294">
        <v>0</v>
      </c>
    </row>
    <row r="53" spans="1:6">
      <c r="A53" s="1293" t="s">
        <v>43</v>
      </c>
      <c r="B53" s="1293" t="s">
        <v>44</v>
      </c>
      <c r="C53" s="1294">
        <v>111</v>
      </c>
      <c r="D53" s="1294">
        <v>3003726.4</v>
      </c>
      <c r="E53" s="1294">
        <v>272</v>
      </c>
      <c r="F53" s="1294">
        <v>5449450.9639999997</v>
      </c>
    </row>
    <row r="54" spans="1:6">
      <c r="A54" s="1293" t="s">
        <v>45</v>
      </c>
      <c r="B54" s="1293" t="s">
        <v>46</v>
      </c>
      <c r="C54" s="1294">
        <v>0</v>
      </c>
      <c r="D54" s="1294">
        <v>0</v>
      </c>
      <c r="E54" s="1294">
        <v>3</v>
      </c>
      <c r="F54" s="1294">
        <v>1931579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108</v>
      </c>
      <c r="D57" s="1294">
        <v>13245667.271</v>
      </c>
      <c r="E57" s="1294">
        <v>256</v>
      </c>
      <c r="F57" s="1294">
        <v>7766132.1670000004</v>
      </c>
    </row>
    <row r="58" spans="1:6">
      <c r="A58" s="1293" t="s">
        <v>48</v>
      </c>
      <c r="B58" s="1293" t="s">
        <v>50</v>
      </c>
      <c r="C58" s="1294">
        <v>72</v>
      </c>
      <c r="D58" s="1294">
        <v>12276680.429</v>
      </c>
      <c r="E58" s="1294">
        <v>105</v>
      </c>
      <c r="F58" s="1294">
        <v>8617667.4289999995</v>
      </c>
    </row>
    <row r="59" spans="1:6">
      <c r="A59" s="1293" t="s">
        <v>48</v>
      </c>
      <c r="B59" s="1293" t="s">
        <v>51</v>
      </c>
      <c r="C59" s="1294">
        <v>205</v>
      </c>
      <c r="D59" s="1294">
        <v>13825088.971999999</v>
      </c>
      <c r="E59" s="1294">
        <v>388</v>
      </c>
      <c r="F59" s="1294">
        <v>15226971.173</v>
      </c>
    </row>
    <row r="60" spans="1:6">
      <c r="A60" s="1293" t="s">
        <v>48</v>
      </c>
      <c r="B60" s="1293" t="s">
        <v>52</v>
      </c>
      <c r="C60" s="1294">
        <v>118</v>
      </c>
      <c r="D60" s="1294">
        <v>6144208.4289999995</v>
      </c>
      <c r="E60" s="1294">
        <v>154</v>
      </c>
      <c r="F60" s="1294">
        <v>4557667.7359999996</v>
      </c>
    </row>
    <row r="61" spans="1:6">
      <c r="A61" s="1293" t="s">
        <v>48</v>
      </c>
      <c r="B61" s="1293" t="s">
        <v>53</v>
      </c>
      <c r="C61" s="1294">
        <v>202</v>
      </c>
      <c r="D61" s="1294">
        <v>9323673.5580000002</v>
      </c>
      <c r="E61" s="1294">
        <v>435</v>
      </c>
      <c r="F61" s="1294">
        <v>6170377.4709999999</v>
      </c>
    </row>
    <row r="62" spans="1:6">
      <c r="A62" s="1293" t="s">
        <v>48</v>
      </c>
      <c r="B62" s="1293" t="s">
        <v>54</v>
      </c>
      <c r="C62" s="1294">
        <v>19</v>
      </c>
      <c r="D62" s="1294">
        <v>2323153.571</v>
      </c>
      <c r="E62" s="1294">
        <v>31</v>
      </c>
      <c r="F62" s="1294">
        <v>533419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22549.571</v>
      </c>
    </row>
    <row r="66" spans="1:6">
      <c r="A66" s="1293" t="s">
        <v>55</v>
      </c>
      <c r="B66" s="1293" t="s">
        <v>57</v>
      </c>
      <c r="C66" s="1294">
        <v>0</v>
      </c>
      <c r="D66" s="1294">
        <v>0</v>
      </c>
      <c r="E66" s="1294">
        <v>11</v>
      </c>
      <c r="F66" s="1294">
        <v>481256.71399999998</v>
      </c>
    </row>
    <row r="67" spans="1:6">
      <c r="A67" s="1295" t="s">
        <v>55</v>
      </c>
      <c r="B67" s="1295" t="s">
        <v>58</v>
      </c>
      <c r="C67" s="1294">
        <v>0</v>
      </c>
      <c r="D67" s="1294">
        <v>0</v>
      </c>
      <c r="E67" s="1294">
        <v>0</v>
      </c>
      <c r="F67" s="1294">
        <v>0</v>
      </c>
    </row>
    <row r="68" spans="1:6">
      <c r="A68" s="1288" t="s">
        <v>55</v>
      </c>
      <c r="B68" s="1288" t="s">
        <v>59</v>
      </c>
      <c r="C68" s="1297">
        <v>5</v>
      </c>
      <c r="D68" s="1297">
        <v>138721</v>
      </c>
      <c r="E68" s="1297">
        <v>16</v>
      </c>
      <c r="F68" s="1297">
        <v>227549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84810538</v>
      </c>
      <c r="E73" s="449"/>
      <c r="F73" s="330"/>
    </row>
    <row r="74" spans="1:6">
      <c r="A74" s="1293" t="s">
        <v>63</v>
      </c>
      <c r="B74" s="1293" t="s">
        <v>656</v>
      </c>
      <c r="C74" s="1307" t="s">
        <v>658</v>
      </c>
      <c r="D74" s="1308">
        <v>2934135</v>
      </c>
      <c r="E74" s="449"/>
      <c r="F74" s="330"/>
    </row>
    <row r="75" spans="1:6">
      <c r="A75" s="1293" t="s">
        <v>64</v>
      </c>
      <c r="B75" s="1293" t="s">
        <v>655</v>
      </c>
      <c r="C75" s="1307" t="s">
        <v>659</v>
      </c>
      <c r="D75" s="1308">
        <v>57149724</v>
      </c>
      <c r="E75" s="449"/>
      <c r="F75" s="330"/>
    </row>
    <row r="76" spans="1:6">
      <c r="A76" s="1293" t="s">
        <v>64</v>
      </c>
      <c r="B76" s="1293" t="s">
        <v>656</v>
      </c>
      <c r="C76" s="1307" t="s">
        <v>660</v>
      </c>
      <c r="D76" s="1308">
        <v>738222</v>
      </c>
      <c r="E76" s="449"/>
      <c r="F76" s="330"/>
    </row>
    <row r="77" spans="1:6">
      <c r="A77" s="1293" t="s">
        <v>65</v>
      </c>
      <c r="B77" s="1293" t="s">
        <v>655</v>
      </c>
      <c r="C77" s="1307" t="s">
        <v>661</v>
      </c>
      <c r="D77" s="1308">
        <v>172047280</v>
      </c>
      <c r="E77" s="449"/>
      <c r="F77" s="330"/>
    </row>
    <row r="78" spans="1:6">
      <c r="A78" s="1288" t="s">
        <v>65</v>
      </c>
      <c r="B78" s="1288" t="s">
        <v>656</v>
      </c>
      <c r="C78" s="1288" t="s">
        <v>662</v>
      </c>
      <c r="D78" s="1309">
        <v>30563195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897794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10593.055970315989</v>
      </c>
      <c r="C90" s="330"/>
      <c r="D90" s="330"/>
      <c r="E90" s="330"/>
      <c r="F90" s="330"/>
    </row>
    <row r="91" spans="1:6">
      <c r="A91" s="1293" t="s">
        <v>67</v>
      </c>
      <c r="B91" s="1294">
        <v>9923.0199538542438</v>
      </c>
      <c r="C91" s="330"/>
      <c r="D91" s="330"/>
      <c r="E91" s="330"/>
      <c r="F91" s="330"/>
    </row>
    <row r="92" spans="1:6">
      <c r="A92" s="1288" t="s">
        <v>68</v>
      </c>
      <c r="B92" s="1289">
        <v>14874.699401955004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1923</v>
      </c>
      <c r="C97" s="330"/>
      <c r="D97" s="330"/>
      <c r="E97" s="330"/>
      <c r="F97" s="330"/>
    </row>
    <row r="98" spans="1:6">
      <c r="A98" s="1293" t="s">
        <v>71</v>
      </c>
      <c r="B98" s="1294">
        <v>7</v>
      </c>
      <c r="C98" s="330"/>
      <c r="D98" s="330"/>
      <c r="E98" s="330"/>
      <c r="F98" s="330"/>
    </row>
    <row r="99" spans="1:6">
      <c r="A99" s="1293" t="s">
        <v>72</v>
      </c>
      <c r="B99" s="1294">
        <v>53</v>
      </c>
      <c r="C99" s="330"/>
      <c r="D99" s="330"/>
      <c r="E99" s="330"/>
      <c r="F99" s="330"/>
    </row>
    <row r="100" spans="1:6">
      <c r="A100" s="1293" t="s">
        <v>73</v>
      </c>
      <c r="B100" s="1294">
        <v>335</v>
      </c>
      <c r="C100" s="330"/>
      <c r="D100" s="330"/>
      <c r="E100" s="330"/>
      <c r="F100" s="330"/>
    </row>
    <row r="101" spans="1:6">
      <c r="A101" s="1293" t="s">
        <v>74</v>
      </c>
      <c r="B101" s="1294">
        <v>65</v>
      </c>
      <c r="C101" s="330"/>
      <c r="D101" s="330"/>
      <c r="E101" s="330"/>
      <c r="F101" s="330"/>
    </row>
    <row r="102" spans="1:6">
      <c r="A102" s="1293" t="s">
        <v>75</v>
      </c>
      <c r="B102" s="1294">
        <v>118</v>
      </c>
      <c r="C102" s="330"/>
      <c r="D102" s="330"/>
      <c r="E102" s="330"/>
      <c r="F102" s="330"/>
    </row>
    <row r="103" spans="1:6">
      <c r="A103" s="1293" t="s">
        <v>76</v>
      </c>
      <c r="B103" s="1294">
        <v>185</v>
      </c>
      <c r="C103" s="330"/>
      <c r="D103" s="330"/>
      <c r="E103" s="330"/>
      <c r="F103" s="330"/>
    </row>
    <row r="104" spans="1:6">
      <c r="A104" s="1293" t="s">
        <v>77</v>
      </c>
      <c r="B104" s="1294">
        <v>7729</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2</v>
      </c>
      <c r="C122" s="1294">
        <v>0</v>
      </c>
      <c r="D122" s="330"/>
      <c r="E122" s="330"/>
      <c r="F122" s="330"/>
    </row>
    <row r="123" spans="1:6">
      <c r="A123" s="1293" t="s">
        <v>87</v>
      </c>
      <c r="B123" s="1294">
        <v>48</v>
      </c>
      <c r="C123" s="1294">
        <v>101</v>
      </c>
      <c r="D123" s="330"/>
      <c r="E123" s="330"/>
      <c r="F123" s="330"/>
    </row>
    <row r="124" spans="1:6" s="43" customFormat="1">
      <c r="A124" s="1295" t="s">
        <v>88</v>
      </c>
      <c r="B124" s="1316">
        <v>7</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380</v>
      </c>
      <c r="C129" s="330"/>
      <c r="D129" s="330"/>
      <c r="E129" s="330"/>
      <c r="F129" s="330"/>
    </row>
    <row r="130" spans="1:6">
      <c r="A130" s="1293" t="s">
        <v>294</v>
      </c>
      <c r="B130" s="1294">
        <v>4</v>
      </c>
      <c r="C130" s="330"/>
      <c r="D130" s="330"/>
      <c r="E130" s="330"/>
      <c r="F130" s="330"/>
    </row>
    <row r="131" spans="1:6">
      <c r="A131" s="1293" t="s">
        <v>295</v>
      </c>
      <c r="B131" s="1294">
        <v>9</v>
      </c>
      <c r="C131" s="330"/>
      <c r="D131" s="330"/>
      <c r="E131" s="330"/>
      <c r="F131" s="330"/>
    </row>
    <row r="132" spans="1:6">
      <c r="A132" s="1288" t="s">
        <v>296</v>
      </c>
      <c r="B132" s="1289">
        <v>62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137545.10252911353</v>
      </c>
      <c r="C3" s="43" t="s">
        <v>169</v>
      </c>
      <c r="D3" s="43"/>
      <c r="E3" s="154"/>
      <c r="F3" s="43"/>
      <c r="G3" s="43"/>
      <c r="H3" s="43"/>
      <c r="I3" s="43"/>
      <c r="J3" s="43"/>
      <c r="K3" s="96"/>
    </row>
    <row r="4" spans="1:11">
      <c r="A4" s="358" t="s">
        <v>170</v>
      </c>
      <c r="B4" s="49">
        <f>IF(ISERROR('SEAP template'!B78+'SEAP template'!C78),0,'SEAP template'!B78+'SEAP template'!C78)</f>
        <v>35390.775326125236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0.16413602445119291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1931.579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0.16413602445119291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317.04169797341075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40677.341200000003</v>
      </c>
      <c r="C5" s="17">
        <f>IF(ISERROR('Eigen informatie GS &amp; warmtenet'!B57),0,'Eigen informatie GS &amp; warmtenet'!B57)</f>
        <v>0</v>
      </c>
      <c r="D5" s="30">
        <f>(SUM(HH_hh_gas_kWh,HH_rest_gas_kWh)/1000)*0.902</f>
        <v>91370.5543091</v>
      </c>
      <c r="E5" s="17">
        <f>B46*B57</f>
        <v>15197.618859582752</v>
      </c>
      <c r="F5" s="17">
        <f>B51*B62</f>
        <v>67092.597226445389</v>
      </c>
      <c r="G5" s="18"/>
      <c r="H5" s="17"/>
      <c r="I5" s="17"/>
      <c r="J5" s="17">
        <f>B50*B61+C50*C61</f>
        <v>0</v>
      </c>
      <c r="K5" s="17"/>
      <c r="L5" s="17"/>
      <c r="M5" s="17"/>
      <c r="N5" s="17">
        <f>B48*B59+C48*C59</f>
        <v>25689.11975926625</v>
      </c>
      <c r="O5" s="17">
        <f>B69*B70*B71</f>
        <v>756.65333333333342</v>
      </c>
      <c r="P5" s="17">
        <f>B77*B78*B79/1000-B77*B78*B79/1000/B80</f>
        <v>2230.8000000000002</v>
      </c>
    </row>
    <row r="6" spans="1:16">
      <c r="A6" s="16" t="s">
        <v>620</v>
      </c>
      <c r="B6" s="762">
        <f>kWh_PV_kleiner_dan_10kW</f>
        <v>9923.0199538542438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50600.361153854246</v>
      </c>
      <c r="C8" s="21">
        <f>C5</f>
        <v>0</v>
      </c>
      <c r="D8" s="21">
        <f>D5</f>
        <v>91370.5543091</v>
      </c>
      <c r="E8" s="21">
        <f>E5</f>
        <v>15197.618859582752</v>
      </c>
      <c r="F8" s="21">
        <f>F5</f>
        <v>67092.597226445389</v>
      </c>
      <c r="G8" s="21"/>
      <c r="H8" s="21"/>
      <c r="I8" s="21"/>
      <c r="J8" s="21">
        <f>J5</f>
        <v>0</v>
      </c>
      <c r="K8" s="21"/>
      <c r="L8" s="21">
        <f>L5</f>
        <v>0</v>
      </c>
      <c r="M8" s="21">
        <f>M5</f>
        <v>0</v>
      </c>
      <c r="N8" s="21">
        <f>N5</f>
        <v>25689.11975926625</v>
      </c>
      <c r="O8" s="21">
        <f>O5</f>
        <v>756.65333333333342</v>
      </c>
      <c r="P8" s="21">
        <f>P5</f>
        <v>2230.8000000000002</v>
      </c>
    </row>
    <row r="9" spans="1:16">
      <c r="B9" s="19"/>
      <c r="C9" s="19"/>
      <c r="D9" s="258"/>
      <c r="E9" s="19"/>
      <c r="F9" s="19"/>
      <c r="G9" s="19"/>
      <c r="H9" s="19"/>
      <c r="I9" s="19"/>
      <c r="J9" s="19"/>
      <c r="K9" s="19"/>
      <c r="L9" s="19"/>
      <c r="M9" s="19"/>
      <c r="N9" s="19"/>
      <c r="O9" s="19"/>
      <c r="P9" s="19"/>
    </row>
    <row r="10" spans="1:16">
      <c r="A10" s="24" t="s">
        <v>213</v>
      </c>
      <c r="B10" s="25">
        <f ca="1">'EF ele_warmte'!B12</f>
        <v>0.16413602445119291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8305.3421155882115</v>
      </c>
      <c r="C12" s="23">
        <f ca="1">C10*C8</f>
        <v>0</v>
      </c>
      <c r="D12" s="23">
        <f>D8*D10</f>
        <v>18456.851970438202</v>
      </c>
      <c r="E12" s="23">
        <f>E10*E8</f>
        <v>3449.8594811252847</v>
      </c>
      <c r="F12" s="23">
        <f>F10*F8</f>
        <v>17913.723459460918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12727</v>
      </c>
      <c r="C28" s="36"/>
      <c r="D28" s="228"/>
    </row>
    <row r="29" spans="1:7" s="15" customFormat="1">
      <c r="A29" s="230" t="s">
        <v>781</v>
      </c>
      <c r="B29" s="37">
        <f>SUM(HH_hh_gas_aantal,HH_rest_gas_aantal)</f>
        <v>6937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6937</v>
      </c>
      <c r="C32" s="167">
        <f>IF(ISERROR(B32/SUM($B$32,$B$34,$B$35,$B$36,$B$38,$B$39)*100),0,B32/SUM($B$32,$B$34,$B$35,$B$36,$B$38,$B$39)*100)</f>
        <v>55.011895321173675</v>
      </c>
      <c r="D32" s="233"/>
      <c r="G32" s="15"/>
    </row>
    <row r="33" spans="1:7">
      <c r="A33" s="171" t="s">
        <v>71</v>
      </c>
      <c r="B33" s="34" t="s">
        <v>110</v>
      </c>
      <c r="C33" s="167"/>
      <c r="D33" s="233"/>
      <c r="G33" s="15"/>
    </row>
    <row r="34" spans="1:7">
      <c r="A34" s="171" t="s">
        <v>72</v>
      </c>
      <c r="B34" s="33">
        <f>IF((($B$28-$B$32-$B$39-$B$77-$B$38)*C20/100)&lt;0,0,($B$28-$B$32-$B$39-$B$77-$B$38)*C20/100)</f>
        <v>287.41677704194268</v>
      </c>
      <c r="C34" s="167">
        <f>IF(ISERROR(B34/SUM($B$32,$B$34,$B$35,$B$36,$B$38,$B$39)*100),0,B34/SUM($B$32,$B$34,$B$35,$B$36,$B$38,$B$39)*100)</f>
        <v>2.2792765824103305</v>
      </c>
      <c r="D34" s="233"/>
      <c r="G34" s="15"/>
    </row>
    <row r="35" spans="1:7">
      <c r="A35" s="171" t="s">
        <v>73</v>
      </c>
      <c r="B35" s="33">
        <f>IF((($B$28-$B$32-$B$39-$B$77-$B$38)*C21/100)&lt;0,0,($B$28-$B$32-$B$39-$B$77-$B$38)*C21/100)</f>
        <v>1816.6909492273733</v>
      </c>
      <c r="C35" s="167">
        <f>IF(ISERROR(B35/SUM($B$32,$B$34,$B$35,$B$36,$B$38,$B$39)*100),0,B35/SUM($B$32,$B$34,$B$35,$B$36,$B$38,$B$39)*100)</f>
        <v>14.406748209574729</v>
      </c>
      <c r="D35" s="233"/>
      <c r="G35" s="15"/>
    </row>
    <row r="36" spans="1:7">
      <c r="A36" s="171" t="s">
        <v>74</v>
      </c>
      <c r="B36" s="33">
        <f>IF((($B$28-$B$32-$B$39-$B$77-$B$38)*C22/100)&lt;0,0,($B$28-$B$32-$B$39-$B$77-$B$38)*C22/100)</f>
        <v>352.49227373068442</v>
      </c>
      <c r="C36" s="167">
        <f>IF(ISERROR(B36/SUM($B$32,$B$34,$B$35,$B$36,$B$38,$B$39)*100),0,B36/SUM($B$32,$B$34,$B$35,$B$36,$B$38,$B$39)*100)</f>
        <v>2.795339204842858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3216.3999999999996</v>
      </c>
      <c r="C39" s="167">
        <f>IF(ISERROR(B39/SUM($B$32,$B$34,$B$35,$B$36,$B$38,$B$39)*100),0,B39/SUM($B$32,$B$34,$B$35,$B$36,$B$38,$B$39)*100)</f>
        <v>25.506740681998412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6937</v>
      </c>
      <c r="C44" s="34" t="s">
        <v>110</v>
      </c>
      <c r="D44" s="174"/>
    </row>
    <row r="45" spans="1:7">
      <c r="A45" s="171" t="s">
        <v>71</v>
      </c>
      <c r="B45" s="33" t="str">
        <f t="shared" si="0"/>
        <v>-</v>
      </c>
      <c r="C45" s="34" t="s">
        <v>110</v>
      </c>
      <c r="D45" s="174"/>
    </row>
    <row r="46" spans="1:7">
      <c r="A46" s="171" t="s">
        <v>72</v>
      </c>
      <c r="B46" s="33">
        <f t="shared" si="0"/>
        <v>287.41677704194268</v>
      </c>
      <c r="C46" s="34" t="s">
        <v>110</v>
      </c>
      <c r="D46" s="174"/>
    </row>
    <row r="47" spans="1:7">
      <c r="A47" s="171" t="s">
        <v>73</v>
      </c>
      <c r="B47" s="33">
        <f t="shared" si="0"/>
        <v>1816.6909492273733</v>
      </c>
      <c r="C47" s="34" t="s">
        <v>110</v>
      </c>
      <c r="D47" s="174"/>
    </row>
    <row r="48" spans="1:7">
      <c r="A48" s="171" t="s">
        <v>74</v>
      </c>
      <c r="B48" s="33">
        <f t="shared" si="0"/>
        <v>352.49227373068442</v>
      </c>
      <c r="C48" s="33">
        <f>B48*10</f>
        <v>3524.9227373068443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3216.3999999999996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484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42872.234976000007</v>
      </c>
      <c r="C5" s="17">
        <f>IF(ISERROR('Eigen informatie GS &amp; warmtenet'!B58),0,'Eigen informatie GS &amp; warmtenet'!B58)</f>
        <v>0</v>
      </c>
      <c r="D5" s="30">
        <f>SUM(D6:D12)</f>
        <v>51538.90195146</v>
      </c>
      <c r="E5" s="17">
        <f>SUM(E6:E12)</f>
        <v>635.42902008004558</v>
      </c>
      <c r="F5" s="17">
        <f>SUM(F6:F12)</f>
        <v>7842.8648962613725</v>
      </c>
      <c r="G5" s="18"/>
      <c r="H5" s="17"/>
      <c r="I5" s="17"/>
      <c r="J5" s="17">
        <f>SUM(J6:J12)</f>
        <v>0.16857228694804963</v>
      </c>
      <c r="K5" s="17"/>
      <c r="L5" s="17"/>
      <c r="M5" s="17"/>
      <c r="N5" s="17">
        <f>SUM(N6:N12)</f>
        <v>6757.9135334035773</v>
      </c>
      <c r="O5" s="17">
        <f>B38*B39*B40</f>
        <v>6.2533333333333339</v>
      </c>
      <c r="P5" s="17">
        <f>B46*B47*B48/1000-B46*B47*B48/1000/B49</f>
        <v>209.73333333333335</v>
      </c>
      <c r="R5" s="32"/>
    </row>
    <row r="6" spans="1:18">
      <c r="A6" s="32" t="s">
        <v>53</v>
      </c>
      <c r="B6" s="37">
        <f>B26</f>
        <v>6170.3774709999998</v>
      </c>
      <c r="C6" s="33"/>
      <c r="D6" s="37">
        <f>IF(ISERROR(TER_kantoor_gas_kWh/1000),0,TER_kantoor_gas_kWh/1000)*0.902</f>
        <v>8409.9535493160001</v>
      </c>
      <c r="E6" s="33">
        <f>$C$26*'E Balans VL '!I12/100/3.6*1000000</f>
        <v>3.8673873752832308E-2</v>
      </c>
      <c r="F6" s="33">
        <f>$C$26*('E Balans VL '!L12+'E Balans VL '!N12)/100/3.6*1000000</f>
        <v>927.23531710072223</v>
      </c>
      <c r="G6" s="34"/>
      <c r="H6" s="33"/>
      <c r="I6" s="33"/>
      <c r="J6" s="33">
        <f>$C$26*('E Balans VL '!D12+'E Balans VL '!E12)/100/3.6*1000000</f>
        <v>0</v>
      </c>
      <c r="K6" s="33"/>
      <c r="L6" s="33"/>
      <c r="M6" s="33"/>
      <c r="N6" s="33">
        <f>$C$26*'E Balans VL '!Y12/100/3.6*1000000</f>
        <v>5.9010511921510016</v>
      </c>
      <c r="O6" s="33"/>
      <c r="P6" s="33"/>
      <c r="R6" s="32"/>
    </row>
    <row r="7" spans="1:18">
      <c r="A7" s="32" t="s">
        <v>52</v>
      </c>
      <c r="B7" s="37">
        <f t="shared" ref="B7:B12" si="0">B27</f>
        <v>4557.6677359999994</v>
      </c>
      <c r="C7" s="33"/>
      <c r="D7" s="37">
        <f>IF(ISERROR(TER_horeca_gas_kWh/1000),0,TER_horeca_gas_kWh/1000)*0.902</f>
        <v>5542.0760029579997</v>
      </c>
      <c r="E7" s="33">
        <f>$C$27*'E Balans VL '!I9/100/3.6*1000000</f>
        <v>65.265042816997862</v>
      </c>
      <c r="F7" s="33">
        <f>$C$27*('E Balans VL '!L9+'E Balans VL '!N9)/100/3.6*1000000</f>
        <v>577.15105305065163</v>
      </c>
      <c r="G7" s="34"/>
      <c r="H7" s="33"/>
      <c r="I7" s="33"/>
      <c r="J7" s="33">
        <f>$C$27*('E Balans VL '!D9+'E Balans VL '!E9)/100/3.6*1000000</f>
        <v>0</v>
      </c>
      <c r="K7" s="33"/>
      <c r="L7" s="33"/>
      <c r="M7" s="33"/>
      <c r="N7" s="33">
        <f>$C$27*'E Balans VL '!Y9/100/3.6*1000000</f>
        <v>1.3102289861522731</v>
      </c>
      <c r="O7" s="33"/>
      <c r="P7" s="33"/>
      <c r="R7" s="32"/>
    </row>
    <row r="8" spans="1:18">
      <c r="A8" s="6" t="s">
        <v>51</v>
      </c>
      <c r="B8" s="37">
        <f t="shared" si="0"/>
        <v>15226.971173</v>
      </c>
      <c r="C8" s="33"/>
      <c r="D8" s="37">
        <f>IF(ISERROR(TER_handel_gas_kWh/1000),0,TER_handel_gas_kWh/1000)*0.902</f>
        <v>12470.230252744001</v>
      </c>
      <c r="E8" s="33">
        <f>$C$28*'E Balans VL '!I13/100/3.6*1000000</f>
        <v>552.28036673874897</v>
      </c>
      <c r="F8" s="33">
        <f>$C$28*('E Balans VL '!L13+'E Balans VL '!N13)/100/3.6*1000000</f>
        <v>2932.868830805568</v>
      </c>
      <c r="G8" s="34"/>
      <c r="H8" s="33"/>
      <c r="I8" s="33"/>
      <c r="J8" s="33">
        <f>$C$28*('E Balans VL '!D13+'E Balans VL '!E13)/100/3.6*1000000</f>
        <v>0</v>
      </c>
      <c r="K8" s="33"/>
      <c r="L8" s="33"/>
      <c r="M8" s="33"/>
      <c r="N8" s="33">
        <f>$C$28*'E Balans VL '!Y13/100/3.6*1000000</f>
        <v>21.092858644417372</v>
      </c>
      <c r="O8" s="33"/>
      <c r="P8" s="33"/>
      <c r="R8" s="32"/>
    </row>
    <row r="9" spans="1:18">
      <c r="A9" s="32" t="s">
        <v>50</v>
      </c>
      <c r="B9" s="37">
        <f t="shared" si="0"/>
        <v>8617.6674289999992</v>
      </c>
      <c r="C9" s="33"/>
      <c r="D9" s="37">
        <f>IF(ISERROR(TER_gezond_gas_kWh/1000),0,TER_gezond_gas_kWh/1000)*0.902</f>
        <v>11073.565746958</v>
      </c>
      <c r="E9" s="33">
        <f>$C$29*'E Balans VL '!I10/100/3.6*1000000</f>
        <v>0.5395510651499309</v>
      </c>
      <c r="F9" s="33">
        <f>$C$29*('E Balans VL '!L10+'E Balans VL '!N10)/100/3.6*1000000</f>
        <v>1280.1807348764678</v>
      </c>
      <c r="G9" s="34"/>
      <c r="H9" s="33"/>
      <c r="I9" s="33"/>
      <c r="J9" s="33">
        <f>$C$29*('E Balans VL '!D10+'E Balans VL '!E10)/100/3.6*1000000</f>
        <v>0</v>
      </c>
      <c r="K9" s="33"/>
      <c r="L9" s="33"/>
      <c r="M9" s="33"/>
      <c r="N9" s="33">
        <f>$C$29*'E Balans VL '!Y10/100/3.6*1000000</f>
        <v>133.29891132559922</v>
      </c>
      <c r="O9" s="33"/>
      <c r="P9" s="33"/>
      <c r="R9" s="32"/>
    </row>
    <row r="10" spans="1:18">
      <c r="A10" s="32" t="s">
        <v>49</v>
      </c>
      <c r="B10" s="37">
        <f t="shared" si="0"/>
        <v>7766.1321670000007</v>
      </c>
      <c r="C10" s="33"/>
      <c r="D10" s="37">
        <f>IF(ISERROR(TER_ander_gas_kWh/1000),0,TER_ander_gas_kWh/1000)*0.902</f>
        <v>11947.591878442001</v>
      </c>
      <c r="E10" s="33">
        <f>$C$30*'E Balans VL '!I14/100/3.6*1000000</f>
        <v>9.2569520283920923</v>
      </c>
      <c r="F10" s="33">
        <f>$C$30*('E Balans VL '!L14+'E Balans VL '!N14)/100/3.6*1000000</f>
        <v>2031.9654300059231</v>
      </c>
      <c r="G10" s="34"/>
      <c r="H10" s="33"/>
      <c r="I10" s="33"/>
      <c r="J10" s="33">
        <f>$C$30*('E Balans VL '!D14+'E Balans VL '!E14)/100/3.6*1000000</f>
        <v>0.16857228694804963</v>
      </c>
      <c r="K10" s="33"/>
      <c r="L10" s="33"/>
      <c r="M10" s="33"/>
      <c r="N10" s="33">
        <f>$C$30*'E Balans VL '!Y14/100/3.6*1000000</f>
        <v>6594.8094016372006</v>
      </c>
      <c r="O10" s="33"/>
      <c r="P10" s="33"/>
      <c r="R10" s="32"/>
    </row>
    <row r="11" spans="1:18">
      <c r="A11" s="32" t="s">
        <v>54</v>
      </c>
      <c r="B11" s="37">
        <f t="shared" si="0"/>
        <v>533.41899999999998</v>
      </c>
      <c r="C11" s="33"/>
      <c r="D11" s="37">
        <f>IF(ISERROR(TER_onderwijs_gas_kWh/1000),0,TER_onderwijs_gas_kWh/1000)*0.902</f>
        <v>2095.4845210419999</v>
      </c>
      <c r="E11" s="33">
        <f>$C$31*'E Balans VL '!I11/100/3.6*1000000</f>
        <v>8.0484335570039036</v>
      </c>
      <c r="F11" s="33">
        <f>$C$31*('E Balans VL '!L11+'E Balans VL '!N11)/100/3.6*1000000</f>
        <v>93.463530422040378</v>
      </c>
      <c r="G11" s="34"/>
      <c r="H11" s="33"/>
      <c r="I11" s="33"/>
      <c r="J11" s="33">
        <f>$C$31*('E Balans VL '!D11+'E Balans VL '!E11)/100/3.6*1000000</f>
        <v>0</v>
      </c>
      <c r="K11" s="33"/>
      <c r="L11" s="33"/>
      <c r="M11" s="33"/>
      <c r="N11" s="33">
        <f>$C$31*'E Balans VL '!Y11/100/3.6*1000000</f>
        <v>1.5010816180566782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42872.234976000007</v>
      </c>
      <c r="C16" s="21">
        <f t="shared" ca="1" si="1"/>
        <v>0</v>
      </c>
      <c r="D16" s="21">
        <f t="shared" ca="1" si="1"/>
        <v>51538.90195146</v>
      </c>
      <c r="E16" s="21">
        <f t="shared" si="1"/>
        <v>635.42902008004558</v>
      </c>
      <c r="F16" s="21">
        <f t="shared" ca="1" si="1"/>
        <v>7842.8648962613725</v>
      </c>
      <c r="G16" s="21">
        <f t="shared" si="1"/>
        <v>0</v>
      </c>
      <c r="H16" s="21">
        <f t="shared" si="1"/>
        <v>0</v>
      </c>
      <c r="I16" s="21">
        <f t="shared" si="1"/>
        <v>0</v>
      </c>
      <c r="J16" s="21">
        <f t="shared" si="1"/>
        <v>0.16857228694804963</v>
      </c>
      <c r="K16" s="21">
        <f t="shared" si="1"/>
        <v>0</v>
      </c>
      <c r="L16" s="21">
        <f t="shared" ca="1" si="1"/>
        <v>0</v>
      </c>
      <c r="M16" s="21">
        <f t="shared" si="1"/>
        <v>0</v>
      </c>
      <c r="N16" s="21">
        <f t="shared" ca="1" si="1"/>
        <v>6757.9135334035773</v>
      </c>
      <c r="O16" s="21">
        <f>O5</f>
        <v>6.2533333333333339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0.16413602445119291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7036.8782082980251</v>
      </c>
      <c r="C20" s="23">
        <f t="shared" ref="C20:P20" ca="1" si="2">C16*C18</f>
        <v>0</v>
      </c>
      <c r="D20" s="23">
        <f t="shared" ca="1" si="2"/>
        <v>10410.858194194921</v>
      </c>
      <c r="E20" s="23">
        <f t="shared" si="2"/>
        <v>144.24238755817035</v>
      </c>
      <c r="F20" s="23">
        <f t="shared" ca="1" si="2"/>
        <v>2094.0449273017866</v>
      </c>
      <c r="G20" s="23">
        <f t="shared" si="2"/>
        <v>0</v>
      </c>
      <c r="H20" s="23">
        <f t="shared" si="2"/>
        <v>0</v>
      </c>
      <c r="I20" s="23">
        <f t="shared" si="2"/>
        <v>0</v>
      </c>
      <c r="J20" s="23">
        <f t="shared" si="2"/>
        <v>5.9674589579609562E-2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6170.3774709999998</v>
      </c>
      <c r="C26" s="39">
        <f>IF(ISERROR(B26*3.6/1000000/'E Balans VL '!Z12*100),0,B26*3.6/1000000/'E Balans VL '!Z12*100)</f>
        <v>0.1304320050694765</v>
      </c>
      <c r="D26" s="237" t="s">
        <v>744</v>
      </c>
      <c r="F26" s="6"/>
    </row>
    <row r="27" spans="1:18">
      <c r="A27" s="231" t="s">
        <v>52</v>
      </c>
      <c r="B27" s="33">
        <f>IF(ISERROR(TER_horeca_ele_kWh/1000),0,TER_horeca_ele_kWh/1000)</f>
        <v>4557.6677359999994</v>
      </c>
      <c r="C27" s="39">
        <f>IF(ISERROR(B27*3.6/1000000/'E Balans VL '!Z9*100),0,B27*3.6/1000000/'E Balans VL '!Z9*100)</f>
        <v>0.3592792488993915</v>
      </c>
      <c r="D27" s="237" t="s">
        <v>744</v>
      </c>
      <c r="F27" s="6"/>
    </row>
    <row r="28" spans="1:18">
      <c r="A28" s="171" t="s">
        <v>51</v>
      </c>
      <c r="B28" s="33">
        <f>IF(ISERROR(TER_handel_ele_kWh/1000),0,TER_handel_ele_kWh/1000)</f>
        <v>15226.971173</v>
      </c>
      <c r="C28" s="39">
        <f>IF(ISERROR(B28*3.6/1000000/'E Balans VL '!Z13*100),0,B28*3.6/1000000/'E Balans VL '!Z13*100)</f>
        <v>0.44194822729812266</v>
      </c>
      <c r="D28" s="237" t="s">
        <v>744</v>
      </c>
      <c r="F28" s="6"/>
    </row>
    <row r="29" spans="1:18">
      <c r="A29" s="231" t="s">
        <v>50</v>
      </c>
      <c r="B29" s="33">
        <f>IF(ISERROR(TER_gezond_ele_kWh/1000),0,TER_gezond_ele_kWh/1000)</f>
        <v>8617.6674289999992</v>
      </c>
      <c r="C29" s="39">
        <f>IF(ISERROR(B29*3.6/1000000/'E Balans VL '!Z10*100),0,B29*3.6/1000000/'E Balans VL '!Z10*100)</f>
        <v>0.90758188610809121</v>
      </c>
      <c r="D29" s="237" t="s">
        <v>744</v>
      </c>
      <c r="F29" s="6"/>
    </row>
    <row r="30" spans="1:18">
      <c r="A30" s="231" t="s">
        <v>49</v>
      </c>
      <c r="B30" s="33">
        <f>IF(ISERROR(TER_ander_ele_kWh/1000),0,TER_ander_ele_kWh/1000)</f>
        <v>7766.1321670000007</v>
      </c>
      <c r="C30" s="39">
        <f>IF(ISERROR(B30*3.6/1000000/'E Balans VL '!Z14*100),0,B30*3.6/1000000/'E Balans VL '!Z14*100)</f>
        <v>0.57283159543343598</v>
      </c>
      <c r="D30" s="237" t="s">
        <v>744</v>
      </c>
      <c r="F30" s="6"/>
    </row>
    <row r="31" spans="1:18">
      <c r="A31" s="231" t="s">
        <v>54</v>
      </c>
      <c r="B31" s="33">
        <f>IF(ISERROR(TER_onderwijs_ele_kWh/1000),0,TER_onderwijs_ele_kWh/1000)</f>
        <v>533.41899999999998</v>
      </c>
      <c r="C31" s="39">
        <f>IF(ISERROR(B31*3.6/1000000/'E Balans VL '!Z11*100),0,B31*3.6/1000000/'E Balans VL '!Z11*100)</f>
        <v>0.13247292451748513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36384.423069999997</v>
      </c>
      <c r="C5" s="17">
        <f>IF(ISERROR('Eigen informatie GS &amp; warmtenet'!B59),0,'Eigen informatie GS &amp; warmtenet'!B59)</f>
        <v>0</v>
      </c>
      <c r="D5" s="30">
        <f>SUM(D6:D15)</f>
        <v>61300.74813973</v>
      </c>
      <c r="E5" s="17">
        <f>SUM(E6:E15)</f>
        <v>2572.9926069085795</v>
      </c>
      <c r="F5" s="17">
        <f>SUM(F6:F15)</f>
        <v>8970.7887327496901</v>
      </c>
      <c r="G5" s="18"/>
      <c r="H5" s="17"/>
      <c r="I5" s="17"/>
      <c r="J5" s="17">
        <f>SUM(J6:J15)</f>
        <v>57.392970455257156</v>
      </c>
      <c r="K5" s="17"/>
      <c r="L5" s="17"/>
      <c r="M5" s="17"/>
      <c r="N5" s="17">
        <f>SUM(N6:N15)</f>
        <v>2560.900240134476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3091.056286</v>
      </c>
      <c r="C8" s="33"/>
      <c r="D8" s="37">
        <f>IF( ISERROR(IND_metaal_Gas_kWH/1000),0,IND_metaal_Gas_kWH/1000)*0.902</f>
        <v>9501.4506180000008</v>
      </c>
      <c r="E8" s="33">
        <f>C30*'E Balans VL '!I18/100/3.6*1000000</f>
        <v>28.419277179218021</v>
      </c>
      <c r="F8" s="33">
        <f>C30*'E Balans VL '!L18/100/3.6*1000000+C30*'E Balans VL '!N18/100/3.6*1000000</f>
        <v>289.83816794584692</v>
      </c>
      <c r="G8" s="34"/>
      <c r="H8" s="33"/>
      <c r="I8" s="33"/>
      <c r="J8" s="40">
        <f>C30*'E Balans VL '!D18/100/3.6*1000000+C30*'E Balans VL '!E18/100/3.6*1000000</f>
        <v>0</v>
      </c>
      <c r="K8" s="33"/>
      <c r="L8" s="33"/>
      <c r="M8" s="33"/>
      <c r="N8" s="33">
        <f>C30*'E Balans VL '!Y18/100/3.6*1000000</f>
        <v>44.099026105413671</v>
      </c>
      <c r="O8" s="33"/>
      <c r="P8" s="33"/>
      <c r="R8" s="32"/>
    </row>
    <row r="9" spans="1:18">
      <c r="A9" s="6" t="s">
        <v>32</v>
      </c>
      <c r="B9" s="37">
        <f t="shared" si="0"/>
        <v>5562.031035</v>
      </c>
      <c r="C9" s="33"/>
      <c r="D9" s="37">
        <f>IF( ISERROR(IND_andere_gas_kWh/1000),0,IND_andere_gas_kWh/1000)*0.902</f>
        <v>24881.726085458002</v>
      </c>
      <c r="E9" s="33">
        <f>C31*'E Balans VL '!I19/100/3.6*1000000</f>
        <v>1625.8899515032024</v>
      </c>
      <c r="F9" s="33">
        <f>C31*'E Balans VL '!L19/100/3.6*1000000+C31*'E Balans VL '!N19/100/3.6*1000000</f>
        <v>4469.5129436872257</v>
      </c>
      <c r="G9" s="34"/>
      <c r="H9" s="33"/>
      <c r="I9" s="33"/>
      <c r="J9" s="40">
        <f>C31*'E Balans VL '!D19/100/3.6*1000000+C31*'E Balans VL '!E19/100/3.6*1000000</f>
        <v>0</v>
      </c>
      <c r="K9" s="33"/>
      <c r="L9" s="33"/>
      <c r="M9" s="33"/>
      <c r="N9" s="33">
        <f>C31*'E Balans VL '!Y19/100/3.6*1000000</f>
        <v>436.27816020799338</v>
      </c>
      <c r="O9" s="33"/>
      <c r="P9" s="33"/>
      <c r="R9" s="32"/>
    </row>
    <row r="10" spans="1:18">
      <c r="A10" s="6" t="s">
        <v>40</v>
      </c>
      <c r="B10" s="37">
        <f t="shared" si="0"/>
        <v>4465.7687139999998</v>
      </c>
      <c r="C10" s="33"/>
      <c r="D10" s="37">
        <f>IF( ISERROR(IND_voed_gas_kWh/1000),0,IND_voed_gas_kWh/1000)*0.902</f>
        <v>5852.1562849860002</v>
      </c>
      <c r="E10" s="33">
        <f>C32*'E Balans VL '!I20/100/3.6*1000000</f>
        <v>9.4474029570310094</v>
      </c>
      <c r="F10" s="33">
        <f>C32*'E Balans VL '!L20/100/3.6*1000000+C32*'E Balans VL '!N20/100/3.6*1000000</f>
        <v>283.93813648509308</v>
      </c>
      <c r="G10" s="34"/>
      <c r="H10" s="33"/>
      <c r="I10" s="33"/>
      <c r="J10" s="40">
        <f>C32*'E Balans VL '!D20/100/3.6*1000000+C32*'E Balans VL '!E20/100/3.6*1000000</f>
        <v>0</v>
      </c>
      <c r="K10" s="33"/>
      <c r="L10" s="33"/>
      <c r="M10" s="33"/>
      <c r="N10" s="33">
        <f>C32*'E Balans VL '!Y20/100/3.6*1000000</f>
        <v>308.18211054848422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2729.7600350000002</v>
      </c>
      <c r="C12" s="33"/>
      <c r="D12" s="37">
        <f>IF( ISERROR(IND_min_gas_kWh/1000),0,IND_min_gas_kWh/1000)*0.902</f>
        <v>0</v>
      </c>
      <c r="E12" s="33">
        <f>C34*'E Balans VL '!I22/100/3.6*1000000</f>
        <v>79.12450317966757</v>
      </c>
      <c r="F12" s="33">
        <f>C34*'E Balans VL '!L22/100/3.6*1000000+C34*'E Balans VL '!N22/100/3.6*1000000</f>
        <v>938.52234700888505</v>
      </c>
      <c r="G12" s="34"/>
      <c r="H12" s="33"/>
      <c r="I12" s="33"/>
      <c r="J12" s="40">
        <f>C34*'E Balans VL '!D22/100/3.6*1000000+C34*'E Balans VL '!E22/100/3.6*1000000</f>
        <v>4.4858183384213737</v>
      </c>
      <c r="K12" s="33"/>
      <c r="L12" s="33"/>
      <c r="M12" s="33"/>
      <c r="N12" s="33">
        <f>C34*'E Balans VL '!Y22/100/3.6*1000000</f>
        <v>597.5893306032923</v>
      </c>
      <c r="O12" s="33"/>
      <c r="P12" s="33"/>
      <c r="R12" s="32"/>
    </row>
    <row r="13" spans="1:18">
      <c r="A13" s="6" t="s">
        <v>38</v>
      </c>
      <c r="B13" s="37">
        <f t="shared" si="0"/>
        <v>22.907</v>
      </c>
      <c r="C13" s="33"/>
      <c r="D13" s="37">
        <f>IF( ISERROR(IND_papier_gas_kWh/1000),0,IND_papier_gas_kWh/1000)*0.902</f>
        <v>67.950366000000002</v>
      </c>
      <c r="E13" s="33">
        <f>C35*'E Balans VL '!I23/100/3.6*1000000</f>
        <v>3.2499794209768625E-2</v>
      </c>
      <c r="F13" s="33">
        <f>C35*'E Balans VL '!L23/100/3.6*1000000+C35*'E Balans VL '!N23/100/3.6*1000000</f>
        <v>0.55924600587355955</v>
      </c>
      <c r="G13" s="34"/>
      <c r="H13" s="33"/>
      <c r="I13" s="33"/>
      <c r="J13" s="40">
        <f>C35*'E Balans VL '!D23/100/3.6*1000000+C35*'E Balans VL '!E23/100/3.6*1000000</f>
        <v>3.5427826140214539E-3</v>
      </c>
      <c r="K13" s="33"/>
      <c r="L13" s="33"/>
      <c r="M13" s="33"/>
      <c r="N13" s="33">
        <f>C35*'E Balans VL '!Y23/100/3.6*1000000</f>
        <v>9.3594680707745876</v>
      </c>
      <c r="O13" s="33"/>
      <c r="P13" s="33"/>
      <c r="R13" s="32"/>
    </row>
    <row r="14" spans="1:18">
      <c r="A14" s="6" t="s">
        <v>33</v>
      </c>
      <c r="B14" s="37">
        <f t="shared" si="0"/>
        <v>5735.277</v>
      </c>
      <c r="C14" s="33"/>
      <c r="D14" s="37">
        <f>IF( ISERROR(IND_chemie_gas_kWh/1000),0,IND_chemie_gas_kWh/1000)*0.902</f>
        <v>1813.3264932860002</v>
      </c>
      <c r="E14" s="33">
        <f>C36*'E Balans VL '!I24/100/3.6*1000000</f>
        <v>14.118608709282144</v>
      </c>
      <c r="F14" s="33">
        <f>C36*'E Balans VL '!L24/100/3.6*1000000+C36*'E Balans VL '!N24/100/3.6*1000000</f>
        <v>61.413077126424632</v>
      </c>
      <c r="G14" s="34"/>
      <c r="H14" s="33"/>
      <c r="I14" s="33"/>
      <c r="J14" s="40">
        <f>C36*'E Balans VL '!D24/100/3.6*1000000+C36*'E Balans VL '!E24/100/3.6*1000000</f>
        <v>0</v>
      </c>
      <c r="K14" s="33"/>
      <c r="L14" s="33"/>
      <c r="M14" s="33"/>
      <c r="N14" s="33">
        <f>C36*'E Balans VL '!Y24/100/3.6*1000000</f>
        <v>128.08289307443181</v>
      </c>
      <c r="O14" s="33"/>
      <c r="P14" s="33"/>
      <c r="R14" s="32"/>
    </row>
    <row r="15" spans="1:18">
      <c r="A15" s="6" t="s">
        <v>269</v>
      </c>
      <c r="B15" s="37">
        <f t="shared" si="0"/>
        <v>14777.623</v>
      </c>
      <c r="C15" s="33"/>
      <c r="D15" s="37">
        <f>IF( ISERROR(IND_rest_gas_kWh/1000),0,IND_rest_gas_kWh/1000)*0.902</f>
        <v>19184.138292</v>
      </c>
      <c r="E15" s="33">
        <f>C37*'E Balans VL '!I15/100/3.6*1000000</f>
        <v>815.96036358596893</v>
      </c>
      <c r="F15" s="33">
        <f>C37*'E Balans VL '!L15/100/3.6*1000000+C37*'E Balans VL '!N15/100/3.6*1000000</f>
        <v>2927.0048144903403</v>
      </c>
      <c r="G15" s="34"/>
      <c r="H15" s="33"/>
      <c r="I15" s="33"/>
      <c r="J15" s="40">
        <f>C37*'E Balans VL '!D15/100/3.6*1000000+C37*'E Balans VL '!E15/100/3.6*1000000</f>
        <v>52.903609334221763</v>
      </c>
      <c r="K15" s="33"/>
      <c r="L15" s="33"/>
      <c r="M15" s="33"/>
      <c r="N15" s="33">
        <f>C37*'E Balans VL '!Y15/100/3.6*1000000</f>
        <v>1037.3092515240862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36384.423069999997</v>
      </c>
      <c r="C18" s="21">
        <f>C5+C16</f>
        <v>0</v>
      </c>
      <c r="D18" s="21">
        <f>MAX((D5+D16),0)</f>
        <v>61300.74813973</v>
      </c>
      <c r="E18" s="21">
        <f>MAX((E5+E16),0)</f>
        <v>2572.9926069085795</v>
      </c>
      <c r="F18" s="21">
        <f>MAX((F5+F16),0)</f>
        <v>8970.7887327496901</v>
      </c>
      <c r="G18" s="21"/>
      <c r="H18" s="21"/>
      <c r="I18" s="21"/>
      <c r="J18" s="21">
        <f>MAX((J5+J16),0)</f>
        <v>57.392970455257156</v>
      </c>
      <c r="K18" s="21"/>
      <c r="L18" s="21">
        <f>MAX((L5+L16),0)</f>
        <v>0</v>
      </c>
      <c r="M18" s="21"/>
      <c r="N18" s="21">
        <f>MAX((N5+N16),0)</f>
        <v>2560.900240134476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0.16413602445119291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5971.9945546600666</v>
      </c>
      <c r="C22" s="23">
        <f ca="1">C18*C20</f>
        <v>0</v>
      </c>
      <c r="D22" s="23">
        <f>D18*D20</f>
        <v>12382.75112422546</v>
      </c>
      <c r="E22" s="23">
        <f>E18*E20</f>
        <v>584.06932176824762</v>
      </c>
      <c r="F22" s="23">
        <f>F18*F20</f>
        <v>2395.2005916441676</v>
      </c>
      <c r="G22" s="23"/>
      <c r="H22" s="23"/>
      <c r="I22" s="23"/>
      <c r="J22" s="23">
        <f>J18*J20</f>
        <v>20.317111541161033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3091.056286</v>
      </c>
      <c r="C30" s="39">
        <f>IF(ISERROR(B30*3.6/1000000/'E Balans VL '!Z18*100),0,B30*3.6/1000000/'E Balans VL '!Z18*100)</f>
        <v>0.17517808571433521</v>
      </c>
      <c r="D30" s="237" t="s">
        <v>744</v>
      </c>
    </row>
    <row r="31" spans="1:18">
      <c r="A31" s="6" t="s">
        <v>32</v>
      </c>
      <c r="B31" s="37">
        <f>IF( ISERROR(IND_ander_ele_kWh/1000),0,IND_ander_ele_kWh/1000)</f>
        <v>5562.031035</v>
      </c>
      <c r="C31" s="39">
        <f>IF(ISERROR(B31*3.6/1000000/'E Balans VL '!Z19*100),0,B31*3.6/1000000/'E Balans VL '!Z19*100)</f>
        <v>0.25227056785346108</v>
      </c>
      <c r="D31" s="237" t="s">
        <v>744</v>
      </c>
    </row>
    <row r="32" spans="1:18">
      <c r="A32" s="171" t="s">
        <v>40</v>
      </c>
      <c r="B32" s="37">
        <f>IF( ISERROR(IND_voed_ele_kWh/1000),0,IND_voed_ele_kWh/1000)</f>
        <v>4465.7687139999998</v>
      </c>
      <c r="C32" s="39">
        <f>IF(ISERROR(B32*3.6/1000000/'E Balans VL '!Z20*100),0,B32*3.6/1000000/'E Balans VL '!Z20*100)</f>
        <v>0.13814649920223107</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2729.7600350000002</v>
      </c>
      <c r="C34" s="39">
        <f>IF(ISERROR(B34*3.6/1000000/'E Balans VL '!Z22*100),0,B34*3.6/1000000/'E Balans VL '!Z22*100)</f>
        <v>0.49099866276427534</v>
      </c>
      <c r="D34" s="237" t="s">
        <v>744</v>
      </c>
    </row>
    <row r="35" spans="1:5">
      <c r="A35" s="171" t="s">
        <v>38</v>
      </c>
      <c r="B35" s="37">
        <f>IF( ISERROR(IND_papier_ele_kWh/1000),0,IND_papier_ele_kWh/1000)</f>
        <v>22.907</v>
      </c>
      <c r="C35" s="39">
        <f>IF(ISERROR(B35*3.6/1000000/'E Balans VL '!Z22*100),0,B35*3.6/1000000/'E Balans VL '!Z22*100)</f>
        <v>4.1202546098310262E-3</v>
      </c>
      <c r="D35" s="237" t="s">
        <v>744</v>
      </c>
    </row>
    <row r="36" spans="1:5">
      <c r="A36" s="171" t="s">
        <v>33</v>
      </c>
      <c r="B36" s="37">
        <f>IF( ISERROR(IND_chemie_ele_kWh/1000),0,IND_chemie_ele_kWh/1000)</f>
        <v>5735.277</v>
      </c>
      <c r="C36" s="39">
        <f>IF(ISERROR(B36*3.6/1000000/'E Balans VL '!Z24*100),0,B36*3.6/1000000/'E Balans VL '!Z24*100)</f>
        <v>0.17489167946199269</v>
      </c>
      <c r="D36" s="237" t="s">
        <v>744</v>
      </c>
    </row>
    <row r="37" spans="1:5">
      <c r="A37" s="171" t="s">
        <v>269</v>
      </c>
      <c r="B37" s="37">
        <f>IF( ISERROR(IND_rest_ele_kWh/1000),0,IND_rest_ele_kWh/1000)</f>
        <v>14777.623</v>
      </c>
      <c r="C37" s="39">
        <f>IF(ISERROR(B37*3.6/1000000/'E Balans VL '!Z15*100),0,B37*3.6/1000000/'E Balans VL '!Z15*100)</f>
        <v>0.11713081092206767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202.03800000000001</v>
      </c>
      <c r="C5" s="17">
        <f>'Eigen informatie GS &amp; warmtenet'!B60</f>
        <v>0</v>
      </c>
      <c r="D5" s="30">
        <f>IF(ISERROR(SUM(LB_lb_gas_kWh,LB_rest_gas_kWh)/1000),0,SUM(LB_lb_gas_kWh,LB_rest_gas_kWh)/1000)*0.902</f>
        <v>101.61481000000001</v>
      </c>
      <c r="E5" s="17">
        <f>B17*'E Balans VL '!I25/3.6*1000000/100</f>
        <v>5.9385139152780617</v>
      </c>
      <c r="F5" s="17">
        <f>B17*('E Balans VL '!L25/3.6*1000000+'E Balans VL '!N25/3.6*1000000)/100</f>
        <v>841.67939043951742</v>
      </c>
      <c r="G5" s="18"/>
      <c r="H5" s="17"/>
      <c r="I5" s="17"/>
      <c r="J5" s="17">
        <f>('E Balans VL '!D25+'E Balans VL '!E25)/3.6*1000000*landbouw!B17/100</f>
        <v>29.270967384284074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202.03800000000001</v>
      </c>
      <c r="C8" s="21">
        <f>C5+C6</f>
        <v>0</v>
      </c>
      <c r="D8" s="21">
        <f>MAX((D5+D6),0)</f>
        <v>101.61481000000001</v>
      </c>
      <c r="E8" s="21">
        <f>MAX((E5+E6),0)</f>
        <v>5.9385139152780617</v>
      </c>
      <c r="F8" s="21">
        <f>MAX((F5+F6),0)</f>
        <v>841.67939043951742</v>
      </c>
      <c r="G8" s="21"/>
      <c r="H8" s="21"/>
      <c r="I8" s="21"/>
      <c r="J8" s="21">
        <f>MAX((J5+J6),0)</f>
        <v>29.270967384284074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0.16413602445119291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33.161714108070115</v>
      </c>
      <c r="C12" s="23">
        <f ca="1">C8*C10</f>
        <v>0</v>
      </c>
      <c r="D12" s="23">
        <f>D8*D10</f>
        <v>20.526191620000002</v>
      </c>
      <c r="E12" s="23">
        <f>E8*E10</f>
        <v>1.34804265876812</v>
      </c>
      <c r="F12" s="23">
        <f>F8*F10</f>
        <v>224.72839724735115</v>
      </c>
      <c r="G12" s="23"/>
      <c r="H12" s="23"/>
      <c r="I12" s="23"/>
      <c r="J12" s="23">
        <f>J8*J10</f>
        <v>10.361922454036561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2.8669826074893792E-2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29.659230751174547</v>
      </c>
      <c r="C26" s="247">
        <f>B26*'GWP N2O_CH4'!B5</f>
        <v>622.84384577466551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3.3274862548527415</v>
      </c>
      <c r="C27" s="247">
        <f>B27*'GWP N2O_CH4'!B5</f>
        <v>69.877211351907576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0.39552921592776763</v>
      </c>
      <c r="C28" s="247">
        <f>B28*'GWP N2O_CH4'!B4</f>
        <v>122.61405693760797</v>
      </c>
      <c r="D28" s="50"/>
    </row>
    <row r="29" spans="1:4">
      <c r="A29" s="41" t="s">
        <v>276</v>
      </c>
      <c r="B29" s="247">
        <f>B34*'ha_N2O bodem landbouw'!B4</f>
        <v>5.5869086186160306</v>
      </c>
      <c r="C29" s="247">
        <f>B29*'GWP N2O_CH4'!B4</f>
        <v>1731.9416717709694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1.2749132934245534E-3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3.7805531493344382E-4</v>
      </c>
      <c r="C5" s="437" t="s">
        <v>210</v>
      </c>
      <c r="D5" s="422">
        <f>SUM(D6:D11)</f>
        <v>1.0543411868878566E-3</v>
      </c>
      <c r="E5" s="422">
        <f>SUM(E6:E11)</f>
        <v>2.002532371310681E-3</v>
      </c>
      <c r="F5" s="435" t="s">
        <v>210</v>
      </c>
      <c r="G5" s="422">
        <f>SUM(G6:G11)</f>
        <v>0.87973203981688597</v>
      </c>
      <c r="H5" s="422">
        <f>SUM(H6:H11)</f>
        <v>0.18188497383759558</v>
      </c>
      <c r="I5" s="437" t="s">
        <v>210</v>
      </c>
      <c r="J5" s="437" t="s">
        <v>210</v>
      </c>
      <c r="K5" s="437" t="s">
        <v>210</v>
      </c>
      <c r="L5" s="437" t="s">
        <v>210</v>
      </c>
      <c r="M5" s="422">
        <f>SUM(M6:M11)</f>
        <v>5.6753465408144063E-2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1.0210925014426821E-4</v>
      </c>
      <c r="C6" s="423"/>
      <c r="D6" s="865">
        <f>vkm_GW_PW*SUMIFS(TableVerdeelsleutelVkm[CNG],TableVerdeelsleutelVkm[Voertuigtype],"Lichte voertuigen")*SUMIFS(TableECFTransport[EnergieConsumptieFactor (PJ per km)],TableECFTransport[Index],CONCATENATE($A6,"_CNG_CNG"))</f>
        <v>2.5305165371725325E-4</v>
      </c>
      <c r="E6" s="865">
        <f>vkm_GW_PW*SUMIFS(TableVerdeelsleutelVkm[LPG],TableVerdeelsleutelVkm[Voertuigtype],"Lichte voertuigen")*SUMIFS(TableECFTransport[EnergieConsumptieFactor (PJ per km)],TableECFTransport[Index],CONCATENATE($A6,"_LPG_LPG"))</f>
        <v>4.3442649893844402E-4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0.13311458799816142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4.2994533069658274E-2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9.0430751234660892E-3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2.7565839978879025E-2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4.6112636124834655E-7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1.6105495278504484E-3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6.8806490339583598E-5</v>
      </c>
      <c r="C8" s="423"/>
      <c r="D8" s="425">
        <f>vkm_NGW_PW*SUMIFS(TableVerdeelsleutelVkm[CNG],TableVerdeelsleutelVkm[Voertuigtype],"Lichte voertuigen")*SUMIFS(TableECFTransport[EnergieConsumptieFactor (PJ per km)],TableECFTransport[Index],CONCATENATE($A8,"_CNG_CNG"))</f>
        <v>2.8821458529839202E-4</v>
      </c>
      <c r="E8" s="425">
        <f>vkm_NGW_PW*SUMIFS(TableVerdeelsleutelVkm[LPG],TableVerdeelsleutelVkm[Voertuigtype],"Lichte voertuigen")*SUMIFS(TableECFTransport[EnergieConsumptieFactor (PJ per km)],TableECFTransport[Index],CONCATENATE($A8,"_LPG_LPG"))</f>
        <v>4.6988313078569487E-4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0.13543147049142401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4.7891813768969768E-2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9.3226250763272997E-3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8.9230767102431406E-3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1.8387732261595093E-7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5.2133673718436874E-4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2.0713957444959202E-4</v>
      </c>
      <c r="C10" s="423"/>
      <c r="D10" s="425">
        <f>vkm_SW_PW*SUMIFS(TableVerdeelsleutelVkm[CNG],TableVerdeelsleutelVkm[Voertuigtype],"Lichte voertuigen")*SUMIFS(TableECFTransport[EnergieConsumptieFactor (PJ per km)],TableECFTransport[Index],CONCATENATE($A10,"_CNG_CNG"))</f>
        <v>5.1307494787221136E-4</v>
      </c>
      <c r="E10" s="425">
        <f>vkm_SW_PW*SUMIFS(TableVerdeelsleutelVkm[LPG],TableVerdeelsleutelVkm[Voertuigtype],"Lichte voertuigen")*SUMIFS(TableECFTransport[EnergieConsumptieFactor (PJ per km)],TableECFTransport[Index],CONCATENATE($A10,"_LPG_LPG"))</f>
        <v>1.0982227415865422E-3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0.30105430032856484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9.0993105730821588E-2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2.0268139493519965E-2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0.2736427643096136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4.8762644620738649E-6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1.5987739449795896E-2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105.01536525928996</v>
      </c>
      <c r="C14" s="21"/>
      <c r="D14" s="21">
        <f t="shared" ref="D14:M14" si="0">((D5)*10^9/3600)+D12</f>
        <v>292.87255191329348</v>
      </c>
      <c r="E14" s="21">
        <f t="shared" si="0"/>
        <v>556.25899203074471</v>
      </c>
      <c r="F14" s="21"/>
      <c r="G14" s="21">
        <f t="shared" si="0"/>
        <v>244370.01106024609</v>
      </c>
      <c r="H14" s="21">
        <f t="shared" si="0"/>
        <v>50523.603843776553</v>
      </c>
      <c r="I14" s="21"/>
      <c r="J14" s="21"/>
      <c r="K14" s="21"/>
      <c r="L14" s="21"/>
      <c r="M14" s="21">
        <f t="shared" si="0"/>
        <v>15764.85150226224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0.16413602445119291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17.236804559949771</v>
      </c>
      <c r="C18" s="23"/>
      <c r="D18" s="23">
        <f t="shared" ref="D18:M18" si="1">D14*D16</f>
        <v>59.160255486485283</v>
      </c>
      <c r="E18" s="23">
        <f t="shared" si="1"/>
        <v>126.27079119097905</v>
      </c>
      <c r="F18" s="23"/>
      <c r="G18" s="23">
        <f t="shared" si="1"/>
        <v>65246.792953085707</v>
      </c>
      <c r="H18" s="23">
        <f t="shared" si="1"/>
        <v>12580.377357100362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1.1213839688291552E-2</v>
      </c>
      <c r="H50" s="319">
        <f t="shared" si="2"/>
        <v>0</v>
      </c>
      <c r="I50" s="319">
        <f t="shared" si="2"/>
        <v>0</v>
      </c>
      <c r="J50" s="319">
        <f t="shared" si="2"/>
        <v>0</v>
      </c>
      <c r="K50" s="319">
        <f t="shared" si="2"/>
        <v>0</v>
      </c>
      <c r="L50" s="319">
        <f t="shared" si="2"/>
        <v>0</v>
      </c>
      <c r="M50" s="319">
        <f t="shared" si="2"/>
        <v>6.3684847931899647E-4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1.1213839688291552E-2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6.3684847931899647E-4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3114.9554689698753</v>
      </c>
      <c r="H54" s="21">
        <f t="shared" si="3"/>
        <v>0</v>
      </c>
      <c r="I54" s="21">
        <f t="shared" si="3"/>
        <v>0</v>
      </c>
      <c r="J54" s="21">
        <f t="shared" si="3"/>
        <v>0</v>
      </c>
      <c r="K54" s="21">
        <f t="shared" si="3"/>
        <v>0</v>
      </c>
      <c r="L54" s="21">
        <f t="shared" si="3"/>
        <v>0</v>
      </c>
      <c r="M54" s="21">
        <f t="shared" si="3"/>
        <v>176.90235536638789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0.16413602445119291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831.69311021495673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44803.813976000005</v>
      </c>
      <c r="D10" s="979">
        <f ca="1">tertiair!C16</f>
        <v>0</v>
      </c>
      <c r="E10" s="979">
        <f ca="1">tertiair!D16</f>
        <v>51538.90195146</v>
      </c>
      <c r="F10" s="979">
        <f>tertiair!E16</f>
        <v>635.42902008004558</v>
      </c>
      <c r="G10" s="979">
        <f ca="1">tertiair!F16</f>
        <v>7842.8648962613725</v>
      </c>
      <c r="H10" s="979">
        <f>tertiair!G16</f>
        <v>0</v>
      </c>
      <c r="I10" s="979">
        <f>tertiair!H16</f>
        <v>0</v>
      </c>
      <c r="J10" s="979">
        <f>tertiair!I16</f>
        <v>0</v>
      </c>
      <c r="K10" s="979">
        <f>tertiair!J16</f>
        <v>0.16857228694804963</v>
      </c>
      <c r="L10" s="979">
        <f>tertiair!K16</f>
        <v>0</v>
      </c>
      <c r="M10" s="979">
        <f ca="1">tertiair!L16</f>
        <v>0</v>
      </c>
      <c r="N10" s="979">
        <f>tertiair!M16</f>
        <v>0</v>
      </c>
      <c r="O10" s="979">
        <f ca="1">tertiair!N16</f>
        <v>6757.9135334035773</v>
      </c>
      <c r="P10" s="979">
        <f>tertiair!O16</f>
        <v>6.2533333333333339</v>
      </c>
      <c r="Q10" s="980">
        <f>tertiair!P16</f>
        <v>209.73333333333335</v>
      </c>
      <c r="R10" s="674">
        <f ca="1">SUM(C10:Q10)</f>
        <v>111795.0786161586</v>
      </c>
      <c r="S10" s="67"/>
    </row>
    <row r="11" spans="1:19" s="447" customFormat="1">
      <c r="A11" s="783" t="s">
        <v>224</v>
      </c>
      <c r="B11" s="788"/>
      <c r="C11" s="979">
        <f>huishoudens!B8</f>
        <v>50600.361153854246</v>
      </c>
      <c r="D11" s="979">
        <f>huishoudens!C8</f>
        <v>0</v>
      </c>
      <c r="E11" s="979">
        <f>huishoudens!D8</f>
        <v>91370.5543091</v>
      </c>
      <c r="F11" s="979">
        <f>huishoudens!E8</f>
        <v>15197.618859582752</v>
      </c>
      <c r="G11" s="979">
        <f>huishoudens!F8</f>
        <v>67092.597226445389</v>
      </c>
      <c r="H11" s="979">
        <f>huishoudens!G8</f>
        <v>0</v>
      </c>
      <c r="I11" s="979">
        <f>huishoudens!H8</f>
        <v>0</v>
      </c>
      <c r="J11" s="979">
        <f>huishoudens!I8</f>
        <v>0</v>
      </c>
      <c r="K11" s="979">
        <f>huishoudens!J8</f>
        <v>0</v>
      </c>
      <c r="L11" s="979">
        <f>huishoudens!K8</f>
        <v>0</v>
      </c>
      <c r="M11" s="979">
        <f>huishoudens!L8</f>
        <v>0</v>
      </c>
      <c r="N11" s="979">
        <f>huishoudens!M8</f>
        <v>0</v>
      </c>
      <c r="O11" s="979">
        <f>huishoudens!N8</f>
        <v>25689.11975926625</v>
      </c>
      <c r="P11" s="979">
        <f>huishoudens!O8</f>
        <v>756.65333333333342</v>
      </c>
      <c r="Q11" s="980">
        <f>huishoudens!P8</f>
        <v>2230.8000000000002</v>
      </c>
      <c r="R11" s="674">
        <f>SUM(C11:Q11)</f>
        <v>252937.70464158198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36384.423069999997</v>
      </c>
      <c r="D13" s="979">
        <f>industrie!C18</f>
        <v>0</v>
      </c>
      <c r="E13" s="979">
        <f>industrie!D18</f>
        <v>61300.74813973</v>
      </c>
      <c r="F13" s="979">
        <f>industrie!E18</f>
        <v>2572.9926069085795</v>
      </c>
      <c r="G13" s="979">
        <f>industrie!F18</f>
        <v>8970.7887327496901</v>
      </c>
      <c r="H13" s="979">
        <f>industrie!G18</f>
        <v>0</v>
      </c>
      <c r="I13" s="979">
        <f>industrie!H18</f>
        <v>0</v>
      </c>
      <c r="J13" s="979">
        <f>industrie!I18</f>
        <v>0</v>
      </c>
      <c r="K13" s="979">
        <f>industrie!J18</f>
        <v>57.392970455257156</v>
      </c>
      <c r="L13" s="979">
        <f>industrie!K18</f>
        <v>0</v>
      </c>
      <c r="M13" s="979">
        <f>industrie!L18</f>
        <v>0</v>
      </c>
      <c r="N13" s="979">
        <f>industrie!M18</f>
        <v>0</v>
      </c>
      <c r="O13" s="979">
        <f>industrie!N18</f>
        <v>2560.900240134476</v>
      </c>
      <c r="P13" s="979">
        <f>industrie!O18</f>
        <v>0</v>
      </c>
      <c r="Q13" s="980">
        <f>industrie!P18</f>
        <v>0</v>
      </c>
      <c r="R13" s="674">
        <f>SUM(C13:Q13)</f>
        <v>111847.245759978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131788.59819985426</v>
      </c>
      <c r="D16" s="706">
        <f t="shared" ref="D16:R16" ca="1" si="0">SUM(D9:D15)</f>
        <v>0</v>
      </c>
      <c r="E16" s="706">
        <f t="shared" ca="1" si="0"/>
        <v>204210.20440028998</v>
      </c>
      <c r="F16" s="706">
        <f t="shared" si="0"/>
        <v>18406.040486571379</v>
      </c>
      <c r="G16" s="706">
        <f t="shared" ca="1" si="0"/>
        <v>83906.250855456441</v>
      </c>
      <c r="H16" s="706">
        <f t="shared" si="0"/>
        <v>0</v>
      </c>
      <c r="I16" s="706">
        <f t="shared" si="0"/>
        <v>0</v>
      </c>
      <c r="J16" s="706">
        <f t="shared" si="0"/>
        <v>0</v>
      </c>
      <c r="K16" s="706">
        <f t="shared" si="0"/>
        <v>57.561542742205205</v>
      </c>
      <c r="L16" s="706">
        <f t="shared" si="0"/>
        <v>0</v>
      </c>
      <c r="M16" s="706">
        <f t="shared" ca="1" si="0"/>
        <v>0</v>
      </c>
      <c r="N16" s="706">
        <f t="shared" si="0"/>
        <v>0</v>
      </c>
      <c r="O16" s="706">
        <f t="shared" ca="1" si="0"/>
        <v>35007.933532804302</v>
      </c>
      <c r="P16" s="706">
        <f t="shared" si="0"/>
        <v>762.90666666666675</v>
      </c>
      <c r="Q16" s="706">
        <f t="shared" si="0"/>
        <v>2440.5333333333338</v>
      </c>
      <c r="R16" s="706">
        <f t="shared" ca="1" si="0"/>
        <v>476580.02901771857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3114.9554689698753</v>
      </c>
      <c r="I19" s="979">
        <f>transport!H54</f>
        <v>0</v>
      </c>
      <c r="J19" s="979">
        <f>transport!I54</f>
        <v>0</v>
      </c>
      <c r="K19" s="979">
        <f>transport!J54</f>
        <v>0</v>
      </c>
      <c r="L19" s="979">
        <f>transport!K54</f>
        <v>0</v>
      </c>
      <c r="M19" s="979">
        <f>transport!L54</f>
        <v>0</v>
      </c>
      <c r="N19" s="979">
        <f>transport!M54</f>
        <v>176.90235536638789</v>
      </c>
      <c r="O19" s="979">
        <f>transport!N54</f>
        <v>0</v>
      </c>
      <c r="P19" s="979">
        <f>transport!O54</f>
        <v>0</v>
      </c>
      <c r="Q19" s="980">
        <f>transport!P54</f>
        <v>0</v>
      </c>
      <c r="R19" s="674">
        <f>SUM(C19:Q19)</f>
        <v>3291.8578243362631</v>
      </c>
      <c r="S19" s="67"/>
    </row>
    <row r="20" spans="1:19" s="447" customFormat="1">
      <c r="A20" s="783" t="s">
        <v>306</v>
      </c>
      <c r="B20" s="788"/>
      <c r="C20" s="979">
        <f>transport!B14</f>
        <v>105.01536525928996</v>
      </c>
      <c r="D20" s="979">
        <f>transport!C14</f>
        <v>0</v>
      </c>
      <c r="E20" s="979">
        <f>transport!D14</f>
        <v>292.87255191329348</v>
      </c>
      <c r="F20" s="979">
        <f>transport!E14</f>
        <v>556.25899203074471</v>
      </c>
      <c r="G20" s="979">
        <f>transport!F14</f>
        <v>0</v>
      </c>
      <c r="H20" s="979">
        <f>transport!G14</f>
        <v>244370.01106024609</v>
      </c>
      <c r="I20" s="979">
        <f>transport!H14</f>
        <v>50523.603843776553</v>
      </c>
      <c r="J20" s="979">
        <f>transport!I14</f>
        <v>0</v>
      </c>
      <c r="K20" s="979">
        <f>transport!J14</f>
        <v>0</v>
      </c>
      <c r="L20" s="979">
        <f>transport!K14</f>
        <v>0</v>
      </c>
      <c r="M20" s="979">
        <f>transport!L14</f>
        <v>0</v>
      </c>
      <c r="N20" s="979">
        <f>transport!M14</f>
        <v>15764.85150226224</v>
      </c>
      <c r="O20" s="979">
        <f>transport!N14</f>
        <v>0</v>
      </c>
      <c r="P20" s="979">
        <f>transport!O14</f>
        <v>0</v>
      </c>
      <c r="Q20" s="980">
        <f>transport!P14</f>
        <v>0</v>
      </c>
      <c r="R20" s="674">
        <f>SUM(C20:Q20)</f>
        <v>311612.61331548821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105.01536525928996</v>
      </c>
      <c r="D22" s="786">
        <f t="shared" ref="D22:R22" si="1">SUM(D18:D21)</f>
        <v>0</v>
      </c>
      <c r="E22" s="786">
        <f t="shared" si="1"/>
        <v>292.87255191329348</v>
      </c>
      <c r="F22" s="786">
        <f t="shared" si="1"/>
        <v>556.25899203074471</v>
      </c>
      <c r="G22" s="786">
        <f t="shared" si="1"/>
        <v>0</v>
      </c>
      <c r="H22" s="786">
        <f t="shared" si="1"/>
        <v>247484.96652921598</v>
      </c>
      <c r="I22" s="786">
        <f t="shared" si="1"/>
        <v>50523.603843776553</v>
      </c>
      <c r="J22" s="786">
        <f t="shared" si="1"/>
        <v>0</v>
      </c>
      <c r="K22" s="786">
        <f t="shared" si="1"/>
        <v>0</v>
      </c>
      <c r="L22" s="786">
        <f t="shared" si="1"/>
        <v>0</v>
      </c>
      <c r="M22" s="786">
        <f t="shared" si="1"/>
        <v>0</v>
      </c>
      <c r="N22" s="786">
        <f t="shared" si="1"/>
        <v>15941.753857628628</v>
      </c>
      <c r="O22" s="786">
        <f t="shared" si="1"/>
        <v>0</v>
      </c>
      <c r="P22" s="786">
        <f t="shared" si="1"/>
        <v>0</v>
      </c>
      <c r="Q22" s="786">
        <f t="shared" si="1"/>
        <v>0</v>
      </c>
      <c r="R22" s="786">
        <f t="shared" si="1"/>
        <v>314904.47113982448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202.03800000000001</v>
      </c>
      <c r="D24" s="979">
        <f>+landbouw!C8</f>
        <v>0</v>
      </c>
      <c r="E24" s="979">
        <f>+landbouw!D8</f>
        <v>101.61481000000001</v>
      </c>
      <c r="F24" s="979">
        <f>+landbouw!E8</f>
        <v>5.9385139152780617</v>
      </c>
      <c r="G24" s="979">
        <f>+landbouw!F8</f>
        <v>841.67939043951742</v>
      </c>
      <c r="H24" s="979">
        <f>+landbouw!G8</f>
        <v>0</v>
      </c>
      <c r="I24" s="979">
        <f>+landbouw!H8</f>
        <v>0</v>
      </c>
      <c r="J24" s="979">
        <f>+landbouw!I8</f>
        <v>0</v>
      </c>
      <c r="K24" s="979">
        <f>+landbouw!J8</f>
        <v>29.270967384284074</v>
      </c>
      <c r="L24" s="979">
        <f>+landbouw!K8</f>
        <v>0</v>
      </c>
      <c r="M24" s="979">
        <f>+landbouw!L8</f>
        <v>0</v>
      </c>
      <c r="N24" s="979">
        <f>+landbouw!M8</f>
        <v>0</v>
      </c>
      <c r="O24" s="979">
        <f>+landbouw!N8</f>
        <v>0</v>
      </c>
      <c r="P24" s="979">
        <f>+landbouw!O8</f>
        <v>0</v>
      </c>
      <c r="Q24" s="980">
        <f>+landbouw!P8</f>
        <v>0</v>
      </c>
      <c r="R24" s="674">
        <f>SUM(C24:Q24)</f>
        <v>1180.5416817390796</v>
      </c>
      <c r="S24" s="67"/>
    </row>
    <row r="25" spans="1:19" s="447" customFormat="1" ht="15" thickBot="1">
      <c r="A25" s="805" t="s">
        <v>823</v>
      </c>
      <c r="B25" s="982"/>
      <c r="C25" s="983">
        <f>IF(Onbekend_ele_kWh="---",0,Onbekend_ele_kWh)/1000+IF(REST_rest_ele_kWh="---",0,REST_rest_ele_kWh)/1000</f>
        <v>5449.4509639999997</v>
      </c>
      <c r="D25" s="983"/>
      <c r="E25" s="983">
        <f>IF(onbekend_gas_kWh="---",0,onbekend_gas_kWh)/1000+IF(REST_rest_gas_kWh="---",0,REST_rest_gas_kWh)/1000</f>
        <v>3003.7264</v>
      </c>
      <c r="F25" s="983"/>
      <c r="G25" s="983"/>
      <c r="H25" s="983"/>
      <c r="I25" s="983"/>
      <c r="J25" s="983"/>
      <c r="K25" s="983"/>
      <c r="L25" s="983"/>
      <c r="M25" s="983"/>
      <c r="N25" s="983"/>
      <c r="O25" s="983"/>
      <c r="P25" s="983"/>
      <c r="Q25" s="984"/>
      <c r="R25" s="674">
        <f>SUM(C25:Q25)</f>
        <v>8453.1773639999992</v>
      </c>
      <c r="S25" s="67"/>
    </row>
    <row r="26" spans="1:19" s="447" customFormat="1" ht="15.75" thickBot="1">
      <c r="A26" s="679" t="s">
        <v>824</v>
      </c>
      <c r="B26" s="791"/>
      <c r="C26" s="786">
        <f>SUM(C24:C25)</f>
        <v>5651.4889640000001</v>
      </c>
      <c r="D26" s="786">
        <f t="shared" ref="D26:R26" si="2">SUM(D24:D25)</f>
        <v>0</v>
      </c>
      <c r="E26" s="786">
        <f t="shared" si="2"/>
        <v>3105.34121</v>
      </c>
      <c r="F26" s="786">
        <f t="shared" si="2"/>
        <v>5.9385139152780617</v>
      </c>
      <c r="G26" s="786">
        <f t="shared" si="2"/>
        <v>841.67939043951742</v>
      </c>
      <c r="H26" s="786">
        <f t="shared" si="2"/>
        <v>0</v>
      </c>
      <c r="I26" s="786">
        <f t="shared" si="2"/>
        <v>0</v>
      </c>
      <c r="J26" s="786">
        <f t="shared" si="2"/>
        <v>0</v>
      </c>
      <c r="K26" s="786">
        <f t="shared" si="2"/>
        <v>29.270967384284074</v>
      </c>
      <c r="L26" s="786">
        <f t="shared" si="2"/>
        <v>0</v>
      </c>
      <c r="M26" s="786">
        <f t="shared" si="2"/>
        <v>0</v>
      </c>
      <c r="N26" s="786">
        <f t="shared" si="2"/>
        <v>0</v>
      </c>
      <c r="O26" s="786">
        <f t="shared" si="2"/>
        <v>0</v>
      </c>
      <c r="P26" s="786">
        <f t="shared" si="2"/>
        <v>0</v>
      </c>
      <c r="Q26" s="786">
        <f t="shared" si="2"/>
        <v>0</v>
      </c>
      <c r="R26" s="786">
        <f t="shared" si="2"/>
        <v>9633.7190457390789</v>
      </c>
      <c r="S26" s="67"/>
    </row>
    <row r="27" spans="1:19" s="447" customFormat="1" ht="17.25" thickTop="1" thickBot="1">
      <c r="A27" s="680" t="s">
        <v>115</v>
      </c>
      <c r="B27" s="779"/>
      <c r="C27" s="681">
        <f ca="1">C22+C16+C26</f>
        <v>137545.10252911353</v>
      </c>
      <c r="D27" s="681">
        <f t="shared" ref="D27:R27" ca="1" si="3">D22+D16+D26</f>
        <v>0</v>
      </c>
      <c r="E27" s="681">
        <f t="shared" ca="1" si="3"/>
        <v>207608.41816220328</v>
      </c>
      <c r="F27" s="681">
        <f t="shared" si="3"/>
        <v>18968.237992517399</v>
      </c>
      <c r="G27" s="681">
        <f t="shared" ca="1" si="3"/>
        <v>84747.930245895957</v>
      </c>
      <c r="H27" s="681">
        <f t="shared" si="3"/>
        <v>247484.96652921598</v>
      </c>
      <c r="I27" s="681">
        <f t="shared" si="3"/>
        <v>50523.603843776553</v>
      </c>
      <c r="J27" s="681">
        <f t="shared" si="3"/>
        <v>0</v>
      </c>
      <c r="K27" s="681">
        <f t="shared" si="3"/>
        <v>86.832510126489282</v>
      </c>
      <c r="L27" s="681">
        <f t="shared" si="3"/>
        <v>0</v>
      </c>
      <c r="M27" s="681">
        <f t="shared" ca="1" si="3"/>
        <v>0</v>
      </c>
      <c r="N27" s="681">
        <f t="shared" si="3"/>
        <v>15941.753857628628</v>
      </c>
      <c r="O27" s="681">
        <f t="shared" ca="1" si="3"/>
        <v>35007.933532804302</v>
      </c>
      <c r="P27" s="681">
        <f t="shared" si="3"/>
        <v>762.90666666666675</v>
      </c>
      <c r="Q27" s="681">
        <f t="shared" si="3"/>
        <v>2440.5333333333338</v>
      </c>
      <c r="R27" s="681">
        <f t="shared" ca="1" si="3"/>
        <v>801118.21920328203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7353.919906271436</v>
      </c>
      <c r="D40" s="979">
        <f ca="1">tertiair!C20</f>
        <v>0</v>
      </c>
      <c r="E40" s="979">
        <f ca="1">tertiair!D20</f>
        <v>10410.858194194921</v>
      </c>
      <c r="F40" s="979">
        <f>tertiair!E20</f>
        <v>144.24238755817035</v>
      </c>
      <c r="G40" s="979">
        <f ca="1">tertiair!F20</f>
        <v>2094.0449273017866</v>
      </c>
      <c r="H40" s="979">
        <f>tertiair!G20</f>
        <v>0</v>
      </c>
      <c r="I40" s="979">
        <f>tertiair!H20</f>
        <v>0</v>
      </c>
      <c r="J40" s="979">
        <f>tertiair!I20</f>
        <v>0</v>
      </c>
      <c r="K40" s="979">
        <f>tertiair!J20</f>
        <v>5.9674589579609562E-2</v>
      </c>
      <c r="L40" s="979">
        <f>tertiair!K20</f>
        <v>0</v>
      </c>
      <c r="M40" s="979">
        <f ca="1">tertiair!L20</f>
        <v>0</v>
      </c>
      <c r="N40" s="979">
        <f>tertiair!M20</f>
        <v>0</v>
      </c>
      <c r="O40" s="979">
        <f ca="1">tertiair!N20</f>
        <v>0</v>
      </c>
      <c r="P40" s="979">
        <f>tertiair!O20</f>
        <v>0</v>
      </c>
      <c r="Q40" s="748">
        <f>tertiair!P20</f>
        <v>0</v>
      </c>
      <c r="R40" s="824">
        <f t="shared" ca="1" si="4"/>
        <v>20003.125089915891</v>
      </c>
    </row>
    <row r="41" spans="1:18">
      <c r="A41" s="796" t="s">
        <v>224</v>
      </c>
      <c r="B41" s="803"/>
      <c r="C41" s="979">
        <f ca="1">huishoudens!B12</f>
        <v>8305.3421155882115</v>
      </c>
      <c r="D41" s="979">
        <f ca="1">huishoudens!C12</f>
        <v>0</v>
      </c>
      <c r="E41" s="979">
        <f>huishoudens!D12</f>
        <v>18456.851970438202</v>
      </c>
      <c r="F41" s="979">
        <f>huishoudens!E12</f>
        <v>3449.8594811252847</v>
      </c>
      <c r="G41" s="979">
        <f>huishoudens!F12</f>
        <v>17913.723459460918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48125.777026612617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5971.9945546600666</v>
      </c>
      <c r="D43" s="979">
        <f ca="1">industrie!C22</f>
        <v>0</v>
      </c>
      <c r="E43" s="979">
        <f>industrie!D22</f>
        <v>12382.75112422546</v>
      </c>
      <c r="F43" s="979">
        <f>industrie!E22</f>
        <v>584.06932176824762</v>
      </c>
      <c r="G43" s="979">
        <f>industrie!F22</f>
        <v>2395.2005916441676</v>
      </c>
      <c r="H43" s="979">
        <f>industrie!G22</f>
        <v>0</v>
      </c>
      <c r="I43" s="979">
        <f>industrie!H22</f>
        <v>0</v>
      </c>
      <c r="J43" s="979">
        <f>industrie!I22</f>
        <v>0</v>
      </c>
      <c r="K43" s="979">
        <f>industrie!J22</f>
        <v>20.317111541161033</v>
      </c>
      <c r="L43" s="979">
        <f>industrie!K22</f>
        <v>0</v>
      </c>
      <c r="M43" s="979">
        <f>industrie!L22</f>
        <v>0</v>
      </c>
      <c r="N43" s="979">
        <f>industrie!M22</f>
        <v>0</v>
      </c>
      <c r="O43" s="979">
        <f>industrie!N22</f>
        <v>0</v>
      </c>
      <c r="P43" s="979">
        <f>industrie!O22</f>
        <v>0</v>
      </c>
      <c r="Q43" s="748">
        <f>industrie!P22</f>
        <v>0</v>
      </c>
      <c r="R43" s="823">
        <f t="shared" ca="1" si="4"/>
        <v>21354.332703839103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21631.256576519714</v>
      </c>
      <c r="D46" s="706">
        <f t="shared" ref="D46:Q46" ca="1" si="5">SUM(D39:D45)</f>
        <v>0</v>
      </c>
      <c r="E46" s="706">
        <f t="shared" ca="1" si="5"/>
        <v>41250.461288858583</v>
      </c>
      <c r="F46" s="706">
        <f t="shared" si="5"/>
        <v>4178.1711904517024</v>
      </c>
      <c r="G46" s="706">
        <f t="shared" ca="1" si="5"/>
        <v>22402.968978406872</v>
      </c>
      <c r="H46" s="706">
        <f t="shared" si="5"/>
        <v>0</v>
      </c>
      <c r="I46" s="706">
        <f t="shared" si="5"/>
        <v>0</v>
      </c>
      <c r="J46" s="706">
        <f t="shared" si="5"/>
        <v>0</v>
      </c>
      <c r="K46" s="706">
        <f t="shared" si="5"/>
        <v>20.376786130740644</v>
      </c>
      <c r="L46" s="706">
        <f t="shared" si="5"/>
        <v>0</v>
      </c>
      <c r="M46" s="706">
        <f t="shared" ca="1" si="5"/>
        <v>0</v>
      </c>
      <c r="N46" s="706">
        <f t="shared" si="5"/>
        <v>0</v>
      </c>
      <c r="O46" s="706">
        <f t="shared" ca="1" si="5"/>
        <v>0</v>
      </c>
      <c r="P46" s="706">
        <f t="shared" si="5"/>
        <v>0</v>
      </c>
      <c r="Q46" s="706">
        <f t="shared" si="5"/>
        <v>0</v>
      </c>
      <c r="R46" s="706">
        <f ca="1">SUM(R39:R45)</f>
        <v>89483.234820367608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831.69311021495673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831.69311021495673</v>
      </c>
    </row>
    <row r="50" spans="1:18">
      <c r="A50" s="799" t="s">
        <v>306</v>
      </c>
      <c r="B50" s="809"/>
      <c r="C50" s="677">
        <f ca="1">transport!B18</f>
        <v>17.236804559949771</v>
      </c>
      <c r="D50" s="677">
        <f>transport!C18</f>
        <v>0</v>
      </c>
      <c r="E50" s="677">
        <f>transport!D18</f>
        <v>59.160255486485283</v>
      </c>
      <c r="F50" s="677">
        <f>transport!E18</f>
        <v>126.27079119097905</v>
      </c>
      <c r="G50" s="677">
        <f>transport!F18</f>
        <v>0</v>
      </c>
      <c r="H50" s="677">
        <f>transport!G18</f>
        <v>65246.792953085707</v>
      </c>
      <c r="I50" s="677">
        <f>transport!H18</f>
        <v>12580.377357100362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78029.838161423482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17.236804559949771</v>
      </c>
      <c r="D52" s="706">
        <f t="shared" ref="D52:Q52" ca="1" si="6">SUM(D48:D51)</f>
        <v>0</v>
      </c>
      <c r="E52" s="706">
        <f t="shared" si="6"/>
        <v>59.160255486485283</v>
      </c>
      <c r="F52" s="706">
        <f t="shared" si="6"/>
        <v>126.27079119097905</v>
      </c>
      <c r="G52" s="706">
        <f t="shared" si="6"/>
        <v>0</v>
      </c>
      <c r="H52" s="706">
        <f t="shared" si="6"/>
        <v>66078.486063300661</v>
      </c>
      <c r="I52" s="706">
        <f t="shared" si="6"/>
        <v>12580.377357100362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78861.531271638436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33.161714108070115</v>
      </c>
      <c r="D54" s="677">
        <f ca="1">+landbouw!C12</f>
        <v>0</v>
      </c>
      <c r="E54" s="677">
        <f>+landbouw!D12</f>
        <v>20.526191620000002</v>
      </c>
      <c r="F54" s="677">
        <f>+landbouw!E12</f>
        <v>1.34804265876812</v>
      </c>
      <c r="G54" s="677">
        <f>+landbouw!F12</f>
        <v>224.72839724735115</v>
      </c>
      <c r="H54" s="677">
        <f>+landbouw!G12</f>
        <v>0</v>
      </c>
      <c r="I54" s="677">
        <f>+landbouw!H12</f>
        <v>0</v>
      </c>
      <c r="J54" s="677">
        <f>+landbouw!I12</f>
        <v>0</v>
      </c>
      <c r="K54" s="677">
        <f>+landbouw!J12</f>
        <v>10.361922454036561</v>
      </c>
      <c r="L54" s="677">
        <f>+landbouw!K12</f>
        <v>0</v>
      </c>
      <c r="M54" s="677">
        <f>+landbouw!L12</f>
        <v>0</v>
      </c>
      <c r="N54" s="677">
        <f>+landbouw!M12</f>
        <v>0</v>
      </c>
      <c r="O54" s="677">
        <f>+landbouw!N12</f>
        <v>0</v>
      </c>
      <c r="P54" s="677">
        <f>+landbouw!O12</f>
        <v>0</v>
      </c>
      <c r="Q54" s="678">
        <f>+landbouw!P12</f>
        <v>0</v>
      </c>
      <c r="R54" s="705">
        <f ca="1">SUM(C54:Q54)</f>
        <v>290.12626808822597</v>
      </c>
    </row>
    <row r="55" spans="1:18" ht="15" thickBot="1">
      <c r="A55" s="799" t="s">
        <v>823</v>
      </c>
      <c r="B55" s="809"/>
      <c r="C55" s="677">
        <f ca="1">C25*'EF ele_warmte'!B12</f>
        <v>894.45121667268074</v>
      </c>
      <c r="D55" s="677"/>
      <c r="E55" s="677">
        <f>E25*EF_CO2_aardgas</f>
        <v>606.75273279999999</v>
      </c>
      <c r="F55" s="677"/>
      <c r="G55" s="677"/>
      <c r="H55" s="677"/>
      <c r="I55" s="677"/>
      <c r="J55" s="677"/>
      <c r="K55" s="677"/>
      <c r="L55" s="677"/>
      <c r="M55" s="677"/>
      <c r="N55" s="677"/>
      <c r="O55" s="677"/>
      <c r="P55" s="677"/>
      <c r="Q55" s="678"/>
      <c r="R55" s="705">
        <f ca="1">SUM(C55:Q55)</f>
        <v>1501.2039494726807</v>
      </c>
    </row>
    <row r="56" spans="1:18" ht="15.75" thickBot="1">
      <c r="A56" s="797" t="s">
        <v>824</v>
      </c>
      <c r="B56" s="810"/>
      <c r="C56" s="706">
        <f ca="1">SUM(C54:C55)</f>
        <v>927.61293078075084</v>
      </c>
      <c r="D56" s="706">
        <f t="shared" ref="D56:Q56" ca="1" si="7">SUM(D54:D55)</f>
        <v>0</v>
      </c>
      <c r="E56" s="706">
        <f t="shared" si="7"/>
        <v>627.27892441999995</v>
      </c>
      <c r="F56" s="706">
        <f t="shared" si="7"/>
        <v>1.34804265876812</v>
      </c>
      <c r="G56" s="706">
        <f t="shared" si="7"/>
        <v>224.72839724735115</v>
      </c>
      <c r="H56" s="706">
        <f t="shared" si="7"/>
        <v>0</v>
      </c>
      <c r="I56" s="706">
        <f t="shared" si="7"/>
        <v>0</v>
      </c>
      <c r="J56" s="706">
        <f t="shared" si="7"/>
        <v>0</v>
      </c>
      <c r="K56" s="706">
        <f t="shared" si="7"/>
        <v>10.361922454036561</v>
      </c>
      <c r="L56" s="706">
        <f t="shared" si="7"/>
        <v>0</v>
      </c>
      <c r="M56" s="706">
        <f t="shared" si="7"/>
        <v>0</v>
      </c>
      <c r="N56" s="706">
        <f t="shared" si="7"/>
        <v>0</v>
      </c>
      <c r="O56" s="706">
        <f t="shared" si="7"/>
        <v>0</v>
      </c>
      <c r="P56" s="706">
        <f t="shared" si="7"/>
        <v>0</v>
      </c>
      <c r="Q56" s="707">
        <f t="shared" si="7"/>
        <v>0</v>
      </c>
      <c r="R56" s="708">
        <f ca="1">SUM(R54:R55)</f>
        <v>1791.3302175609067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22576.106311860414</v>
      </c>
      <c r="D61" s="714">
        <f t="shared" ref="D61:Q61" ca="1" si="8">D46+D52+D56</f>
        <v>0</v>
      </c>
      <c r="E61" s="714">
        <f t="shared" ca="1" si="8"/>
        <v>41936.900468765074</v>
      </c>
      <c r="F61" s="714">
        <f t="shared" si="8"/>
        <v>4305.7900243014501</v>
      </c>
      <c r="G61" s="714">
        <f t="shared" ca="1" si="8"/>
        <v>22627.697375654225</v>
      </c>
      <c r="H61" s="714">
        <f t="shared" si="8"/>
        <v>66078.486063300661</v>
      </c>
      <c r="I61" s="714">
        <f t="shared" si="8"/>
        <v>12580.377357100362</v>
      </c>
      <c r="J61" s="714">
        <f t="shared" si="8"/>
        <v>0</v>
      </c>
      <c r="K61" s="714">
        <f t="shared" si="8"/>
        <v>30.738708584777207</v>
      </c>
      <c r="L61" s="714">
        <f t="shared" si="8"/>
        <v>0</v>
      </c>
      <c r="M61" s="714">
        <f t="shared" ca="1" si="8"/>
        <v>0</v>
      </c>
      <c r="N61" s="714">
        <f t="shared" si="8"/>
        <v>0</v>
      </c>
      <c r="O61" s="714">
        <f t="shared" ca="1" si="8"/>
        <v>0</v>
      </c>
      <c r="P61" s="714">
        <f t="shared" si="8"/>
        <v>0</v>
      </c>
      <c r="Q61" s="714">
        <f t="shared" si="8"/>
        <v>0</v>
      </c>
      <c r="R61" s="714">
        <f ca="1">R46+R52+R56</f>
        <v>170136.09630956696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0.16413602445119291</v>
      </c>
      <c r="D63" s="755">
        <f t="shared" ca="1" si="9"/>
        <v>0</v>
      </c>
      <c r="E63" s="990">
        <f t="shared" ca="1" si="9"/>
        <v>0.20200000000000007</v>
      </c>
      <c r="F63" s="755">
        <f t="shared" si="9"/>
        <v>0.22700000000000004</v>
      </c>
      <c r="G63" s="755">
        <f t="shared" ca="1" si="9"/>
        <v>0.26700000000000007</v>
      </c>
      <c r="H63" s="755">
        <f t="shared" si="9"/>
        <v>0.26699999999999996</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10593.055970315989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24797.719355809248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35390.775326125236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10593.055970315989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24797.719355809248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35390.775326125236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50600.361153854246</v>
      </c>
      <c r="C4" s="451">
        <f>huishoudens!C8</f>
        <v>0</v>
      </c>
      <c r="D4" s="451">
        <f>huishoudens!D8</f>
        <v>91370.5543091</v>
      </c>
      <c r="E4" s="451">
        <f>huishoudens!E8</f>
        <v>15197.618859582752</v>
      </c>
      <c r="F4" s="451">
        <f>huishoudens!F8</f>
        <v>67092.597226445389</v>
      </c>
      <c r="G4" s="451">
        <f>huishoudens!G8</f>
        <v>0</v>
      </c>
      <c r="H4" s="451">
        <f>huishoudens!H8</f>
        <v>0</v>
      </c>
      <c r="I4" s="451">
        <f>huishoudens!I8</f>
        <v>0</v>
      </c>
      <c r="J4" s="451">
        <f>huishoudens!J8</f>
        <v>0</v>
      </c>
      <c r="K4" s="451">
        <f>huishoudens!K8</f>
        <v>0</v>
      </c>
      <c r="L4" s="451">
        <f>huishoudens!L8</f>
        <v>0</v>
      </c>
      <c r="M4" s="451">
        <f>huishoudens!M8</f>
        <v>0</v>
      </c>
      <c r="N4" s="451">
        <f>huishoudens!N8</f>
        <v>25689.11975926625</v>
      </c>
      <c r="O4" s="451">
        <f>huishoudens!O8</f>
        <v>756.65333333333342</v>
      </c>
      <c r="P4" s="452">
        <f>huishoudens!P8</f>
        <v>2230.8000000000002</v>
      </c>
      <c r="Q4" s="453">
        <f>SUM(B4:P4)</f>
        <v>252937.70464158198</v>
      </c>
    </row>
    <row r="5" spans="1:17">
      <c r="A5" s="450" t="s">
        <v>155</v>
      </c>
      <c r="B5" s="451">
        <f ca="1">tertiair!B16</f>
        <v>42872.234976000007</v>
      </c>
      <c r="C5" s="451">
        <f ca="1">tertiair!C16</f>
        <v>0</v>
      </c>
      <c r="D5" s="451">
        <f ca="1">tertiair!D16</f>
        <v>51538.90195146</v>
      </c>
      <c r="E5" s="451">
        <f>tertiair!E16</f>
        <v>635.42902008004558</v>
      </c>
      <c r="F5" s="451">
        <f ca="1">tertiair!F16</f>
        <v>7842.8648962613725</v>
      </c>
      <c r="G5" s="451">
        <f>tertiair!G16</f>
        <v>0</v>
      </c>
      <c r="H5" s="451">
        <f>tertiair!H16</f>
        <v>0</v>
      </c>
      <c r="I5" s="451">
        <f>tertiair!I16</f>
        <v>0</v>
      </c>
      <c r="J5" s="451">
        <f>tertiair!J16</f>
        <v>0.16857228694804963</v>
      </c>
      <c r="K5" s="451">
        <f>tertiair!K16</f>
        <v>0</v>
      </c>
      <c r="L5" s="451">
        <f ca="1">tertiair!L16</f>
        <v>0</v>
      </c>
      <c r="M5" s="451">
        <f>tertiair!M16</f>
        <v>0</v>
      </c>
      <c r="N5" s="451">
        <f ca="1">tertiair!N16</f>
        <v>6757.9135334035773</v>
      </c>
      <c r="O5" s="451">
        <f>tertiair!O16</f>
        <v>6.2533333333333339</v>
      </c>
      <c r="P5" s="452">
        <f>tertiair!P16</f>
        <v>209.73333333333335</v>
      </c>
      <c r="Q5" s="450">
        <f t="shared" ref="Q5:Q14" ca="1" si="0">SUM(B5:P5)</f>
        <v>109863.4996161586</v>
      </c>
    </row>
    <row r="6" spans="1:17">
      <c r="A6" s="450" t="s">
        <v>193</v>
      </c>
      <c r="B6" s="451">
        <f>'openbare verlichting'!B8</f>
        <v>1931.579</v>
      </c>
      <c r="C6" s="451"/>
      <c r="D6" s="451"/>
      <c r="E6" s="451"/>
      <c r="F6" s="451"/>
      <c r="G6" s="451"/>
      <c r="H6" s="451"/>
      <c r="I6" s="451"/>
      <c r="J6" s="451"/>
      <c r="K6" s="451"/>
      <c r="L6" s="451"/>
      <c r="M6" s="451"/>
      <c r="N6" s="451"/>
      <c r="O6" s="451"/>
      <c r="P6" s="452"/>
      <c r="Q6" s="450">
        <f t="shared" si="0"/>
        <v>1931.579</v>
      </c>
    </row>
    <row r="7" spans="1:17">
      <c r="A7" s="450" t="s">
        <v>111</v>
      </c>
      <c r="B7" s="451">
        <f>landbouw!B8</f>
        <v>202.03800000000001</v>
      </c>
      <c r="C7" s="451">
        <f>landbouw!C8</f>
        <v>0</v>
      </c>
      <c r="D7" s="451">
        <f>landbouw!D8</f>
        <v>101.61481000000001</v>
      </c>
      <c r="E7" s="451">
        <f>landbouw!E8</f>
        <v>5.9385139152780617</v>
      </c>
      <c r="F7" s="451">
        <f>landbouw!F8</f>
        <v>841.67939043951742</v>
      </c>
      <c r="G7" s="451">
        <f>landbouw!G8</f>
        <v>0</v>
      </c>
      <c r="H7" s="451">
        <f>landbouw!H8</f>
        <v>0</v>
      </c>
      <c r="I7" s="451">
        <f>landbouw!I8</f>
        <v>0</v>
      </c>
      <c r="J7" s="451">
        <f>landbouw!J8</f>
        <v>29.270967384284074</v>
      </c>
      <c r="K7" s="451">
        <f>landbouw!K8</f>
        <v>0</v>
      </c>
      <c r="L7" s="451">
        <f>landbouw!L8</f>
        <v>0</v>
      </c>
      <c r="M7" s="451">
        <f>landbouw!M8</f>
        <v>0</v>
      </c>
      <c r="N7" s="451">
        <f>landbouw!N8</f>
        <v>0</v>
      </c>
      <c r="O7" s="451">
        <f>landbouw!O8</f>
        <v>0</v>
      </c>
      <c r="P7" s="452">
        <f>landbouw!P8</f>
        <v>0</v>
      </c>
      <c r="Q7" s="450">
        <f t="shared" si="0"/>
        <v>1180.5416817390796</v>
      </c>
    </row>
    <row r="8" spans="1:17">
      <c r="A8" s="450" t="s">
        <v>634</v>
      </c>
      <c r="B8" s="451">
        <f>industrie!B18</f>
        <v>36384.423069999997</v>
      </c>
      <c r="C8" s="451">
        <f>industrie!C18</f>
        <v>0</v>
      </c>
      <c r="D8" s="451">
        <f>industrie!D18</f>
        <v>61300.74813973</v>
      </c>
      <c r="E8" s="451">
        <f>industrie!E18</f>
        <v>2572.9926069085795</v>
      </c>
      <c r="F8" s="451">
        <f>industrie!F18</f>
        <v>8970.7887327496901</v>
      </c>
      <c r="G8" s="451">
        <f>industrie!G18</f>
        <v>0</v>
      </c>
      <c r="H8" s="451">
        <f>industrie!H18</f>
        <v>0</v>
      </c>
      <c r="I8" s="451">
        <f>industrie!I18</f>
        <v>0</v>
      </c>
      <c r="J8" s="451">
        <f>industrie!J18</f>
        <v>57.392970455257156</v>
      </c>
      <c r="K8" s="451">
        <f>industrie!K18</f>
        <v>0</v>
      </c>
      <c r="L8" s="451">
        <f>industrie!L18</f>
        <v>0</v>
      </c>
      <c r="M8" s="451">
        <f>industrie!M18</f>
        <v>0</v>
      </c>
      <c r="N8" s="451">
        <f>industrie!N18</f>
        <v>2560.900240134476</v>
      </c>
      <c r="O8" s="451">
        <f>industrie!O18</f>
        <v>0</v>
      </c>
      <c r="P8" s="452">
        <f>industrie!P18</f>
        <v>0</v>
      </c>
      <c r="Q8" s="450">
        <f t="shared" si="0"/>
        <v>111847.245759978</v>
      </c>
    </row>
    <row r="9" spans="1:17" s="456" customFormat="1">
      <c r="A9" s="454" t="s">
        <v>560</v>
      </c>
      <c r="B9" s="455">
        <f>transport!B14</f>
        <v>105.01536525928996</v>
      </c>
      <c r="C9" s="455">
        <f>transport!C14</f>
        <v>0</v>
      </c>
      <c r="D9" s="455">
        <f>transport!D14</f>
        <v>292.87255191329348</v>
      </c>
      <c r="E9" s="455">
        <f>transport!E14</f>
        <v>556.25899203074471</v>
      </c>
      <c r="F9" s="455">
        <f>transport!F14</f>
        <v>0</v>
      </c>
      <c r="G9" s="455">
        <f>transport!G14</f>
        <v>244370.01106024609</v>
      </c>
      <c r="H9" s="455">
        <f>transport!H14</f>
        <v>50523.603843776553</v>
      </c>
      <c r="I9" s="455">
        <f>transport!I14</f>
        <v>0</v>
      </c>
      <c r="J9" s="455">
        <f>transport!J14</f>
        <v>0</v>
      </c>
      <c r="K9" s="455">
        <f>transport!K14</f>
        <v>0</v>
      </c>
      <c r="L9" s="455">
        <f>transport!L14</f>
        <v>0</v>
      </c>
      <c r="M9" s="455">
        <f>transport!M14</f>
        <v>15764.85150226224</v>
      </c>
      <c r="N9" s="455">
        <f>transport!N14</f>
        <v>0</v>
      </c>
      <c r="O9" s="455">
        <f>transport!O14</f>
        <v>0</v>
      </c>
      <c r="P9" s="455">
        <f>transport!P14</f>
        <v>0</v>
      </c>
      <c r="Q9" s="454">
        <f>SUM(B9:P9)</f>
        <v>311612.61331548821</v>
      </c>
    </row>
    <row r="10" spans="1:17">
      <c r="A10" s="450" t="s">
        <v>550</v>
      </c>
      <c r="B10" s="451">
        <f>transport!B54</f>
        <v>0</v>
      </c>
      <c r="C10" s="451">
        <f>transport!C54</f>
        <v>0</v>
      </c>
      <c r="D10" s="451">
        <f>transport!D54</f>
        <v>0</v>
      </c>
      <c r="E10" s="451">
        <f>transport!E54</f>
        <v>0</v>
      </c>
      <c r="F10" s="451">
        <f>transport!F54</f>
        <v>0</v>
      </c>
      <c r="G10" s="451">
        <f>transport!G54</f>
        <v>3114.9554689698753</v>
      </c>
      <c r="H10" s="451">
        <f>transport!H54</f>
        <v>0</v>
      </c>
      <c r="I10" s="451">
        <f>transport!I54</f>
        <v>0</v>
      </c>
      <c r="J10" s="451">
        <f>transport!J54</f>
        <v>0</v>
      </c>
      <c r="K10" s="451">
        <f>transport!K54</f>
        <v>0</v>
      </c>
      <c r="L10" s="451">
        <f>transport!L54</f>
        <v>0</v>
      </c>
      <c r="M10" s="451">
        <f>transport!M54</f>
        <v>176.90235536638789</v>
      </c>
      <c r="N10" s="451">
        <f>transport!N54</f>
        <v>0</v>
      </c>
      <c r="O10" s="451">
        <f>transport!O54</f>
        <v>0</v>
      </c>
      <c r="P10" s="452">
        <f>transport!P54</f>
        <v>0</v>
      </c>
      <c r="Q10" s="450">
        <f t="shared" si="0"/>
        <v>3291.8578243362631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5449.4509639999997</v>
      </c>
      <c r="C14" s="458"/>
      <c r="D14" s="458">
        <f>'SEAP template'!E25</f>
        <v>3003.7264</v>
      </c>
      <c r="E14" s="458"/>
      <c r="F14" s="458"/>
      <c r="G14" s="458"/>
      <c r="H14" s="458"/>
      <c r="I14" s="458"/>
      <c r="J14" s="458"/>
      <c r="K14" s="458"/>
      <c r="L14" s="458"/>
      <c r="M14" s="458"/>
      <c r="N14" s="458"/>
      <c r="O14" s="458"/>
      <c r="P14" s="459"/>
      <c r="Q14" s="450">
        <f t="shared" si="0"/>
        <v>8453.1773639999992</v>
      </c>
    </row>
    <row r="15" spans="1:17" s="460" customFormat="1">
      <c r="A15" s="1005" t="s">
        <v>554</v>
      </c>
      <c r="B15" s="953">
        <f ca="1">SUM(B4:B14)</f>
        <v>137545.10252911353</v>
      </c>
      <c r="C15" s="953">
        <f t="shared" ref="C15:Q15" ca="1" si="1">SUM(C4:C14)</f>
        <v>0</v>
      </c>
      <c r="D15" s="953">
        <f t="shared" ca="1" si="1"/>
        <v>207608.41816220328</v>
      </c>
      <c r="E15" s="953">
        <f t="shared" si="1"/>
        <v>18968.237992517399</v>
      </c>
      <c r="F15" s="953">
        <f t="shared" ca="1" si="1"/>
        <v>84747.930245895957</v>
      </c>
      <c r="G15" s="953">
        <f t="shared" si="1"/>
        <v>247484.96652921598</v>
      </c>
      <c r="H15" s="953">
        <f t="shared" si="1"/>
        <v>50523.603843776553</v>
      </c>
      <c r="I15" s="953">
        <f t="shared" si="1"/>
        <v>0</v>
      </c>
      <c r="J15" s="953">
        <f t="shared" si="1"/>
        <v>86.832510126489282</v>
      </c>
      <c r="K15" s="953">
        <f t="shared" si="1"/>
        <v>0</v>
      </c>
      <c r="L15" s="953">
        <f t="shared" ca="1" si="1"/>
        <v>0</v>
      </c>
      <c r="M15" s="953">
        <f t="shared" si="1"/>
        <v>15941.753857628628</v>
      </c>
      <c r="N15" s="953">
        <f t="shared" ca="1" si="1"/>
        <v>35007.933532804302</v>
      </c>
      <c r="O15" s="953">
        <f t="shared" si="1"/>
        <v>762.90666666666675</v>
      </c>
      <c r="P15" s="953">
        <f t="shared" si="1"/>
        <v>2440.5333333333338</v>
      </c>
      <c r="Q15" s="953">
        <f t="shared" ca="1" si="1"/>
        <v>801118.21920328226</v>
      </c>
    </row>
    <row r="17" spans="1:17">
      <c r="A17" s="461" t="s">
        <v>555</v>
      </c>
      <c r="B17" s="760">
        <f ca="1">huishoudens!B10</f>
        <v>0.16413602445119291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8305.3421155882115</v>
      </c>
      <c r="C22" s="451">
        <f t="shared" ref="C22:C32" ca="1" si="3">C4*$C$17</f>
        <v>0</v>
      </c>
      <c r="D22" s="451">
        <f t="shared" ref="D22:D32" si="4">D4*$D$17</f>
        <v>18456.851970438202</v>
      </c>
      <c r="E22" s="451">
        <f t="shared" ref="E22:E32" si="5">E4*$E$17</f>
        <v>3449.8594811252847</v>
      </c>
      <c r="F22" s="451">
        <f t="shared" ref="F22:F32" si="6">F4*$F$17</f>
        <v>17913.723459460918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48125.777026612617</v>
      </c>
    </row>
    <row r="23" spans="1:17">
      <c r="A23" s="450" t="s">
        <v>155</v>
      </c>
      <c r="B23" s="451">
        <f t="shared" ca="1" si="2"/>
        <v>7036.8782082980251</v>
      </c>
      <c r="C23" s="451">
        <f t="shared" ca="1" si="3"/>
        <v>0</v>
      </c>
      <c r="D23" s="451">
        <f t="shared" ca="1" si="4"/>
        <v>10410.858194194921</v>
      </c>
      <c r="E23" s="451">
        <f t="shared" si="5"/>
        <v>144.24238755817035</v>
      </c>
      <c r="F23" s="451">
        <f t="shared" ca="1" si="6"/>
        <v>2094.0449273017866</v>
      </c>
      <c r="G23" s="451">
        <f t="shared" si="7"/>
        <v>0</v>
      </c>
      <c r="H23" s="451">
        <f t="shared" si="8"/>
        <v>0</v>
      </c>
      <c r="I23" s="451">
        <f t="shared" si="9"/>
        <v>0</v>
      </c>
      <c r="J23" s="451">
        <f t="shared" si="10"/>
        <v>5.9674589579609562E-2</v>
      </c>
      <c r="K23" s="451">
        <f t="shared" si="11"/>
        <v>0</v>
      </c>
      <c r="L23" s="451">
        <f t="shared" ca="1" si="12"/>
        <v>0</v>
      </c>
      <c r="M23" s="451">
        <f t="shared" si="13"/>
        <v>0</v>
      </c>
      <c r="N23" s="451">
        <f t="shared" ca="1" si="14"/>
        <v>0</v>
      </c>
      <c r="O23" s="451">
        <f t="shared" si="15"/>
        <v>0</v>
      </c>
      <c r="P23" s="452">
        <f t="shared" si="16"/>
        <v>0</v>
      </c>
      <c r="Q23" s="450">
        <f t="shared" ref="Q23:Q32" ca="1" si="17">SUM(B23:P23)</f>
        <v>19686.083391942484</v>
      </c>
    </row>
    <row r="24" spans="1:17">
      <c r="A24" s="450" t="s">
        <v>193</v>
      </c>
      <c r="B24" s="451">
        <f t="shared" ca="1" si="2"/>
        <v>317.04169797341075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317.04169797341075</v>
      </c>
    </row>
    <row r="25" spans="1:17">
      <c r="A25" s="450" t="s">
        <v>111</v>
      </c>
      <c r="B25" s="451">
        <f t="shared" ca="1" si="2"/>
        <v>33.161714108070115</v>
      </c>
      <c r="C25" s="451">
        <f t="shared" ca="1" si="3"/>
        <v>0</v>
      </c>
      <c r="D25" s="451">
        <f t="shared" si="4"/>
        <v>20.526191620000002</v>
      </c>
      <c r="E25" s="451">
        <f t="shared" si="5"/>
        <v>1.34804265876812</v>
      </c>
      <c r="F25" s="451">
        <f t="shared" si="6"/>
        <v>224.72839724735115</v>
      </c>
      <c r="G25" s="451">
        <f t="shared" si="7"/>
        <v>0</v>
      </c>
      <c r="H25" s="451">
        <f t="shared" si="8"/>
        <v>0</v>
      </c>
      <c r="I25" s="451">
        <f t="shared" si="9"/>
        <v>0</v>
      </c>
      <c r="J25" s="451">
        <f t="shared" si="10"/>
        <v>10.361922454036561</v>
      </c>
      <c r="K25" s="451">
        <f t="shared" si="11"/>
        <v>0</v>
      </c>
      <c r="L25" s="451">
        <f t="shared" si="12"/>
        <v>0</v>
      </c>
      <c r="M25" s="451">
        <f t="shared" si="13"/>
        <v>0</v>
      </c>
      <c r="N25" s="451">
        <f t="shared" si="14"/>
        <v>0</v>
      </c>
      <c r="O25" s="451">
        <f t="shared" si="15"/>
        <v>0</v>
      </c>
      <c r="P25" s="452">
        <f t="shared" si="16"/>
        <v>0</v>
      </c>
      <c r="Q25" s="450">
        <f t="shared" ca="1" si="17"/>
        <v>290.12626808822597</v>
      </c>
    </row>
    <row r="26" spans="1:17">
      <c r="A26" s="450" t="s">
        <v>634</v>
      </c>
      <c r="B26" s="451">
        <f t="shared" ca="1" si="2"/>
        <v>5971.9945546600666</v>
      </c>
      <c r="C26" s="451">
        <f t="shared" ca="1" si="3"/>
        <v>0</v>
      </c>
      <c r="D26" s="451">
        <f t="shared" si="4"/>
        <v>12382.75112422546</v>
      </c>
      <c r="E26" s="451">
        <f t="shared" si="5"/>
        <v>584.06932176824762</v>
      </c>
      <c r="F26" s="451">
        <f t="shared" si="6"/>
        <v>2395.2005916441676</v>
      </c>
      <c r="G26" s="451">
        <f t="shared" si="7"/>
        <v>0</v>
      </c>
      <c r="H26" s="451">
        <f t="shared" si="8"/>
        <v>0</v>
      </c>
      <c r="I26" s="451">
        <f t="shared" si="9"/>
        <v>0</v>
      </c>
      <c r="J26" s="451">
        <f t="shared" si="10"/>
        <v>20.317111541161033</v>
      </c>
      <c r="K26" s="451">
        <f t="shared" si="11"/>
        <v>0</v>
      </c>
      <c r="L26" s="451">
        <f t="shared" si="12"/>
        <v>0</v>
      </c>
      <c r="M26" s="451">
        <f t="shared" si="13"/>
        <v>0</v>
      </c>
      <c r="N26" s="451">
        <f t="shared" si="14"/>
        <v>0</v>
      </c>
      <c r="O26" s="451">
        <f t="shared" si="15"/>
        <v>0</v>
      </c>
      <c r="P26" s="452">
        <f t="shared" si="16"/>
        <v>0</v>
      </c>
      <c r="Q26" s="450">
        <f t="shared" ca="1" si="17"/>
        <v>21354.332703839103</v>
      </c>
    </row>
    <row r="27" spans="1:17" s="456" customFormat="1">
      <c r="A27" s="454" t="s">
        <v>560</v>
      </c>
      <c r="B27" s="754">
        <f t="shared" ca="1" si="2"/>
        <v>17.236804559949771</v>
      </c>
      <c r="C27" s="455">
        <f t="shared" ca="1" si="3"/>
        <v>0</v>
      </c>
      <c r="D27" s="455">
        <f t="shared" si="4"/>
        <v>59.160255486485283</v>
      </c>
      <c r="E27" s="455">
        <f t="shared" si="5"/>
        <v>126.27079119097905</v>
      </c>
      <c r="F27" s="455">
        <f t="shared" si="6"/>
        <v>0</v>
      </c>
      <c r="G27" s="455">
        <f t="shared" si="7"/>
        <v>65246.792953085707</v>
      </c>
      <c r="H27" s="455">
        <f t="shared" si="8"/>
        <v>12580.377357100362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78029.838161423482</v>
      </c>
    </row>
    <row r="28" spans="1:17">
      <c r="A28" s="450" t="s">
        <v>550</v>
      </c>
      <c r="B28" s="451">
        <f t="shared" ca="1" si="2"/>
        <v>0</v>
      </c>
      <c r="C28" s="451">
        <f t="shared" ca="1" si="3"/>
        <v>0</v>
      </c>
      <c r="D28" s="451">
        <f t="shared" si="4"/>
        <v>0</v>
      </c>
      <c r="E28" s="451">
        <f t="shared" si="5"/>
        <v>0</v>
      </c>
      <c r="F28" s="451">
        <f t="shared" si="6"/>
        <v>0</v>
      </c>
      <c r="G28" s="451">
        <f t="shared" si="7"/>
        <v>831.69311021495673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831.69311021495673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894.45121667268074</v>
      </c>
      <c r="C32" s="451">
        <f t="shared" ca="1" si="3"/>
        <v>0</v>
      </c>
      <c r="D32" s="451">
        <f t="shared" si="4"/>
        <v>606.75273279999999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1501.2039494726807</v>
      </c>
    </row>
    <row r="33" spans="1:17" s="460" customFormat="1">
      <c r="A33" s="1005" t="s">
        <v>554</v>
      </c>
      <c r="B33" s="953">
        <f ca="1">SUM(B22:B32)</f>
        <v>22576.106311860418</v>
      </c>
      <c r="C33" s="953">
        <f t="shared" ref="C33:Q33" ca="1" si="18">SUM(C22:C32)</f>
        <v>0</v>
      </c>
      <c r="D33" s="953">
        <f t="shared" ca="1" si="18"/>
        <v>41936.900468765067</v>
      </c>
      <c r="E33" s="953">
        <f t="shared" si="18"/>
        <v>4305.7900243014501</v>
      </c>
      <c r="F33" s="953">
        <f t="shared" ca="1" si="18"/>
        <v>22627.697375654225</v>
      </c>
      <c r="G33" s="953">
        <f t="shared" si="18"/>
        <v>66078.486063300661</v>
      </c>
      <c r="H33" s="953">
        <f t="shared" si="18"/>
        <v>12580.377357100362</v>
      </c>
      <c r="I33" s="953">
        <f t="shared" si="18"/>
        <v>0</v>
      </c>
      <c r="J33" s="953">
        <f t="shared" si="18"/>
        <v>30.738708584777203</v>
      </c>
      <c r="K33" s="953">
        <f t="shared" si="18"/>
        <v>0</v>
      </c>
      <c r="L33" s="953">
        <f t="shared" ca="1" si="18"/>
        <v>0</v>
      </c>
      <c r="M33" s="953">
        <f t="shared" si="18"/>
        <v>0</v>
      </c>
      <c r="N33" s="953">
        <f t="shared" ca="1" si="18"/>
        <v>0</v>
      </c>
      <c r="O33" s="953">
        <f t="shared" si="18"/>
        <v>0</v>
      </c>
      <c r="P33" s="953">
        <f t="shared" si="18"/>
        <v>0</v>
      </c>
      <c r="Q33" s="953">
        <f t="shared" ca="1" si="18"/>
        <v>170136.09630956696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10593.055970315989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24797.719355809248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35390.775326125236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0.16413602445119291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0.16413602445119291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2020-06-20T15:48:36Z</dcterms:modified>
</cp:coreProperties>
</file>