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L6" i="17" s="1"/>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I8" i="18"/>
  <c r="F49"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52" i="14"/>
  <c r="N61" i="14" s="1"/>
  <c r="E5" i="48"/>
  <c r="E23" i="48" s="1"/>
  <c r="F10" i="14"/>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<sst xmlns="http://schemas.openxmlformats.org/spreadsheetml/2006/main" count="2407" uniqueCount="894">
  <si>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</si>
  <si>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</si>
  <si>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</si>
  <si>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</si>
  <si>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</si>
  <si>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</si>
  <si>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</si>
  <si>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</si>
  <si>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</si>
  <si>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</si>
  <si>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</si>
  <si>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</si>
  <si>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</si>
  <si>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</si>
  <si>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</si>
  <si>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</si>
  <si>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</si>
  <si>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</si>
  <si>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</si>
  <si>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</si>
  <si>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</si>
  <si>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</si>
  <si>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</si>
  <si>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</si>
  <si>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</si>
  <si>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</si>
  <si>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</si>
  <si>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</si>
  <si>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</si>
  <si>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</si>
  <si>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</si>
  <si>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</si>
  <si>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</si>
  <si>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</si>
  <si>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</si>
  <si>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</si>
  <si>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</si>
  <si>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</si>
  <si>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</si>
  <si>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</si>
  <si>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</si>
  <si>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</si>
  <si>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</si>
  <si>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</si>
  <si>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</si>
  <si>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</si>
  <si>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</si>
  <si>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</si>
  <si>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</si>
  <si>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</si>
  <si>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</si>
  <si>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</si>
  <si>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</si>
  <si>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</si>
  <si>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</si>
  <si>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</si>
  <si>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</si>
  <si>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</si>
  <si>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</si>
  <si>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</si>
  <si>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</si>
  <si>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</si>
  <si>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</si>
  <si>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</si>
  <si>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</si>
  <si>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</si>
  <si>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</si>
  <si>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</si>
  <si>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</si>
  <si>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</si>
  <si>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</si>
  <si>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</si>
  <si>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</si>
  <si>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</si>
  <si>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</si>
  <si>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</si>
  <si>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</si>
  <si>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</si>
  <si>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</si>
  <si>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</si>
  <si>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</si>
  <si>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</si>
  <si>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</si>
  <si>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</si>
  <si>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</si>
  <si>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</si>
  <si>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</si>
  <si>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</si>
  <si>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</si>
  <si>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</si>
  <si>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</si>
  <si>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</si>
  <si>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</si>
  <si>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</si>
  <si>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</si>
  <si>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</si>
  <si>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</si>
  <si>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</si>
  <si>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</si>
  <si>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</si>
  <si>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</si>
  <si>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</si>
  <si>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</si>
  <si>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</si>
  <si>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</si>
  <si>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</si>
  <si>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</si>
  <si>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</si>
  <si>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</si>
  <si>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</si>
  <si>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</si>
  <si>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</si>
  <si>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</si>
  <si>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</si>
  <si>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</si>
  <si>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</si>
  <si>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</si>
  <si>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</si>
  <si>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</si>
  <si>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</si>
  <si>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</si>
  <si>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</si>
  <si>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</si>
  <si>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</si>
  <si>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</si>
  <si>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</si>
  <si>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</si>
  <si>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</si>
  <si>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</si>
  <si>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</si>
  <si>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</si>
  <si>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</si>
  <si>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</si>
  <si>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</si>
  <si>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</si>
  <si>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</si>
  <si>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</si>
  <si>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</si>
  <si>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</si>
  <si>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</si>
  <si>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</si>
  <si>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</si>
  <si>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</si>
  <si>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</si>
  <si>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</si>
  <si>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</si>
  <si>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</si>
  <si>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</si>
  <si>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</si>
  <si>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</si>
  <si>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</si>
  <si>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</si>
  <si>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</si>
  <si>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</si>
  <si>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</si>
  <si>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</si>
  <si>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</si>
  <si>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</si>
  <si>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</si>
  <si>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</si>
  <si>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</si>
  <si>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</si>
  <si>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</si>
  <si>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</si>
  <si>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</si>
  <si>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</si>
  <si>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</si>
  <si>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</si>
  <si>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</si>
  <si>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</si>
  <si>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</si>
  <si>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</si>
  <si>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</si>
  <si>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</si>
  <si>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</si>
  <si>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</si>
  <si>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</si>
  <si>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</si>
  <si>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</si>
  <si>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</si>
  <si>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</si>
  <si>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</si>
  <si>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</si>
  <si>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</si>
  <si>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</si>
  <si>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</si>
  <si>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</si>
  <si>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</si>
  <si>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</si>
  <si>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</si>
  <si>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</si>
  <si>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</si>
  <si>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</si>
  <si>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</si>
  <si>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</si>
  <si>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</si>
  <si>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</si>
  <si>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</si>
  <si>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</si>
  <si>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</si>
  <si>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</si>
  <si>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</si>
  <si>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</si>
  <si>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</si>
  <si>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</si>
  <si>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</si>
  <si>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</si>
  <si>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</si>
  <si>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</si>
  <si>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</si>
  <si>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</si>
  <si>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</si>
  <si>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</si>
  <si>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</si>
  <si>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</si>
  <si>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</si>
  <si>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</si>
  <si>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</si>
  <si>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</si>
  <si>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</si>
  <si>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</si>
  <si>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</si>
  <si>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</si>
  <si>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</si>
  <si>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</si>
  <si>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</si>
  <si>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</si>
  <si>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</si>
  <si>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</si>
  <si>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</si>
  <si>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</si>
  <si>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</si>
  <si>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</si>
  <si>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</si>
  <si>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</si>
  <si>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</si>
  <si>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</si>
  <si>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</si>
  <si>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</si>
  <si>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</si>
  <si>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</si>
  <si>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</si>
  <si>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</si>
  <si>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</si>
  <si>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</si>
  <si>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</si>
  <si>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</si>
  <si>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</si>
  <si>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</si>
  <si>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</si>
  <si>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</si>
  <si>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</si>
  <si>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</si>
  <si>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</si>
  <si>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</si>
  <si>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</si>
  <si>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</si>
  <si>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</si>
  <si>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</si>
  <si>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</si>
  <si>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</si>
  <si>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</si>
  <si>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</si>
  <si>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</si>
  <si>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</si>
  <si>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</si>
  <si>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</si>
  <si>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</si>
  <si>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</si>
  <si>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</si>
  <si>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</si>
  <si>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</si>
  <si>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</si>
  <si>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</si>
  <si>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</si>
  <si>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</si>
  <si>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</si>
  <si>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</si>
  <si>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</si>
  <si>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</si>
  <si>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</si>
  <si>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</si>
  <si>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</si>
  <si>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</si>
  <si>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</si>
  <si>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</si>
  <si>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</si>
  <si>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</si>
  <si>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</si>
  <si>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</si>
  <si>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</si>
  <si>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</si>
  <si>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</si>
  <si>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</si>
  <si>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</si>
  <si>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</si>
  <si>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</si>
  <si>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</si>
  <si>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</si>
  <si>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</si>
  <si>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</si>
  <si>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</si>
  <si>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</si>
  <si>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</si>
  <si>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</si>
  <si>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</si>
  <si>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</si>
  <si>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</si>
  <si>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</si>
  <si>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</si>
  <si>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</si>
  <si>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</si>
  <si>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</si>
  <si>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</si>
  <si>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</si>
  <si>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</si>
  <si>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</si>
  <si>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</si>
  <si>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</si>
  <si>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</si>
  <si>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</si>
  <si>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</si>
  <si>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</si>
  <si>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</si>
  <si>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</si>
  <si>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</si>
  <si>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</si>
  <si>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</si>
  <si>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</si>
  <si>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</si>
  <si>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</si>
  <si>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</si>
  <si>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</si>
  <si>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</si>
  <si>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</si>
  <si>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</si>
  <si>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</si>
  <si>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</si>
  <si>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</si>
  <si>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</si>
  <si>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</si>
  <si>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</si>
  <si>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</si>
  <si>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</si>
  <si>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</si>
  <si>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</si>
  <si>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</si>
  <si>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</si>
  <si>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</si>
  <si>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</si>
  <si>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</si>
  <si>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</si>
  <si>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</si>
  <si>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</si>
  <si>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</si>
  <si>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</si>
  <si>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</si>
  <si>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</si>
  <si>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</si>
  <si>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</si>
  <si>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</si>
  <si>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</si>
  <si>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</si>
  <si>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</si>
  <si>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</si>
  <si>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</si>
  <si>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</si>
  <si>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</si>
  <si>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</si>
  <si>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</si>
  <si>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</si>
  <si>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</si>
  <si>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</si>
  <si>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</si>
  <si>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</si>
  <si>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</si>
  <si>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</si>
  <si>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</si>
  <si>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</si>
  <si>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</si>
  <si>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</si>
  <si>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</si>
  <si>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</si>
  <si>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</si>
  <si>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</si>
  <si>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</si>
  <si>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</si>
  <si>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</si>
  <si>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</si>
  <si>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</si>
  <si>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</si>
  <si>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</si>
  <si>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</si>
  <si>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</si>
  <si>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</si>
  <si>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</si>
  <si>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</si>
  <si>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</si>
  <si>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</si>
  <si>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</si>
  <si>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</si>
  <si>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</si>
  <si>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</si>
  <si>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</si>
  <si>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</si>
  <si>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</si>
  <si>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</si>
  <si>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</si>
  <si>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</si>
  <si>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</si>
  <si>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</si>
  <si>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</si>
  <si>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</si>
  <si>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</si>
  <si>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</si>
  <si>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</si>
  <si>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</si>
  <si>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</si>
  <si>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</si>
  <si>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</si>
  <si>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</si>
  <si>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</si>
  <si>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</si>
  <si>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</si>
  <si>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</si>
  <si>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</si>
  <si>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</si>
  <si>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</si>
  <si>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</si>
  <si>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</si>
  <si>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</si>
  <si>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</si>
  <si>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</si>
  <si>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</si>
  <si>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</si>
  <si>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</si>
  <si>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</si>
  <si>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</si>
  <si>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</si>
  <si>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</si>
  <si>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</si>
  <si>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</si>
  <si>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</si>
  <si>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</si>
  <si>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</si>
  <si>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</si>
  <si>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</si>
  <si>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</si>
  <si>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</si>
  <si>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</si>
  <si>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</si>
  <si>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</si>
  <si>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</si>
  <si>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</si>
  <si>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</si>
  <si>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</si>
  <si>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</si>
  <si>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</si>
  <si>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</si>
  <si>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</si>
  <si>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</si>
  <si>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</si>
  <si>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</si>
  <si>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</si>
  <si>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</si>
  <si>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</si>
  <si>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</si>
  <si>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</si>
  <si>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</si>
  <si>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</si>
  <si>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</si>
  <si>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</si>
  <si>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</si>
  <si>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</si>
  <si>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</si>
  <si>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</si>
  <si>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</si>
  <si>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</si>
  <si>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</si>
  <si>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</si>
  <si>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</si>
  <si>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</si>
  <si>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</si>
  <si>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</si>
  <si>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</si>
  <si>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</si>
  <si>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</si>
  <si>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</si>
  <si>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</si>
  <si>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</si>
  <si>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</si>
  <si>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</si>
  <si>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</si>
  <si>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</si>
  <si>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</si>
  <si>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</si>
  <si>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</si>
  <si>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</si>
  <si>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</si>
  <si>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</si>
  <si>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</si>
  <si>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</si>
  <si>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</si>
  <si>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</si>
  <si>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</si>
  <si>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</si>
  <si>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</si>
  <si>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</si>
  <si>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</si>
  <si>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</si>
  <si>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</si>
  <si>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</si>
  <si>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</si>
  <si>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</si>
  <si>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</si>
  <si>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</si>
  <si>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</si>
  <si>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</si>
  <si>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</si>
  <si>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</si>
  <si>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</si>
  <si>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</si>
  <si>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</si>
  <si>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</si>
  <si>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</si>
  <si>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</si>
  <si>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</si>
  <si>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</si>
  <si>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</si>
  <si>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</si>
  <si>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</si>
  <si>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</si>
  <si>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</si>
  <si>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</si>
  <si>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</si>
  <si>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</si>
  <si>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</si>
  <si>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</si>
  <si>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</si>
  <si>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</si>
  <si>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</si>
  <si>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</si>
  <si>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</si>
  <si>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</si>
  <si>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</si>
  <si>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</si>
  <si>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</si>
  <si>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</si>
  <si>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</si>
  <si>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</si>
  <si>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</si>
  <si>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</si>
  <si>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</si>
  <si>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</si>
  <si>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</si>
  <si>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</si>
  <si>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</si>
  <si>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</si>
  <si>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</si>
  <si>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</si>
  <si>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</si>
  <si>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</si>
  <si>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</si>
  <si>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</si>
  <si>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</si>
  <si>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</si>
  <si>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</si>
  <si>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</si>
  <si>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</si>
  <si>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</si>
  <si>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</si>
  <si>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</si>
  <si>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</si>
  <si>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</si>
  <si>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</si>
  <si>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</si>
  <si>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</si>
  <si>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</si>
  <si>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</si>
  <si>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</si>
  <si>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</si>
  <si>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</si>
  <si>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</si>
  <si>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</si>
  <si>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</si>
  <si>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</si>
  <si>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</si>
  <si>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</si>
  <si>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</si>
  <si>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</si>
  <si>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</si>
  <si>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</si>
  <si>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</si>
  <si>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</si>
  <si>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</si>
  <si>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</si>
  <si>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</si>
  <si>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</si>
  <si>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</si>
  <si>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</si>
  <si>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</si>
  <si>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</si>
  <si>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</si>
  <si>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</si>
  <si>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</si>
  <si>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</si>
  <si>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</si>
  <si>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</si>
  <si>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</si>
  <si>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</si>
  <si>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</si>
  <si>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</si>
  <si>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</si>
  <si>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</si>
  <si>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</si>
  <si>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</si>
  <si>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</si>
  <si>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</si>
  <si>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</si>
  <si>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</si>
  <si>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</si>
  <si>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</si>
  <si>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</si>
  <si>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</si>
  <si>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</si>
  <si>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</si>
  <si>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</si>
  <si>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</si>
  <si>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</si>
  <si>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</si>
  <si>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</si>
  <si>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</si>
  <si>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</si>
  <si>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</si>
  <si>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</si>
  <si>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</si>
  <si>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</si>
  <si>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</si>
  <si>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</si>
  <si>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</si>
  <si>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</si>
  <si>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</si>
  <si>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</si>
  <si>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</si>
  <si>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</si>
  <si>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</si>
  <si>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</si>
  <si>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</si>
  <si>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</si>
  <si>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</si>
  <si>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</si>
  <si>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</si>
  <si>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</si>
  <si>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</si>
  <si>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</si>
  <si>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</si>
  <si>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</si>
  <si>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</si>
  <si>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</si>
  <si>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</si>
  <si>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</si>
  <si>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</si>
  <si>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</si>
  <si>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</si>
  <si>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</si>
  <si>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</si>
  <si>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</si>
  <si>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</si>
  <si>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</si>
  <si>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</si>
  <si>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</si>
  <si>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</si>
  <si>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</si>
  <si>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</si>
  <si>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</si>
  <si>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</si>
  <si>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</si>
  <si>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</si>
  <si>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</si>
  <si>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</si>
  <si>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</si>
  <si>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</si>
  <si>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</si>
  <si>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</si>
  <si>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</si>
  <si>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</si>
  <si>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</si>
  <si>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</si>
  <si>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</si>
  <si>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</si>
  <si>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</si>
  <si>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</si>
  <si>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</si>
  <si>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</si>
  <si>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</si>
  <si>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</si>
  <si>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</si>
  <si>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</si>
  <si>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</si>
  <si>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</si>
  <si>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</si>
  <si>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</si>
  <si>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</si>
  <si>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</si>
  <si>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</si>
  <si>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</si>
  <si>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</si>
  <si>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</si>
  <si>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</si>
  <si>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</si>
  <si>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</si>
  <si>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</si>
  <si>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</si>
  <si>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</si>
  <si>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</si>
  <si>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</si>
  <si>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</si>
  <si>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</si>
  <si>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</si>
  <si>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</si>
  <si>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</si>
  <si>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</si>
  <si>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</si>
  <si>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</si>
  <si>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</si>
  <si>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</si>
  <si>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</si>
  <si>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</si>
  <si>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</si>
  <si>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</si>
  <si>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</si>
  <si>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</si>
  <si>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</si>
  <si>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</si>
  <si>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</si>
  <si>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</si>
  <si>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</si>
  <si>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</si>
  <si>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</si>
  <si>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</si>
  <si>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</si>
  <si>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</si>
  <si>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</si>
  <si>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</si>
  <si>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</si>
  <si>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</si>
  <si>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</si>
  <si>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</si>
  <si>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</si>
  <si>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</si>
  <si>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</si>
  <si>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</si>
  <si>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</si>
  <si>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</si>
  <si>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</si>
  <si>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</si>
  <si>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</si>
  <si>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</si>
  <si>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</si>
  <si>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</si>
  <si>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</si>
  <si>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</si>
  <si>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</si>
  <si>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</si>
  <si>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</si>
  <si>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</si>
  <si>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</si>
  <si>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</si>
  <si>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</si>
  <si>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</si>
  <si>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</si>
  <si>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</si>
  <si>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</si>
  <si>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</si>
  <si>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</si>
  <si>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</si>
  <si>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</si>
  <si>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</si>
  <si>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</si>
  <si>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</si>
  <si>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</si>
  <si>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</si>
  <si>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</si>
  <si>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</si>
  <si>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</si>
  <si>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</si>
  <si>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</si>
  <si>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</si>
  <si>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</si>
  <si>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</si>
  <si>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</si>
  <si>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</si>
  <si>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</si>
  <si>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</si>
  <si>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</si>
  <si>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</si>
  <si>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</si>
  <si>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</si>
  <si>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</si>
  <si>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</si>
  <si>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</si>
  <si>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</si>
  <si>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</si>
  <si>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</si>
  <si>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</si>
  <si>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</si>
  <si>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</si>
  <si>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</si>
  <si>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</si>
  <si>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</si>
  <si>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</si>
  <si>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</si>
  <si>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</si>
  <si>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</si>
  <si>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</si>
  <si>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</si>
  <si>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</si>
  <si>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</si>
  <si>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</si>
  <si>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</si>
  <si>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</si>
  <si>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</si>
  <si>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</si>
  <si>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</si>
  <si>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</si>
  <si>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</si>
  <si>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</si>
  <si>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</si>
  <si>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</si>
  <si>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</si>
  <si>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</si>
  <si>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</si>
  <si>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</si>
  <si>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</si>
  <si>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</si>
  <si>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</si>
  <si>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</si>
  <si>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</si>
  <si>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</si>
  <si>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</si>
  <si>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</si>
  <si>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</si>
  <si>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</si>
  <si>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</si>
  <si>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</si>
  <si>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</si>
  <si>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</si>
  <si>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</si>
  <si>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</si>
  <si>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</si>
  <si>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</si>
  <si>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</si>
  <si>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</si>
  <si>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</si>
  <si>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</si>
  <si>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</si>
  <si>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</si>
  <si>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</si>
  <si>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</si>
  <si>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</si>
  <si>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</si>
  <si>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</si>
  <si>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</si>
  <si>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</si>
  <si>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</si>
  <si>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</si>
  <si>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</si>
  <si>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</si>
  <si>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</si>
  <si>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</si>
  <si>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</si>
  <si>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</si>
  <si>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</si>
  <si>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</si>
  <si>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</si>
  <si>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</si>
  <si>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</si>
  <si>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</si>
  <si>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</si>
  <si>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</si>
  <si>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</si>
  <si>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</si>
  <si>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</si>
  <si>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71069</t>
  </si>
  <si>
    <t>HAM</t>
  </si>
  <si>
    <t>Fluvius</t>
  </si>
  <si>
    <t>referentietaak LNE (2017); Jaarverslag De Lijn</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</si>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</sst>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91814.461818310621</c:v>
                </c:pt>
                <c:pt idx="1">
                  <c:v>32820.606941871694</c:v>
                </c:pt>
                <c:pt idx="2">
                  <c:v>570.84699999999998</c:v>
                </c:pt>
                <c:pt idx="3">
                  <c:v>1343.9999669364872</c:v>
                </c:pt>
                <c:pt idx="4">
                  <c:v>59010.441306045876</c:v>
                </c:pt>
                <c:pt idx="5">
                  <c:v>148055.44837279545</c:v>
                </c:pt>
                <c:pt idx="6">
                  <c:v>1211.4616410802464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91814.461818310621</c:v>
                </c:pt>
                <c:pt idx="1">
                  <c:v>32820.606941871694</c:v>
                </c:pt>
                <c:pt idx="2">
                  <c:v>570.84699999999998</c:v>
                </c:pt>
                <c:pt idx="3">
                  <c:v>1343.9999669364872</c:v>
                </c:pt>
                <c:pt idx="4">
                  <c:v>59010.441306045876</c:v>
                </c:pt>
                <c:pt idx="5">
                  <c:v>148055.44837279545</c:v>
                </c:pt>
                <c:pt idx="6">
                  <c:v>1211.4616410802464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14805.976831799637</c:v>
                </c:pt>
                <c:pt idx="2">
                  <c:v>4029.044203498042</c:v>
                </c:pt>
                <c:pt idx="3">
                  <c:v>26.573684878292006</c:v>
                </c:pt>
                <c:pt idx="4">
                  <c:v>304.63114790307532</c:v>
                </c:pt>
                <c:pt idx="5">
                  <c:v>4581.7637625039251</c:v>
                </c:pt>
                <c:pt idx="6">
                  <c:v>37078.171426591325</c:v>
                </c:pt>
                <c:pt idx="7">
                  <c:v>306.07770868090296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14805.976831799637</c:v>
                </c:pt>
                <c:pt idx="2">
                  <c:v>4029.044203498042</c:v>
                </c:pt>
                <c:pt idx="3">
                  <c:v>26.573684878292006</c:v>
                </c:pt>
                <c:pt idx="4">
                  <c:v>304.63114790307532</c:v>
                </c:pt>
                <c:pt idx="5">
                  <c:v>4581.7637625039251</c:v>
                </c:pt>
                <c:pt idx="6">
                  <c:v>37078.171426591325</c:v>
                </c:pt>
                <c:pt idx="7">
                  <c:v>306.07770868090296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71069</v>
      </c>
      <c r="B6" s="390"/>
      <c r="C6" s="391"/>
    </row>
    <row r="7" spans="1:7" s="388" customFormat="1" ht="15.75" customHeight="1">
      <c r="A7" s="392" t="str">
        <f>txtMunicipality</f>
        <v>HAM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4.6551326149199358E-2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4.6551326149199358E-2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4349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916.1</v>
      </c>
      <c r="C14" s="330"/>
      <c r="D14" s="330"/>
      <c r="E14" s="330"/>
      <c r="F14" s="330"/>
    </row>
    <row r="15" spans="1:6">
      <c r="A15" s="1293" t="s">
        <v>183</v>
      </c>
      <c r="B15" s="1294">
        <v>3</v>
      </c>
      <c r="C15" s="330"/>
      <c r="D15" s="330"/>
      <c r="E15" s="330"/>
      <c r="F15" s="330"/>
    </row>
    <row r="16" spans="1:6">
      <c r="A16" s="1293" t="s">
        <v>6</v>
      </c>
      <c r="B16" s="1294">
        <v>227</v>
      </c>
      <c r="C16" s="330"/>
      <c r="D16" s="330"/>
      <c r="E16" s="330"/>
      <c r="F16" s="330"/>
    </row>
    <row r="17" spans="1:6">
      <c r="A17" s="1293" t="s">
        <v>7</v>
      </c>
      <c r="B17" s="1294">
        <v>56</v>
      </c>
      <c r="C17" s="330"/>
      <c r="D17" s="330"/>
      <c r="E17" s="330"/>
      <c r="F17" s="330"/>
    </row>
    <row r="18" spans="1:6">
      <c r="A18" s="1293" t="s">
        <v>8</v>
      </c>
      <c r="B18" s="1294">
        <v>137</v>
      </c>
      <c r="C18" s="330"/>
      <c r="D18" s="330"/>
      <c r="E18" s="330"/>
      <c r="F18" s="330"/>
    </row>
    <row r="19" spans="1:6">
      <c r="A19" s="1293" t="s">
        <v>9</v>
      </c>
      <c r="B19" s="1294">
        <v>268</v>
      </c>
      <c r="C19" s="330"/>
      <c r="D19" s="330"/>
      <c r="E19" s="330"/>
      <c r="F19" s="330"/>
    </row>
    <row r="20" spans="1:6">
      <c r="A20" s="1293" t="s">
        <v>10</v>
      </c>
      <c r="B20" s="1294">
        <v>74</v>
      </c>
      <c r="C20" s="330"/>
      <c r="D20" s="330"/>
      <c r="E20" s="330"/>
      <c r="F20" s="330"/>
    </row>
    <row r="21" spans="1:6">
      <c r="A21" s="1293" t="s">
        <v>11</v>
      </c>
      <c r="B21" s="1294">
        <v>0</v>
      </c>
      <c r="C21" s="330"/>
      <c r="D21" s="330"/>
      <c r="E21" s="330"/>
      <c r="F21" s="330"/>
    </row>
    <row r="22" spans="1:6">
      <c r="A22" s="1293" t="s">
        <v>12</v>
      </c>
      <c r="B22" s="1294">
        <v>96</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104</v>
      </c>
      <c r="C26" s="330"/>
      <c r="D26" s="330"/>
      <c r="E26" s="330"/>
      <c r="F26" s="330"/>
    </row>
    <row r="27" spans="1:6">
      <c r="A27" s="1293" t="s">
        <v>17</v>
      </c>
      <c r="B27" s="1294">
        <v>3</v>
      </c>
      <c r="C27" s="330"/>
      <c r="D27" s="330"/>
      <c r="E27" s="330"/>
      <c r="F27" s="330"/>
    </row>
    <row r="28" spans="1:6" s="43" customFormat="1">
      <c r="A28" s="1295" t="s">
        <v>18</v>
      </c>
      <c r="B28" s="1296">
        <v>33874</v>
      </c>
      <c r="C28" s="336"/>
      <c r="D28" s="336"/>
      <c r="E28" s="336"/>
      <c r="F28" s="336"/>
    </row>
    <row r="29" spans="1:6">
      <c r="A29" s="1295" t="s">
        <v>734</v>
      </c>
      <c r="B29" s="1296">
        <v>90</v>
      </c>
      <c r="C29" s="336"/>
      <c r="D29" s="336"/>
      <c r="E29" s="336"/>
      <c r="F29" s="336"/>
    </row>
    <row r="30" spans="1:6">
      <c r="A30" s="1288" t="s">
        <v>735</v>
      </c>
      <c r="B30" s="1297">
        <v>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6</v>
      </c>
      <c r="F36" s="1294">
        <v>402255</v>
      </c>
    </row>
    <row r="37" spans="1:6">
      <c r="A37" s="1293" t="s">
        <v>24</v>
      </c>
      <c r="B37" s="1293" t="s">
        <v>27</v>
      </c>
      <c r="C37" s="1294">
        <v>0</v>
      </c>
      <c r="D37" s="1294">
        <v>0</v>
      </c>
      <c r="E37" s="1294">
        <v>0</v>
      </c>
      <c r="F37" s="1294">
        <v>0</v>
      </c>
    </row>
    <row r="38" spans="1:6">
      <c r="A38" s="1293" t="s">
        <v>24</v>
      </c>
      <c r="B38" s="1293" t="s">
        <v>28</v>
      </c>
      <c r="C38" s="1294">
        <v>1</v>
      </c>
      <c r="D38" s="1294">
        <v>13312</v>
      </c>
      <c r="E38" s="1294">
        <v>2</v>
      </c>
      <c r="F38" s="1294">
        <v>2475</v>
      </c>
    </row>
    <row r="39" spans="1:6">
      <c r="A39" s="1293" t="s">
        <v>29</v>
      </c>
      <c r="B39" s="1293" t="s">
        <v>30</v>
      </c>
      <c r="C39" s="1294">
        <v>2210</v>
      </c>
      <c r="D39" s="1294">
        <v>30884779.899999999</v>
      </c>
      <c r="E39" s="1294">
        <v>4382</v>
      </c>
      <c r="F39" s="1294">
        <v>13690852.25</v>
      </c>
    </row>
    <row r="40" spans="1:6">
      <c r="A40" s="1293" t="s">
        <v>29</v>
      </c>
      <c r="B40" s="1293" t="s">
        <v>28</v>
      </c>
      <c r="C40" s="1294">
        <v>0</v>
      </c>
      <c r="D40" s="1294">
        <v>0</v>
      </c>
      <c r="E40" s="1294">
        <v>0</v>
      </c>
      <c r="F40" s="1294">
        <v>0</v>
      </c>
    </row>
    <row r="41" spans="1:6">
      <c r="A41" s="1293" t="s">
        <v>31</v>
      </c>
      <c r="B41" s="1293" t="s">
        <v>32</v>
      </c>
      <c r="C41" s="1294">
        <v>43</v>
      </c>
      <c r="D41" s="1294">
        <v>991838.7</v>
      </c>
      <c r="E41" s="1294">
        <v>87</v>
      </c>
      <c r="F41" s="1294">
        <v>886992.48100000003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66150</v>
      </c>
      <c r="E44" s="1294">
        <v>11</v>
      </c>
      <c r="F44" s="1294">
        <v>244904</v>
      </c>
    </row>
    <row r="45" spans="1:6">
      <c r="A45" s="1293" t="s">
        <v>31</v>
      </c>
      <c r="B45" s="1293" t="s">
        <v>36</v>
      </c>
      <c r="C45" s="1294">
        <v>0</v>
      </c>
      <c r="D45" s="1294">
        <v>0</v>
      </c>
      <c r="E45" s="1294">
        <v>6</v>
      </c>
      <c r="F45" s="1294">
        <v>2221851.1039999998</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5</v>
      </c>
      <c r="D48" s="1294">
        <v>9198554</v>
      </c>
      <c r="E48" s="1294">
        <v>4</v>
      </c>
      <c r="F48" s="1294">
        <v>23490</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334571</v>
      </c>
    </row>
    <row r="51" spans="1:6">
      <c r="A51" s="1293" t="s">
        <v>41</v>
      </c>
      <c r="B51" s="1293" t="s">
        <v>42</v>
      </c>
      <c r="C51" s="1294">
        <v>3</v>
      </c>
      <c r="D51" s="1294">
        <v>69098</v>
      </c>
      <c r="E51" s="1294">
        <v>16</v>
      </c>
      <c r="F51" s="1294">
        <v>240004</v>
      </c>
    </row>
    <row r="52" spans="1:6">
      <c r="A52" s="1293" t="s">
        <v>41</v>
      </c>
      <c r="B52" s="1293" t="s">
        <v>28</v>
      </c>
      <c r="C52" s="1294">
        <v>0</v>
      </c>
      <c r="D52" s="1294">
        <v>0</v>
      </c>
      <c r="E52" s="1294">
        <v>0</v>
      </c>
      <c r="F52" s="1294">
        <v>0</v>
      </c>
    </row>
    <row r="53" spans="1:6">
      <c r="A53" s="1293" t="s">
        <v>43</v>
      </c>
      <c r="B53" s="1293" t="s">
        <v>44</v>
      </c>
      <c r="C53" s="1294">
        <v>32</v>
      </c>
      <c r="D53" s="1294">
        <v>604548.9</v>
      </c>
      <c r="E53" s="1294">
        <v>85</v>
      </c>
      <c r="F53" s="1294">
        <v>323585.34999999998</v>
      </c>
    </row>
    <row r="54" spans="1:6">
      <c r="A54" s="1293" t="s">
        <v>45</v>
      </c>
      <c r="B54" s="1293" t="s">
        <v>46</v>
      </c>
      <c r="C54" s="1294">
        <v>0</v>
      </c>
      <c r="D54" s="1294">
        <v>0</v>
      </c>
      <c r="E54" s="1294">
        <v>2</v>
      </c>
      <c r="F54" s="1294">
        <v>570847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22</v>
      </c>
      <c r="D57" s="1294">
        <v>1535318</v>
      </c>
      <c r="E57" s="1294">
        <v>60</v>
      </c>
      <c r="F57" s="1294">
        <v>948535.54399999999</v>
      </c>
    </row>
    <row r="58" spans="1:6">
      <c r="A58" s="1293" t="s">
        <v>48</v>
      </c>
      <c r="B58" s="1293" t="s">
        <v>50</v>
      </c>
      <c r="C58" s="1294">
        <v>15</v>
      </c>
      <c r="D58" s="1294">
        <v>1032333</v>
      </c>
      <c r="E58" s="1294">
        <v>22</v>
      </c>
      <c r="F58" s="1294">
        <v>360928</v>
      </c>
    </row>
    <row r="59" spans="1:6">
      <c r="A59" s="1293" t="s">
        <v>48</v>
      </c>
      <c r="B59" s="1293" t="s">
        <v>51</v>
      </c>
      <c r="C59" s="1294">
        <v>38</v>
      </c>
      <c r="D59" s="1294">
        <v>1444666</v>
      </c>
      <c r="E59" s="1294">
        <v>120</v>
      </c>
      <c r="F59" s="1294">
        <v>5437227.7999999998</v>
      </c>
    </row>
    <row r="60" spans="1:6">
      <c r="A60" s="1293" t="s">
        <v>48</v>
      </c>
      <c r="B60" s="1293" t="s">
        <v>52</v>
      </c>
      <c r="C60" s="1294">
        <v>26</v>
      </c>
      <c r="D60" s="1294">
        <v>1078186.7</v>
      </c>
      <c r="E60" s="1294">
        <v>45</v>
      </c>
      <c r="F60" s="1294">
        <v>895549.55</v>
      </c>
    </row>
    <row r="61" spans="1:6">
      <c r="A61" s="1293" t="s">
        <v>48</v>
      </c>
      <c r="B61" s="1293" t="s">
        <v>53</v>
      </c>
      <c r="C61" s="1294">
        <v>54</v>
      </c>
      <c r="D61" s="1294">
        <v>7557139.1900000004</v>
      </c>
      <c r="E61" s="1294">
        <v>110</v>
      </c>
      <c r="F61" s="1294">
        <v>9129100.5500000007</v>
      </c>
    </row>
    <row r="62" spans="1:6">
      <c r="A62" s="1293" t="s">
        <v>48</v>
      </c>
      <c r="B62" s="1293" t="s">
        <v>54</v>
      </c>
      <c r="C62" s="1294">
        <v>8</v>
      </c>
      <c r="D62" s="1294">
        <v>706001</v>
      </c>
      <c r="E62" s="1294">
        <v>8</v>
      </c>
      <c r="F62" s="1294">
        <v>108590</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194464</v>
      </c>
      <c r="E65" s="1294">
        <v>0</v>
      </c>
      <c r="F65" s="1294">
        <v>0</v>
      </c>
    </row>
    <row r="66" spans="1:6">
      <c r="A66" s="1293" t="s">
        <v>55</v>
      </c>
      <c r="B66" s="1293" t="s">
        <v>57</v>
      </c>
      <c r="C66" s="1294">
        <v>0</v>
      </c>
      <c r="D66" s="1294">
        <v>0</v>
      </c>
      <c r="E66" s="1294">
        <v>5</v>
      </c>
      <c r="F66" s="1294">
        <v>220231</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724015.48300000001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52780730</v>
      </c>
      <c r="E73" s="449"/>
      <c r="F73" s="330"/>
    </row>
    <row r="74" spans="1:6">
      <c r="A74" s="1293" t="s">
        <v>63</v>
      </c>
      <c r="B74" s="1293" t="s">
        <v>656</v>
      </c>
      <c r="C74" s="1307" t="s">
        <v>658</v>
      </c>
      <c r="D74" s="1308">
        <v>2186137</v>
      </c>
      <c r="E74" s="449"/>
      <c r="F74" s="330"/>
    </row>
    <row r="75" spans="1:6">
      <c r="A75" s="1293" t="s">
        <v>64</v>
      </c>
      <c r="B75" s="1293" t="s">
        <v>655</v>
      </c>
      <c r="C75" s="1307" t="s">
        <v>659</v>
      </c>
      <c r="D75" s="1308">
        <v>24560687</v>
      </c>
      <c r="E75" s="449"/>
      <c r="F75" s="330"/>
    </row>
    <row r="76" spans="1:6">
      <c r="A76" s="1293" t="s">
        <v>64</v>
      </c>
      <c r="B76" s="1293" t="s">
        <v>656</v>
      </c>
      <c r="C76" s="1307" t="s">
        <v>660</v>
      </c>
      <c r="D76" s="1308">
        <v>760908</v>
      </c>
      <c r="E76" s="449"/>
      <c r="F76" s="330"/>
    </row>
    <row r="77" spans="1:6">
      <c r="A77" s="1293" t="s">
        <v>65</v>
      </c>
      <c r="B77" s="1293" t="s">
        <v>655</v>
      </c>
      <c r="C77" s="1307" t="s">
        <v>661</v>
      </c>
      <c r="D77" s="1308">
        <v>68041660</v>
      </c>
      <c r="E77" s="449"/>
      <c r="F77" s="330"/>
    </row>
    <row r="78" spans="1:6">
      <c r="A78" s="1288" t="s">
        <v>65</v>
      </c>
      <c r="B78" s="1288" t="s">
        <v>656</v>
      </c>
      <c r="C78" s="1288" t="s">
        <v>662</v>
      </c>
      <c r="D78" s="1309">
        <v>14654814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330404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2374.7337055290104</v>
      </c>
      <c r="C89" s="330"/>
      <c r="D89" s="330"/>
      <c r="E89" s="330"/>
      <c r="F89" s="330"/>
    </row>
    <row r="90" spans="1:6">
      <c r="A90" s="1293" t="s">
        <v>548</v>
      </c>
      <c r="B90" s="1294">
        <v>13951.829814562519</v>
      </c>
      <c r="C90" s="330"/>
      <c r="D90" s="330"/>
      <c r="E90" s="330"/>
      <c r="F90" s="330"/>
    </row>
    <row r="91" spans="1:6">
      <c r="A91" s="1293" t="s">
        <v>67</v>
      </c>
      <c r="B91" s="1294">
        <v>3446.3090987520991</v>
      </c>
      <c r="C91" s="330"/>
      <c r="D91" s="330"/>
      <c r="E91" s="330"/>
      <c r="F91" s="330"/>
    </row>
    <row r="92" spans="1:6">
      <c r="A92" s="1288" t="s">
        <v>68</v>
      </c>
      <c r="B92" s="1289">
        <v>1634.5325753813281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469</v>
      </c>
      <c r="C97" s="330"/>
      <c r="D97" s="330"/>
      <c r="E97" s="330"/>
      <c r="F97" s="330"/>
    </row>
    <row r="98" spans="1:6">
      <c r="A98" s="1293" t="s">
        <v>71</v>
      </c>
      <c r="B98" s="1294">
        <v>0</v>
      </c>
      <c r="C98" s="330"/>
      <c r="D98" s="330"/>
      <c r="E98" s="330"/>
      <c r="F98" s="330"/>
    </row>
    <row r="99" spans="1:6">
      <c r="A99" s="1293" t="s">
        <v>72</v>
      </c>
      <c r="B99" s="1294">
        <v>28</v>
      </c>
      <c r="C99" s="330"/>
      <c r="D99" s="330"/>
      <c r="E99" s="330"/>
      <c r="F99" s="330"/>
    </row>
    <row r="100" spans="1:6">
      <c r="A100" s="1293" t="s">
        <v>73</v>
      </c>
      <c r="B100" s="1294">
        <v>116</v>
      </c>
      <c r="C100" s="330"/>
      <c r="D100" s="330"/>
      <c r="E100" s="330"/>
      <c r="F100" s="330"/>
    </row>
    <row r="101" spans="1:6">
      <c r="A101" s="1293" t="s">
        <v>74</v>
      </c>
      <c r="B101" s="1294">
        <v>37</v>
      </c>
      <c r="C101" s="330"/>
      <c r="D101" s="330"/>
      <c r="E101" s="330"/>
      <c r="F101" s="330"/>
    </row>
    <row r="102" spans="1:6">
      <c r="A102" s="1293" t="s">
        <v>75</v>
      </c>
      <c r="B102" s="1294">
        <v>30</v>
      </c>
      <c r="C102" s="330"/>
      <c r="D102" s="330"/>
      <c r="E102" s="330"/>
      <c r="F102" s="330"/>
    </row>
    <row r="103" spans="1:6">
      <c r="A103" s="1293" t="s">
        <v>76</v>
      </c>
      <c r="B103" s="1294">
        <v>115</v>
      </c>
      <c r="C103" s="330"/>
      <c r="D103" s="330"/>
      <c r="E103" s="330"/>
      <c r="F103" s="330"/>
    </row>
    <row r="104" spans="1:6">
      <c r="A104" s="1293" t="s">
        <v>77</v>
      </c>
      <c r="B104" s="1294">
        <v>2773</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23</v>
      </c>
      <c r="C123" s="1294">
        <v>26</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152</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83101.959034222731</v>
      </c>
      <c r="C3" s="43" t="s">
        <v>169</v>
      </c>
      <c r="D3" s="43"/>
      <c r="E3" s="154"/>
      <c r="F3" s="43"/>
      <c r="G3" s="43"/>
      <c r="H3" s="43"/>
      <c r="I3" s="43"/>
      <c r="J3" s="43"/>
      <c r="K3" s="96"/>
    </row>
    <row r="4" spans="1:11">
      <c r="A4" s="358" t="s">
        <v>170</v>
      </c>
      <c r="B4" s="49">
        <f>IF(ISERROR('SEAP template'!B78+'SEAP template'!C78),0,'SEAP template'!B78+'SEAP template'!C78)</f>
        <v>65597.405194224964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4.6551326149199358E-2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570.84699999999998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570.84699999999998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4.6551326149199358E-2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26.573684878292006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13690.85225</v>
      </c>
      <c r="C5" s="17">
        <f>IF(ISERROR('Eigen informatie GS &amp; warmtenet'!B57),0,'Eigen informatie GS &amp; warmtenet'!B57)</f>
        <v>0</v>
      </c>
      <c r="D5" s="30">
        <f>(SUM(HH_hh_gas_kWh,HH_rest_gas_kWh)/1000)*0.902</f>
        <v>27858.071469799997</v>
      </c>
      <c r="E5" s="17">
        <f>B46*B57</f>
        <v>7328.2862781099539</v>
      </c>
      <c r="F5" s="17">
        <f>B51*B62</f>
        <v>25158.680983340317</v>
      </c>
      <c r="G5" s="18"/>
      <c r="H5" s="17"/>
      <c r="I5" s="17"/>
      <c r="J5" s="17">
        <f>B50*B61+C50*C61</f>
        <v>0</v>
      </c>
      <c r="K5" s="17"/>
      <c r="L5" s="17"/>
      <c r="M5" s="17"/>
      <c r="N5" s="17">
        <f>B48*B59+C48*C59</f>
        <v>13346.958404974932</v>
      </c>
      <c r="O5" s="17">
        <f>B69*B70*B71</f>
        <v>279.8366666666667</v>
      </c>
      <c r="P5" s="17">
        <f>B77*B78*B79/1000-B77*B78*B79/1000/B80</f>
        <v>705.4666666666667</v>
      </c>
    </row>
    <row r="6" spans="1:16">
      <c r="A6" s="16" t="s">
        <v>620</v>
      </c>
      <c r="B6" s="762">
        <f>kWh_PV_kleiner_dan_10kW</f>
        <v>3446.3090987520991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17137.161348752099</v>
      </c>
      <c r="C8" s="21">
        <f>C5</f>
        <v>0</v>
      </c>
      <c r="D8" s="21">
        <f>D5</f>
        <v>27858.071469799997</v>
      </c>
      <c r="E8" s="21">
        <f>E5</f>
        <v>7328.2862781099539</v>
      </c>
      <c r="F8" s="21">
        <f>F5</f>
        <v>25158.680983340317</v>
      </c>
      <c r="G8" s="21"/>
      <c r="H8" s="21"/>
      <c r="I8" s="21"/>
      <c r="J8" s="21">
        <f>J5</f>
        <v>0</v>
      </c>
      <c r="K8" s="21"/>
      <c r="L8" s="21">
        <f>L5</f>
        <v>0</v>
      </c>
      <c r="M8" s="21">
        <f>M5</f>
        <v>0</v>
      </c>
      <c r="N8" s="21">
        <f>N5</f>
        <v>13346.958404974932</v>
      </c>
      <c r="O8" s="21">
        <f>O5</f>
        <v>279.8366666666667</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4.6551326149199358E-2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797.75758721721218</v>
      </c>
      <c r="C12" s="23">
        <f ca="1">C10*C8</f>
        <v>0</v>
      </c>
      <c r="D12" s="23">
        <f>D8*D10</f>
        <v>5627.3304368995996</v>
      </c>
      <c r="E12" s="23">
        <f>E10*E8</f>
        <v>1663.5209851309596</v>
      </c>
      <c r="F12" s="23">
        <f>F10*F8</f>
        <v>6717.3678225518652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469</v>
      </c>
      <c r="C18" s="166" t="s">
        <v>110</v>
      </c>
      <c r="D18" s="228"/>
      <c r="E18" s="15"/>
    </row>
    <row r="19" spans="1:7">
      <c r="A19" s="171" t="s">
        <v>71</v>
      </c>
      <c r="B19" s="37">
        <f>aantalw2001_ander</f>
        <v>0</v>
      </c>
      <c r="C19" s="166" t="s">
        <v>110</v>
      </c>
      <c r="D19" s="229"/>
      <c r="E19" s="15"/>
    </row>
    <row r="20" spans="1:7">
      <c r="A20" s="171" t="s">
        <v>72</v>
      </c>
      <c r="B20" s="37">
        <f>aantalw2001_propaan</f>
        <v>28</v>
      </c>
      <c r="C20" s="167">
        <f>IF(ISERROR(B20/SUM($B$20,$B$21,$B$22)*100),0,B20/SUM($B$20,$B$21,$B$22)*100)</f>
        <v>15.469613259668508</v>
      </c>
      <c r="D20" s="229"/>
      <c r="E20" s="15"/>
    </row>
    <row r="21" spans="1:7">
      <c r="A21" s="171" t="s">
        <v>73</v>
      </c>
      <c r="B21" s="37">
        <f>aantalw2001_elektriciteit</f>
        <v>116</v>
      </c>
      <c r="C21" s="167">
        <f>IF(ISERROR(B21/SUM($B$20,$B$21,$B$22)*100),0,B21/SUM($B$20,$B$21,$B$22)*100)</f>
        <v>64.088397790055254</v>
      </c>
      <c r="D21" s="229"/>
      <c r="E21" s="15"/>
    </row>
    <row r="22" spans="1:7">
      <c r="A22" s="171" t="s">
        <v>74</v>
      </c>
      <c r="B22" s="37">
        <f>aantalw2001_hout</f>
        <v>37</v>
      </c>
      <c r="C22" s="167">
        <f>IF(ISERROR(B22/SUM($B$20,$B$21,$B$22)*100),0,B22/SUM($B$20,$B$21,$B$22)*100)</f>
        <v>20.441988950276244</v>
      </c>
      <c r="D22" s="229"/>
      <c r="E22" s="15"/>
    </row>
    <row r="23" spans="1:7">
      <c r="A23" s="171" t="s">
        <v>75</v>
      </c>
      <c r="B23" s="37">
        <f>aantalw2001_niet_gespec</f>
        <v>30</v>
      </c>
      <c r="C23" s="166" t="s">
        <v>110</v>
      </c>
      <c r="D23" s="228"/>
      <c r="E23" s="15"/>
    </row>
    <row r="24" spans="1:7">
      <c r="A24" s="171" t="s">
        <v>76</v>
      </c>
      <c r="B24" s="37">
        <f>aantalw2001_steenkool</f>
        <v>115</v>
      </c>
      <c r="C24" s="166" t="s">
        <v>110</v>
      </c>
      <c r="D24" s="229"/>
      <c r="E24" s="15"/>
    </row>
    <row r="25" spans="1:7">
      <c r="A25" s="171" t="s">
        <v>77</v>
      </c>
      <c r="B25" s="37">
        <f>aantalw2001_stookolie</f>
        <v>2773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4349</v>
      </c>
      <c r="C28" s="36"/>
      <c r="D28" s="228"/>
    </row>
    <row r="29" spans="1:7" s="15" customFormat="1">
      <c r="A29" s="230" t="s">
        <v>781</v>
      </c>
      <c r="B29" s="37">
        <f>SUM(HH_hh_gas_aantal,HH_rest_gas_aantal)</f>
        <v>2210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2210</v>
      </c>
      <c r="C32" s="167">
        <f>IF(ISERROR(B32/SUM($B$32,$B$34,$B$35,$B$36,$B$38,$B$39)*100),0,B32/SUM($B$32,$B$34,$B$35,$B$36,$B$38,$B$39)*100)</f>
        <v>51.252319109461965</v>
      </c>
      <c r="D32" s="233"/>
      <c r="G32" s="15"/>
    </row>
    <row r="33" spans="1:7">
      <c r="A33" s="171" t="s">
        <v>71</v>
      </c>
      <c r="B33" s="34" t="s">
        <v>110</v>
      </c>
      <c r="C33" s="167"/>
      <c r="D33" s="233"/>
      <c r="G33" s="15"/>
    </row>
    <row r="34" spans="1:7">
      <c r="A34" s="171" t="s">
        <v>72</v>
      </c>
      <c r="B34" s="33">
        <f>IF((($B$28-$B$32-$B$39-$B$77-$B$38)*C20/100)&lt;0,0,($B$28-$B$32-$B$39-$B$77-$B$38)*C20/100)</f>
        <v>138.59226519337017</v>
      </c>
      <c r="C34" s="167">
        <f>IF(ISERROR(B34/SUM($B$32,$B$34,$B$35,$B$36,$B$38,$B$39)*100),0,B34/SUM($B$32,$B$34,$B$35,$B$36,$B$38,$B$39)*100)</f>
        <v>3.2141063356532968</v>
      </c>
      <c r="D34" s="233"/>
      <c r="G34" s="15"/>
    </row>
    <row r="35" spans="1:7">
      <c r="A35" s="171" t="s">
        <v>73</v>
      </c>
      <c r="B35" s="33">
        <f>IF((($B$28-$B$32-$B$39-$B$77-$B$38)*C21/100)&lt;0,0,($B$28-$B$32-$B$39-$B$77-$B$38)*C21/100)</f>
        <v>574.16795580110511</v>
      </c>
      <c r="C35" s="167">
        <f>IF(ISERROR(B35/SUM($B$32,$B$34,$B$35,$B$36,$B$38,$B$39)*100),0,B35/SUM($B$32,$B$34,$B$35,$B$36,$B$38,$B$39)*100)</f>
        <v>13.315583390563662</v>
      </c>
      <c r="D35" s="233"/>
      <c r="G35" s="15"/>
    </row>
    <row r="36" spans="1:7">
      <c r="A36" s="171" t="s">
        <v>74</v>
      </c>
      <c r="B36" s="33">
        <f>IF((($B$28-$B$32-$B$39-$B$77-$B$38)*C22/100)&lt;0,0,($B$28-$B$32-$B$39-$B$77-$B$38)*C22/100)</f>
        <v>183.13977900552487</v>
      </c>
      <c r="C36" s="167">
        <f>IF(ISERROR(B36/SUM($B$32,$B$34,$B$35,$B$36,$B$38,$B$39)*100),0,B36/SUM($B$32,$B$34,$B$35,$B$36,$B$38,$B$39)*100)</f>
        <v>4.2472119435418572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1206.0999999999999</v>
      </c>
      <c r="C39" s="167">
        <f>IF(ISERROR(B39/SUM($B$32,$B$34,$B$35,$B$36,$B$38,$B$39)*100),0,B39/SUM($B$32,$B$34,$B$35,$B$36,$B$38,$B$39)*100)</f>
        <v>27.970779220779217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2210</v>
      </c>
      <c r="C44" s="34" t="s">
        <v>110</v>
      </c>
      <c r="D44" s="174"/>
    </row>
    <row r="45" spans="1:7">
      <c r="A45" s="171" t="s">
        <v>71</v>
      </c>
      <c r="B45" s="33" t="str">
        <f t="shared" si="0"/>
        <v>-</v>
      </c>
      <c r="C45" s="34" t="s">
        <v>110</v>
      </c>
      <c r="D45" s="174"/>
    </row>
    <row r="46" spans="1:7">
      <c r="A46" s="171" t="s">
        <v>72</v>
      </c>
      <c r="B46" s="33">
        <f t="shared" si="0"/>
        <v>138.59226519337017</v>
      </c>
      <c r="C46" s="34" t="s">
        <v>110</v>
      </c>
      <c r="D46" s="174"/>
    </row>
    <row r="47" spans="1:7">
      <c r="A47" s="171" t="s">
        <v>73</v>
      </c>
      <c r="B47" s="33">
        <f t="shared" si="0"/>
        <v>574.16795580110511</v>
      </c>
      <c r="C47" s="34" t="s">
        <v>110</v>
      </c>
      <c r="D47" s="174"/>
    </row>
    <row r="48" spans="1:7">
      <c r="A48" s="171" t="s">
        <v>74</v>
      </c>
      <c r="B48" s="33">
        <f t="shared" si="0"/>
        <v>183.13977900552487</v>
      </c>
      <c r="C48" s="33">
        <f>B48*10</f>
        <v>1831.3977900552486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1206.0999999999999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16879.931443999998</v>
      </c>
      <c r="C5" s="17">
        <f>IF(ISERROR('Eigen informatie GS &amp; warmtenet'!B58),0,'Eigen informatie GS &amp; warmtenet'!B58)</f>
        <v>0</v>
      </c>
      <c r="D5" s="30">
        <f>SUM(D6:D12)</f>
        <v>12044.986788780001</v>
      </c>
      <c r="E5" s="17">
        <f>SUM(E6:E12)</f>
        <v>212.88058669799275</v>
      </c>
      <c r="F5" s="17">
        <f>SUM(F6:F12)</f>
        <v>2853.3426833570661</v>
      </c>
      <c r="G5" s="18"/>
      <c r="H5" s="17"/>
      <c r="I5" s="17"/>
      <c r="J5" s="17">
        <f>SUM(J6:J12)</f>
        <v>2.0588988503573106E-2</v>
      </c>
      <c r="K5" s="17"/>
      <c r="L5" s="17"/>
      <c r="M5" s="17"/>
      <c r="N5" s="17">
        <f>SUM(N6:N12)</f>
        <v>827.88151671479773</v>
      </c>
      <c r="O5" s="17">
        <f>B38*B39*B40</f>
        <v>1.5633333333333335</v>
      </c>
      <c r="P5" s="17">
        <f>B46*B47*B48/1000-B46*B47*B48/1000/B49</f>
        <v>0</v>
      </c>
      <c r="R5" s="32"/>
    </row>
    <row r="6" spans="1:18">
      <c r="A6" s="32" t="s">
        <v>53</v>
      </c>
      <c r="B6" s="37">
        <f>B26</f>
        <v>9129.100550000001</v>
      </c>
      <c r="C6" s="33"/>
      <c r="D6" s="37">
        <f>IF(ISERROR(TER_kantoor_gas_kWh/1000),0,TER_kantoor_gas_kWh/1000)*0.902</f>
        <v>6816.5395493800006</v>
      </c>
      <c r="E6" s="33">
        <f>$C$26*'E Balans VL '!I12/100/3.6*1000000</f>
        <v>5.7218165956124868E-2</v>
      </c>
      <c r="F6" s="33">
        <f>$C$26*('E Balans VL '!L12+'E Balans VL '!N12)/100/3.6*1000000</f>
        <v>1371.8487212666066</v>
      </c>
      <c r="G6" s="34"/>
      <c r="H6" s="33"/>
      <c r="I6" s="33"/>
      <c r="J6" s="33">
        <f>$C$26*('E Balans VL '!D12+'E Balans VL '!E12)/100/3.6*1000000</f>
        <v>0</v>
      </c>
      <c r="K6" s="33"/>
      <c r="L6" s="33"/>
      <c r="M6" s="33"/>
      <c r="N6" s="33">
        <f>$C$26*'E Balans VL '!Y12/100/3.6*1000000</f>
        <v>8.7306311383755997</v>
      </c>
      <c r="O6" s="33"/>
      <c r="P6" s="33"/>
      <c r="R6" s="32"/>
    </row>
    <row r="7" spans="1:18">
      <c r="A7" s="32" t="s">
        <v>52</v>
      </c>
      <c r="B7" s="37">
        <f t="shared" ref="B7:B12" si="0">B27</f>
        <v>895.54955000000007</v>
      </c>
      <c r="C7" s="33"/>
      <c r="D7" s="37">
        <f>IF(ISERROR(TER_horeca_gas_kWh/1000),0,TER_horeca_gas_kWh/1000)*0.902</f>
        <v>972.52440339999998</v>
      </c>
      <c r="E7" s="33">
        <f>$C$27*'E Balans VL '!I9/100/3.6*1000000</f>
        <v>12.824120385921258</v>
      </c>
      <c r="F7" s="33">
        <f>$C$27*('E Balans VL '!L9+'E Balans VL '!N9)/100/3.6*1000000</f>
        <v>113.40610939207291</v>
      </c>
      <c r="G7" s="34"/>
      <c r="H7" s="33"/>
      <c r="I7" s="33"/>
      <c r="J7" s="33">
        <f>$C$27*('E Balans VL '!D9+'E Balans VL '!E9)/100/3.6*1000000</f>
        <v>0</v>
      </c>
      <c r="K7" s="33"/>
      <c r="L7" s="33"/>
      <c r="M7" s="33"/>
      <c r="N7" s="33">
        <f>$C$27*'E Balans VL '!Y9/100/3.6*1000000</f>
        <v>0.25745075045234156</v>
      </c>
      <c r="O7" s="33"/>
      <c r="P7" s="33"/>
      <c r="R7" s="32"/>
    </row>
    <row r="8" spans="1:18">
      <c r="A8" s="6" t="s">
        <v>51</v>
      </c>
      <c r="B8" s="37">
        <f t="shared" si="0"/>
        <v>5437.2277999999997</v>
      </c>
      <c r="C8" s="33"/>
      <c r="D8" s="37">
        <f>IF(ISERROR(TER_handel_gas_kWh/1000),0,TER_handel_gas_kWh/1000)*0.902</f>
        <v>1303.0887319999999</v>
      </c>
      <c r="E8" s="33">
        <f>$C$28*'E Balans VL '!I13/100/3.6*1000000</f>
        <v>197.20758181710656</v>
      </c>
      <c r="F8" s="33">
        <f>$C$28*('E Balans VL '!L13+'E Balans VL '!N13)/100/3.6*1000000</f>
        <v>1047.2651297117895</v>
      </c>
      <c r="G8" s="34"/>
      <c r="H8" s="33"/>
      <c r="I8" s="33"/>
      <c r="J8" s="33">
        <f>$C$28*('E Balans VL '!D13+'E Balans VL '!E13)/100/3.6*1000000</f>
        <v>0</v>
      </c>
      <c r="K8" s="33"/>
      <c r="L8" s="33"/>
      <c r="M8" s="33"/>
      <c r="N8" s="33">
        <f>$C$28*'E Balans VL '!Y13/100/3.6*1000000</f>
        <v>7.5318115533216057</v>
      </c>
      <c r="O8" s="33"/>
      <c r="P8" s="33"/>
      <c r="R8" s="32"/>
    </row>
    <row r="9" spans="1:18">
      <c r="A9" s="32" t="s">
        <v>50</v>
      </c>
      <c r="B9" s="37">
        <f t="shared" si="0"/>
        <v>360.928</v>
      </c>
      <c r="C9" s="33"/>
      <c r="D9" s="37">
        <f>IF(ISERROR(TER_gezond_gas_kWh/1000),0,TER_gezond_gas_kWh/1000)*0.902</f>
        <v>931.16436600000009</v>
      </c>
      <c r="E9" s="33">
        <f>$C$29*'E Balans VL '!I10/100/3.6*1000000</f>
        <v>2.2597656320212847E-2</v>
      </c>
      <c r="F9" s="33">
        <f>$C$29*('E Balans VL '!L10+'E Balans VL '!N10)/100/3.6*1000000</f>
        <v>53.616953321104276</v>
      </c>
      <c r="G9" s="34"/>
      <c r="H9" s="33"/>
      <c r="I9" s="33"/>
      <c r="J9" s="33">
        <f>$C$29*('E Balans VL '!D10+'E Balans VL '!E10)/100/3.6*1000000</f>
        <v>0</v>
      </c>
      <c r="K9" s="33"/>
      <c r="L9" s="33"/>
      <c r="M9" s="33"/>
      <c r="N9" s="33">
        <f>$C$29*'E Balans VL '!Y10/100/3.6*1000000</f>
        <v>5.582869130575018</v>
      </c>
      <c r="O9" s="33"/>
      <c r="P9" s="33"/>
      <c r="R9" s="32"/>
    </row>
    <row r="10" spans="1:18">
      <c r="A10" s="32" t="s">
        <v>49</v>
      </c>
      <c r="B10" s="37">
        <f t="shared" si="0"/>
        <v>948.53554399999996</v>
      </c>
      <c r="C10" s="33"/>
      <c r="D10" s="37">
        <f>IF(ISERROR(TER_ander_gas_kWh/1000),0,TER_ander_gas_kWh/1000)*0.902</f>
        <v>1384.8568359999999</v>
      </c>
      <c r="E10" s="33">
        <f>$C$30*'E Balans VL '!I14/100/3.6*1000000</f>
        <v>1.1306204735148944</v>
      </c>
      <c r="F10" s="33">
        <f>$C$30*('E Balans VL '!L14+'E Balans VL '!N14)/100/3.6*1000000</f>
        <v>248.17906688863354</v>
      </c>
      <c r="G10" s="34"/>
      <c r="H10" s="33"/>
      <c r="I10" s="33"/>
      <c r="J10" s="33">
        <f>$C$30*('E Balans VL '!D14+'E Balans VL '!E14)/100/3.6*1000000</f>
        <v>2.0588988503573106E-2</v>
      </c>
      <c r="K10" s="33"/>
      <c r="L10" s="33"/>
      <c r="M10" s="33"/>
      <c r="N10" s="33">
        <f>$C$30*'E Balans VL '!Y14/100/3.6*1000000</f>
        <v>805.47317362674698</v>
      </c>
      <c r="O10" s="33"/>
      <c r="P10" s="33"/>
      <c r="R10" s="32"/>
    </row>
    <row r="11" spans="1:18">
      <c r="A11" s="32" t="s">
        <v>54</v>
      </c>
      <c r="B11" s="37">
        <f t="shared" si="0"/>
        <v>108.59</v>
      </c>
      <c r="C11" s="33"/>
      <c r="D11" s="37">
        <f>IF(ISERROR(TER_onderwijs_gas_kWh/1000),0,TER_onderwijs_gas_kWh/1000)*0.902</f>
        <v>636.81290200000001</v>
      </c>
      <c r="E11" s="33">
        <f>$C$31*'E Balans VL '!I11/100/3.6*1000000</f>
        <v>1.6384481991737341</v>
      </c>
      <c r="F11" s="33">
        <f>$C$31*('E Balans VL '!L11+'E Balans VL '!N11)/100/3.6*1000000</f>
        <v>19.026702776859032</v>
      </c>
      <c r="G11" s="34"/>
      <c r="H11" s="33"/>
      <c r="I11" s="33"/>
      <c r="J11" s="33">
        <f>$C$31*('E Balans VL '!D11+'E Balans VL '!E11)/100/3.6*1000000</f>
        <v>0</v>
      </c>
      <c r="K11" s="33"/>
      <c r="L11" s="33"/>
      <c r="M11" s="33"/>
      <c r="N11" s="33">
        <f>$C$31*'E Balans VL '!Y11/100/3.6*1000000</f>
        <v>0.3055805153261783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16879.931443999998</v>
      </c>
      <c r="C16" s="21">
        <f t="shared" ca="1" si="1"/>
        <v>0</v>
      </c>
      <c r="D16" s="21">
        <f t="shared" ca="1" si="1"/>
        <v>12044.986788780001</v>
      </c>
      <c r="E16" s="21">
        <f t="shared" si="1"/>
        <v>212.88058669799275</v>
      </c>
      <c r="F16" s="21">
        <f t="shared" ca="1" si="1"/>
        <v>2853.3426833570661</v>
      </c>
      <c r="G16" s="21">
        <f t="shared" si="1"/>
        <v>0</v>
      </c>
      <c r="H16" s="21">
        <f t="shared" si="1"/>
        <v>0</v>
      </c>
      <c r="I16" s="21">
        <f t="shared" si="1"/>
        <v>0</v>
      </c>
      <c r="J16" s="21">
        <f t="shared" si="1"/>
        <v>2.0588988503573106E-2</v>
      </c>
      <c r="K16" s="21">
        <f t="shared" si="1"/>
        <v>0</v>
      </c>
      <c r="L16" s="21">
        <f t="shared" ca="1" si="1"/>
        <v>0</v>
      </c>
      <c r="M16" s="21">
        <f t="shared" si="1"/>
        <v>0</v>
      </c>
      <c r="N16" s="21">
        <f t="shared" ca="1" si="1"/>
        <v>827.88151671479773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4.6551326149199358E-2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785.7831940257696</v>
      </c>
      <c r="C20" s="23">
        <f t="shared" ref="C20:P20" ca="1" si="2">C16*C18</f>
        <v>0</v>
      </c>
      <c r="D20" s="23">
        <f t="shared" ca="1" si="2"/>
        <v>2433.0873313335605</v>
      </c>
      <c r="E20" s="23">
        <f t="shared" si="2"/>
        <v>48.323893180444358</v>
      </c>
      <c r="F20" s="23">
        <f t="shared" ca="1" si="2"/>
        <v>761.84249645633668</v>
      </c>
      <c r="G20" s="23">
        <f t="shared" si="2"/>
        <v>0</v>
      </c>
      <c r="H20" s="23">
        <f t="shared" si="2"/>
        <v>0</v>
      </c>
      <c r="I20" s="23">
        <f t="shared" si="2"/>
        <v>0</v>
      </c>
      <c r="J20" s="23">
        <f t="shared" si="2"/>
        <v>7.2885019302648792E-3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9129.100550000001</v>
      </c>
      <c r="C26" s="39">
        <f>IF(ISERROR(B26*3.6/1000000/'E Balans VL '!Z12*100),0,B26*3.6/1000000/'E Balans VL '!Z12*100)</f>
        <v>0.19297472396358697</v>
      </c>
      <c r="D26" s="237" t="s">
        <v>744</v>
      </c>
      <c r="F26" s="6"/>
    </row>
    <row r="27" spans="1:18">
      <c r="A27" s="231" t="s">
        <v>52</v>
      </c>
      <c r="B27" s="33">
        <f>IF(ISERROR(TER_horeca_ele_kWh/1000),0,TER_horeca_ele_kWh/1000)</f>
        <v>895.54955000000007</v>
      </c>
      <c r="C27" s="39">
        <f>IF(ISERROR(B27*3.6/1000000/'E Balans VL '!Z9*100),0,B27*3.6/1000000/'E Balans VL '!Z9*100)</f>
        <v>7.0595837238142223E-2</v>
      </c>
      <c r="D27" s="237" t="s">
        <v>744</v>
      </c>
      <c r="F27" s="6"/>
    </row>
    <row r="28" spans="1:18">
      <c r="A28" s="171" t="s">
        <v>51</v>
      </c>
      <c r="B28" s="33">
        <f>IF(ISERROR(TER_handel_ele_kWh/1000),0,TER_handel_ele_kWh/1000)</f>
        <v>5437.2277999999997</v>
      </c>
      <c r="C28" s="39">
        <f>IF(ISERROR(B28*3.6/1000000/'E Balans VL '!Z13*100),0,B28*3.6/1000000/'E Balans VL '!Z13*100)</f>
        <v>0.15781031961805705</v>
      </c>
      <c r="D28" s="237" t="s">
        <v>744</v>
      </c>
      <c r="F28" s="6"/>
    </row>
    <row r="29" spans="1:18">
      <c r="A29" s="231" t="s">
        <v>50</v>
      </c>
      <c r="B29" s="33">
        <f>IF(ISERROR(TER_gezond_ele_kWh/1000),0,TER_gezond_ele_kWh/1000)</f>
        <v>360.928</v>
      </c>
      <c r="C29" s="39">
        <f>IF(ISERROR(B29*3.6/1000000/'E Balans VL '!Z10*100),0,B29*3.6/1000000/'E Balans VL '!Z10*100)</f>
        <v>3.8011644994199179E-2</v>
      </c>
      <c r="D29" s="237" t="s">
        <v>744</v>
      </c>
      <c r="F29" s="6"/>
    </row>
    <row r="30" spans="1:18">
      <c r="A30" s="231" t="s">
        <v>49</v>
      </c>
      <c r="B30" s="33">
        <f>IF(ISERROR(TER_ander_ele_kWh/1000),0,TER_ander_ele_kWh/1000)</f>
        <v>948.53554399999996</v>
      </c>
      <c r="C30" s="39">
        <f>IF(ISERROR(B30*3.6/1000000/'E Balans VL '!Z14*100),0,B30*3.6/1000000/'E Balans VL '!Z14*100)</f>
        <v>6.9964187746335324E-2</v>
      </c>
      <c r="D30" s="237" t="s">
        <v>744</v>
      </c>
      <c r="F30" s="6"/>
    </row>
    <row r="31" spans="1:18">
      <c r="A31" s="231" t="s">
        <v>54</v>
      </c>
      <c r="B31" s="33">
        <f>IF(ISERROR(TER_onderwijs_ele_kWh/1000),0,TER_onderwijs_ele_kWh/1000)</f>
        <v>108.59</v>
      </c>
      <c r="C31" s="39">
        <f>IF(ISERROR(B31*3.6/1000000/'E Balans VL '!Z11*100),0,B31*3.6/1000000/'E Balans VL '!Z11*100)</f>
        <v>2.6967983655163601E-2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3711.8085849999998</v>
      </c>
      <c r="C5" s="17">
        <f>IF(ISERROR('Eigen informatie GS &amp; warmtenet'!B59),0,'Eigen informatie GS &amp; warmtenet'!B59)</f>
        <v>0</v>
      </c>
      <c r="D5" s="30">
        <f>SUM(D6:D15)</f>
        <v>9251.4015154000008</v>
      </c>
      <c r="E5" s="17">
        <f>SUM(E6:E15)</f>
        <v>327.94395291939327</v>
      </c>
      <c r="F5" s="17">
        <f>SUM(F6:F15)</f>
        <v>1525.5519880644511</v>
      </c>
      <c r="G5" s="18"/>
      <c r="H5" s="17"/>
      <c r="I5" s="17"/>
      <c r="J5" s="17">
        <f>SUM(J6:J15)</f>
        <v>3.7352646620379528</v>
      </c>
      <c r="K5" s="17"/>
      <c r="L5" s="17"/>
      <c r="M5" s="17"/>
      <c r="N5" s="17">
        <f>SUM(N6:N15)</f>
        <v>584.20573644486922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244.904</v>
      </c>
      <c r="C8" s="33"/>
      <c r="D8" s="37">
        <f>IF( ISERROR(IND_metaal_Gas_kWH/1000),0,IND_metaal_Gas_kWH/1000)*0.902</f>
        <v>59.667300000000004</v>
      </c>
      <c r="E8" s="33">
        <f>C30*'E Balans VL '!I18/100/3.6*1000000</f>
        <v>2.2516557494673877</v>
      </c>
      <c r="F8" s="33">
        <f>C30*'E Balans VL '!L18/100/3.6*1000000+C30*'E Balans VL '!N18/100/3.6*1000000</f>
        <v>22.963841520487176</v>
      </c>
      <c r="G8" s="34"/>
      <c r="H8" s="33"/>
      <c r="I8" s="33"/>
      <c r="J8" s="40">
        <f>C30*'E Balans VL '!D18/100/3.6*1000000+C30*'E Balans VL '!E18/100/3.6*1000000</f>
        <v>0</v>
      </c>
      <c r="K8" s="33"/>
      <c r="L8" s="33"/>
      <c r="M8" s="33"/>
      <c r="N8" s="33">
        <f>C30*'E Balans VL '!Y18/100/3.6*1000000</f>
        <v>3.4939602809032211</v>
      </c>
      <c r="O8" s="33"/>
      <c r="P8" s="33"/>
      <c r="R8" s="32"/>
    </row>
    <row r="9" spans="1:18">
      <c r="A9" s="6" t="s">
        <v>32</v>
      </c>
      <c r="B9" s="37">
        <f t="shared" si="0"/>
        <v>886.992481</v>
      </c>
      <c r="C9" s="33"/>
      <c r="D9" s="37">
        <f>IF( ISERROR(IND_andere_gas_kWh/1000),0,IND_andere_gas_kWh/1000)*0.902</f>
        <v>894.63850739999998</v>
      </c>
      <c r="E9" s="33">
        <f>C31*'E Balans VL '!I19/100/3.6*1000000</f>
        <v>259.28516990319082</v>
      </c>
      <c r="F9" s="33">
        <f>C31*'E Balans VL '!L19/100/3.6*1000000+C31*'E Balans VL '!N19/100/3.6*1000000</f>
        <v>712.76559764516776</v>
      </c>
      <c r="G9" s="34"/>
      <c r="H9" s="33"/>
      <c r="I9" s="33"/>
      <c r="J9" s="40">
        <f>C31*'E Balans VL '!D19/100/3.6*1000000+C31*'E Balans VL '!E19/100/3.6*1000000</f>
        <v>0</v>
      </c>
      <c r="K9" s="33"/>
      <c r="L9" s="33"/>
      <c r="M9" s="33"/>
      <c r="N9" s="33">
        <f>C31*'E Balans VL '!Y19/100/3.6*1000000</f>
        <v>69.574485524064244</v>
      </c>
      <c r="O9" s="33"/>
      <c r="P9" s="33"/>
      <c r="R9" s="32"/>
    </row>
    <row r="10" spans="1:18">
      <c r="A10" s="6" t="s">
        <v>40</v>
      </c>
      <c r="B10" s="37">
        <f t="shared" si="0"/>
        <v>334.57100000000003</v>
      </c>
      <c r="C10" s="33"/>
      <c r="D10" s="37">
        <f>IF( ISERROR(IND_voed_gas_kWh/1000),0,IND_voed_gas_kWh/1000)*0.902</f>
        <v>0</v>
      </c>
      <c r="E10" s="33">
        <f>C32*'E Balans VL '!I20/100/3.6*1000000</f>
        <v>0.70779013808479641</v>
      </c>
      <c r="F10" s="33">
        <f>C32*'E Balans VL '!L20/100/3.6*1000000+C32*'E Balans VL '!N20/100/3.6*1000000</f>
        <v>21.272365934254722</v>
      </c>
      <c r="G10" s="34"/>
      <c r="H10" s="33"/>
      <c r="I10" s="33"/>
      <c r="J10" s="40">
        <f>C32*'E Balans VL '!D20/100/3.6*1000000+C32*'E Balans VL '!E20/100/3.6*1000000</f>
        <v>0</v>
      </c>
      <c r="K10" s="33"/>
      <c r="L10" s="33"/>
      <c r="M10" s="33"/>
      <c r="N10" s="33">
        <f>C32*'E Balans VL '!Y20/100/3.6*1000000</f>
        <v>23.088700627301893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2221.8511039999999</v>
      </c>
      <c r="C12" s="33"/>
      <c r="D12" s="37">
        <f>IF( ISERROR(IND_min_gas_kWh/1000),0,IND_min_gas_kWh/1000)*0.902</f>
        <v>0</v>
      </c>
      <c r="E12" s="33">
        <f>C34*'E Balans VL '!I22/100/3.6*1000000</f>
        <v>64.402314668364568</v>
      </c>
      <c r="F12" s="33">
        <f>C34*'E Balans VL '!L22/100/3.6*1000000+C34*'E Balans VL '!N22/100/3.6*1000000</f>
        <v>763.89751703224795</v>
      </c>
      <c r="G12" s="34"/>
      <c r="H12" s="33"/>
      <c r="I12" s="33"/>
      <c r="J12" s="40">
        <f>C34*'E Balans VL '!D22/100/3.6*1000000+C34*'E Balans VL '!E22/100/3.6*1000000</f>
        <v>3.651170908715049</v>
      </c>
      <c r="K12" s="33"/>
      <c r="L12" s="33"/>
      <c r="M12" s="33"/>
      <c r="N12" s="33">
        <f>C34*'E Balans VL '!Y22/100/3.6*1000000</f>
        <v>486.39971899198304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23.49</v>
      </c>
      <c r="C15" s="33"/>
      <c r="D15" s="37">
        <f>IF( ISERROR(IND_rest_gas_kWh/1000),0,IND_rest_gas_kWh/1000)*0.902</f>
        <v>8297.0957080000007</v>
      </c>
      <c r="E15" s="33">
        <f>C37*'E Balans VL '!I15/100/3.6*1000000</f>
        <v>1.2970224602856908</v>
      </c>
      <c r="F15" s="33">
        <f>C37*'E Balans VL '!L15/100/3.6*1000000+C37*'E Balans VL '!N15/100/3.6*1000000</f>
        <v>4.6526659322935835</v>
      </c>
      <c r="G15" s="34"/>
      <c r="H15" s="33"/>
      <c r="I15" s="33"/>
      <c r="J15" s="40">
        <f>C37*'E Balans VL '!D15/100/3.6*1000000+C37*'E Balans VL '!E15/100/3.6*1000000</f>
        <v>8.4093753322903794E-2</v>
      </c>
      <c r="K15" s="33"/>
      <c r="L15" s="33"/>
      <c r="M15" s="33"/>
      <c r="N15" s="33">
        <f>C37*'E Balans VL '!Y15/100/3.6*1000000</f>
        <v>1.6488710206168329</v>
      </c>
      <c r="O15" s="33"/>
      <c r="P15" s="33"/>
      <c r="R15" s="32"/>
    </row>
    <row r="16" spans="1:18">
      <c r="A16" s="16" t="s">
        <v>487</v>
      </c>
      <c r="B16" s="247">
        <f>'lokale energieproductie'!N37+'lokale energieproductie'!N30</f>
        <v>44190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47901.808584999999</v>
      </c>
      <c r="C18" s="21">
        <f>C5+C16</f>
        <v>0</v>
      </c>
      <c r="D18" s="21">
        <f>MAX((D5+D16),0)</f>
        <v>9251.4015154000008</v>
      </c>
      <c r="E18" s="21">
        <f>MAX((E5+E16),0)</f>
        <v>327.94395291939327</v>
      </c>
      <c r="F18" s="21">
        <f>MAX((F5+F16),0)</f>
        <v>1525.5519880644511</v>
      </c>
      <c r="G18" s="21"/>
      <c r="H18" s="21"/>
      <c r="I18" s="21"/>
      <c r="J18" s="21">
        <f>MAX((J5+J16),0)</f>
        <v>3.7352646620379528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4.6551326149199358E-2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2229.8927145768525</v>
      </c>
      <c r="C22" s="23">
        <f ca="1">C18*C20</f>
        <v>0</v>
      </c>
      <c r="D22" s="23">
        <f>D18*D20</f>
        <v>1868.7831061108002</v>
      </c>
      <c r="E22" s="23">
        <f>E18*E20</f>
        <v>74.443277312702278</v>
      </c>
      <c r="F22" s="23">
        <f>F18*F20</f>
        <v>407.32238081320844</v>
      </c>
      <c r="G22" s="23"/>
      <c r="H22" s="23"/>
      <c r="I22" s="23"/>
      <c r="J22" s="23">
        <f>J18*J20</f>
        <v>1.3222836903614352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244.904</v>
      </c>
      <c r="C30" s="39">
        <f>IF(ISERROR(B30*3.6/1000000/'E Balans VL '!Z18*100),0,B30*3.6/1000000/'E Balans VL '!Z18*100)</f>
        <v>1.3879337654928598E-2</v>
      </c>
      <c r="D30" s="237" t="s">
        <v>744</v>
      </c>
    </row>
    <row r="31" spans="1:18">
      <c r="A31" s="6" t="s">
        <v>32</v>
      </c>
      <c r="B31" s="37">
        <f>IF( ISERROR(IND_ander_ele_kWh/1000),0,IND_ander_ele_kWh/1000)</f>
        <v>886.992481</v>
      </c>
      <c r="C31" s="39">
        <f>IF(ISERROR(B31*3.6/1000000/'E Balans VL '!Z19*100),0,B31*3.6/1000000/'E Balans VL '!Z19*100)</f>
        <v>4.0230285565751131E-2</v>
      </c>
      <c r="D31" s="237" t="s">
        <v>744</v>
      </c>
    </row>
    <row r="32" spans="1:18">
      <c r="A32" s="171" t="s">
        <v>40</v>
      </c>
      <c r="B32" s="37">
        <f>IF( ISERROR(IND_voed_ele_kWh/1000),0,IND_voed_ele_kWh/1000)</f>
        <v>334.57100000000003</v>
      </c>
      <c r="C32" s="39">
        <f>IF(ISERROR(B32*3.6/1000000/'E Balans VL '!Z20*100),0,B32*3.6/1000000/'E Balans VL '!Z20*100)</f>
        <v>1.0349799854097341E-2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2221.8511039999999</v>
      </c>
      <c r="C34" s="39">
        <f>IF(ISERROR(B34*3.6/1000000/'E Balans VL '!Z22*100),0,B34*3.6/1000000/'E Balans VL '!Z22*100)</f>
        <v>0.39964169265351879</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23.49</v>
      </c>
      <c r="C37" s="39">
        <f>IF(ISERROR(B37*3.6/1000000/'E Balans VL '!Z15*100),0,B37*3.6/1000000/'E Balans VL '!Z15*100)</f>
        <v>1.8618709846362775E-4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240.00399999999999</v>
      </c>
      <c r="C5" s="17">
        <f>'Eigen informatie GS &amp; warmtenet'!B60</f>
        <v>0</v>
      </c>
      <c r="D5" s="30">
        <f>IF(ISERROR(SUM(LB_lb_gas_kWh,LB_rest_gas_kWh)/1000),0,SUM(LB_lb_gas_kWh,LB_rest_gas_kWh)/1000)*0.902</f>
        <v>62.326396000000003</v>
      </c>
      <c r="E5" s="17">
        <f>B17*'E Balans VL '!I25/3.6*1000000/100</f>
        <v>7.054450616826518</v>
      </c>
      <c r="F5" s="17">
        <f>B17*('E Balans VL '!L25/3.6*1000000+'E Balans VL '!N25/3.6*1000000)/100</f>
        <v>999.84369486455967</v>
      </c>
      <c r="G5" s="18"/>
      <c r="H5" s="17"/>
      <c r="I5" s="17"/>
      <c r="J5" s="17">
        <f>('E Balans VL '!D25+'E Balans VL '!E25)/3.6*1000000*landbouw!B17/100</f>
        <v>34.771425455101081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240.00399999999999</v>
      </c>
      <c r="C8" s="21">
        <f>C5+C6</f>
        <v>0</v>
      </c>
      <c r="D8" s="21">
        <f>MAX((D5+D6),0)</f>
        <v>62.326396000000003</v>
      </c>
      <c r="E8" s="21">
        <f>MAX((E5+E6),0)</f>
        <v>7.054450616826518</v>
      </c>
      <c r="F8" s="21">
        <f>MAX((F5+F6),0)</f>
        <v>999.84369486455967</v>
      </c>
      <c r="G8" s="21"/>
      <c r="H8" s="21"/>
      <c r="I8" s="21"/>
      <c r="J8" s="21">
        <f>MAX((J5+J6),0)</f>
        <v>34.771425455101081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4.6551326149199358E-2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11.172504481112442</v>
      </c>
      <c r="C12" s="23">
        <f ca="1">C8*C10</f>
        <v>0</v>
      </c>
      <c r="D12" s="23">
        <f>D8*D10</f>
        <v>12.589931992000002</v>
      </c>
      <c r="E12" s="23">
        <f>E8*E10</f>
        <v>1.6013602900196195</v>
      </c>
      <c r="F12" s="23">
        <f>F8*F10</f>
        <v>266.95826652883744</v>
      </c>
      <c r="G12" s="23"/>
      <c r="H12" s="23"/>
      <c r="I12" s="23"/>
      <c r="J12" s="23">
        <f>J8*J10</f>
        <v>12.309084611105781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3.405732058958616E-2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62.573056686469208</v>
      </c>
      <c r="C26" s="247">
        <f>B26*'GWP N2O_CH4'!B5</f>
        <v>1314.0341904158533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11.803775454392083</v>
      </c>
      <c r="C27" s="247">
        <f>B27*'GWP N2O_CH4'!B5</f>
        <v>247.87928454223373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0.73369452537549651</v>
      </c>
      <c r="C28" s="247">
        <f>B28*'GWP N2O_CH4'!B4</f>
        <v>227.44530286640392</v>
      </c>
      <c r="D28" s="50"/>
    </row>
    <row r="29" spans="1:4">
      <c r="A29" s="41" t="s">
        <v>276</v>
      </c>
      <c r="B29" s="247">
        <f>B34*'ha_N2O bodem landbouw'!B4</f>
        <v>5.9603668167161352</v>
      </c>
      <c r="C29" s="247">
        <f>B29*'GWP N2O_CH4'!B4</f>
        <v>1847.7137131820018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1.3601351672367921E-3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1.750367032943053E-4</v>
      </c>
      <c r="C5" s="437" t="s">
        <v>210</v>
      </c>
      <c r="D5" s="422">
        <f>SUM(D6:D11)</f>
        <v>4.8425867727148667E-4</v>
      </c>
      <c r="E5" s="422">
        <f>SUM(E6:E11)</f>
        <v>9.0662450045396242E-4</v>
      </c>
      <c r="F5" s="435" t="s">
        <v>210</v>
      </c>
      <c r="G5" s="422">
        <f>SUM(G6:G11)</f>
        <v>0.42105221469925802</v>
      </c>
      <c r="H5" s="422">
        <f>SUM(H6:H11)</f>
        <v>8.3328126931533561E-2</v>
      </c>
      <c r="I5" s="437" t="s">
        <v>210</v>
      </c>
      <c r="J5" s="437" t="s">
        <v>210</v>
      </c>
      <c r="K5" s="437" t="s">
        <v>210</v>
      </c>
      <c r="L5" s="437" t="s">
        <v>210</v>
      </c>
      <c r="M5" s="422">
        <f>SUM(M6:M11)</f>
        <v>2.7053352630252249E-2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6.3546357439296997E-5</v>
      </c>
      <c r="C6" s="423"/>
      <c r="D6" s="865">
        <f>vkm_GW_PW*SUMIFS(TableVerdeelsleutelVkm[CNG],TableVerdeelsleutelVkm[Voertuigtype],"Lichte voertuigen")*SUMIFS(TableECFTransport[EnergieConsumptieFactor (PJ per km)],TableECFTransport[Index],CONCATENATE($A6,"_CNG_CNG"))</f>
        <v>1.5748338975168203E-4</v>
      </c>
      <c r="E6" s="865">
        <f>vkm_GW_PW*SUMIFS(TableVerdeelsleutelVkm[LPG],TableVerdeelsleutelVkm[Voertuigtype],"Lichte voertuigen")*SUMIFS(TableECFTransport[EnergieConsumptieFactor (PJ per km)],TableECFTransport[Index],CONCATENATE($A6,"_LPG_LPG"))</f>
        <v>2.703596544254359E-4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8.2842124267531472E-2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2.675708579310869E-2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5.6278396260306751E-3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2.0538490121929171E-2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3.4357158072153344E-7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1.1999727051299261E-3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2.9570303310634299E-5</v>
      </c>
      <c r="C8" s="423"/>
      <c r="D8" s="425">
        <f>vkm_NGW_PW*SUMIFS(TableVerdeelsleutelVkm[CNG],TableVerdeelsleutelVkm[Voertuigtype],"Lichte voertuigen")*SUMIFS(TableECFTransport[EnergieConsumptieFactor (PJ per km)],TableECFTransport[Index],CONCATENATE($A8,"_CNG_CNG"))</f>
        <v>1.2386320917925355E-4</v>
      </c>
      <c r="E8" s="425">
        <f>vkm_NGW_PW*SUMIFS(TableVerdeelsleutelVkm[LPG],TableVerdeelsleutelVkm[Voertuigtype],"Lichte voertuigen")*SUMIFS(TableECFTransport[EnergieConsumptieFactor (PJ per km)],TableECFTransport[Index],CONCATENATE($A8,"_LPG_LPG"))</f>
        <v>2.0193715199407641E-4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5.8203079977947068E-2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2.0582003997813826E-2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4.0064948785758954E-3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9.1972881510408618E-3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1.8952798182261972E-7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5.3735772439385938E-4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8.1920042544374004E-5</v>
      </c>
      <c r="C10" s="423"/>
      <c r="D10" s="425">
        <f>vkm_SW_PW*SUMIFS(TableVerdeelsleutelVkm[CNG],TableVerdeelsleutelVkm[Voertuigtype],"Lichte voertuigen")*SUMIFS(TableECFTransport[EnergieConsumptieFactor (PJ per km)],TableECFTransport[Index],CONCATENATE($A10,"_CNG_CNG"))</f>
        <v>2.0291207834055109E-4</v>
      </c>
      <c r="E10" s="425">
        <f>vkm_SW_PW*SUMIFS(TableVerdeelsleutelVkm[LPG],TableVerdeelsleutelVkm[Voertuigtype],"Lichte voertuigen")*SUMIFS(TableECFTransport[EnergieConsumptieFactor (PJ per km)],TableECFTransport[Index],CONCATENATE($A10,"_LPG_LPG"))</f>
        <v>4.3432769403445011E-4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0.11906165761233828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3.5986165910211504E-2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8.015691130081555E-3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0.13120957456847118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2.3381308369920926E-6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7.6659965660403357E-3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48.621306470640363</v>
      </c>
      <c r="C14" s="21"/>
      <c r="D14" s="21">
        <f t="shared" ref="D14:M14" si="0">((D5)*10^9/3600)+D12</f>
        <v>134.51629924207964</v>
      </c>
      <c r="E14" s="21">
        <f t="shared" si="0"/>
        <v>251.84013901498957</v>
      </c>
      <c r="F14" s="21"/>
      <c r="G14" s="21">
        <f t="shared" si="0"/>
        <v>116958.94852757167</v>
      </c>
      <c r="H14" s="21">
        <f t="shared" si="0"/>
        <v>23146.70192542599</v>
      </c>
      <c r="I14" s="21"/>
      <c r="J14" s="21"/>
      <c r="K14" s="21"/>
      <c r="L14" s="21"/>
      <c r="M14" s="21">
        <f t="shared" si="0"/>
        <v>7514.8201750700691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4.6551326149199358E-2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2.2633862953149566</v>
      </c>
      <c r="C18" s="23"/>
      <c r="D18" s="23">
        <f t="shared" ref="D18:M18" si="1">D14*D16</f>
        <v>27.172292446900087</v>
      </c>
      <c r="E18" s="23">
        <f t="shared" si="1"/>
        <v>57.167711556402637</v>
      </c>
      <c r="F18" s="23"/>
      <c r="G18" s="23">
        <f t="shared" si="1"/>
        <v>31228.039256861637</v>
      </c>
      <c r="H18" s="23">
        <f t="shared" si="1"/>
        <v>5763.5287794310716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4.1268904541245342E-3</v>
      </c>
      <c r="H50" s="319">
        <f t="shared" si="2"/>
        <v>0</v>
      </c>
      <c r="I50" s="319">
        <f t="shared" si="2"/>
        <v>0</v>
      </c>
      <c r="J50" s="319">
        <f t="shared" si="2"/>
        <v>0</v>
      </c>
      <c r="K50" s="319">
        <f t="shared" si="2"/>
        <v>0</v>
      </c>
      <c r="L50" s="319">
        <f t="shared" si="2"/>
        <v>0</v>
      </c>
      <c r="M50" s="319">
        <f t="shared" si="2"/>
        <v>2.3437145376435322E-4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4.1268904541245342E-3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2.3437145376435322E-4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1146.3584594790373</v>
      </c>
      <c r="H54" s="21">
        <f t="shared" si="3"/>
        <v>0</v>
      </c>
      <c r="I54" s="21">
        <f t="shared" si="3"/>
        <v>0</v>
      </c>
      <c r="J54" s="21">
        <f t="shared" si="3"/>
        <v>0</v>
      </c>
      <c r="K54" s="21">
        <f t="shared" si="3"/>
        <v>0</v>
      </c>
      <c r="L54" s="21">
        <f t="shared" si="3"/>
        <v>0</v>
      </c>
      <c r="M54" s="21">
        <f t="shared" si="3"/>
        <v>65.103181601209229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4.6551326149199358E-2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306.07770868090296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17450.778444</v>
      </c>
      <c r="D10" s="979">
        <f ca="1">tertiair!C16</f>
        <v>0</v>
      </c>
      <c r="E10" s="979">
        <f ca="1">tertiair!D16</f>
        <v>12044.986788780001</v>
      </c>
      <c r="F10" s="979">
        <f>tertiair!E16</f>
        <v>212.88058669799275</v>
      </c>
      <c r="G10" s="979">
        <f ca="1">tertiair!F16</f>
        <v>2853.3426833570661</v>
      </c>
      <c r="H10" s="979">
        <f>tertiair!G16</f>
        <v>0</v>
      </c>
      <c r="I10" s="979">
        <f>tertiair!H16</f>
        <v>0</v>
      </c>
      <c r="J10" s="979">
        <f>tertiair!I16</f>
        <v>0</v>
      </c>
      <c r="K10" s="979">
        <f>tertiair!J16</f>
        <v>2.0588988503573106E-2</v>
      </c>
      <c r="L10" s="979">
        <f>tertiair!K16</f>
        <v>0</v>
      </c>
      <c r="M10" s="979">
        <f ca="1">tertiair!L16</f>
        <v>0</v>
      </c>
      <c r="N10" s="979">
        <f>tertiair!M16</f>
        <v>0</v>
      </c>
      <c r="O10" s="979">
        <f ca="1">tertiair!N16</f>
        <v>827.88151671479773</v>
      </c>
      <c r="P10" s="979">
        <f>tertiair!O16</f>
        <v>1.5633333333333335</v>
      </c>
      <c r="Q10" s="980">
        <f>tertiair!P16</f>
        <v>0</v>
      </c>
      <c r="R10" s="674">
        <f ca="1">SUM(C10:Q10)</f>
        <v>33391.453941871696</v>
      </c>
      <c r="S10" s="67"/>
    </row>
    <row r="11" spans="1:19" s="447" customFormat="1">
      <c r="A11" s="783" t="s">
        <v>224</v>
      </c>
      <c r="B11" s="788"/>
      <c r="C11" s="979">
        <f>huishoudens!B8</f>
        <v>17137.161348752099</v>
      </c>
      <c r="D11" s="979">
        <f>huishoudens!C8</f>
        <v>0</v>
      </c>
      <c r="E11" s="979">
        <f>huishoudens!D8</f>
        <v>27858.071469799997</v>
      </c>
      <c r="F11" s="979">
        <f>huishoudens!E8</f>
        <v>7328.2862781099539</v>
      </c>
      <c r="G11" s="979">
        <f>huishoudens!F8</f>
        <v>25158.680983340317</v>
      </c>
      <c r="H11" s="979">
        <f>huishoudens!G8</f>
        <v>0</v>
      </c>
      <c r="I11" s="979">
        <f>huishoudens!H8</f>
        <v>0</v>
      </c>
      <c r="J11" s="979">
        <f>huishoudens!I8</f>
        <v>0</v>
      </c>
      <c r="K11" s="979">
        <f>huishoudens!J8</f>
        <v>0</v>
      </c>
      <c r="L11" s="979">
        <f>huishoudens!K8</f>
        <v>0</v>
      </c>
      <c r="M11" s="979">
        <f>huishoudens!L8</f>
        <v>0</v>
      </c>
      <c r="N11" s="979">
        <f>huishoudens!M8</f>
        <v>0</v>
      </c>
      <c r="O11" s="979">
        <f>huishoudens!N8</f>
        <v>13346.958404974932</v>
      </c>
      <c r="P11" s="979">
        <f>huishoudens!O8</f>
        <v>279.8366666666667</v>
      </c>
      <c r="Q11" s="980">
        <f>huishoudens!P8</f>
        <v>705.4666666666667</v>
      </c>
      <c r="R11" s="674">
        <f>SUM(C11:Q11)</f>
        <v>91814.461818310621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47901.808584999999</v>
      </c>
      <c r="D13" s="979">
        <f>industrie!C18</f>
        <v>0</v>
      </c>
      <c r="E13" s="979">
        <f>industrie!D18</f>
        <v>9251.4015154000008</v>
      </c>
      <c r="F13" s="979">
        <f>industrie!E18</f>
        <v>327.94395291939327</v>
      </c>
      <c r="G13" s="979">
        <f>industrie!F18</f>
        <v>1525.5519880644511</v>
      </c>
      <c r="H13" s="979">
        <f>industrie!G18</f>
        <v>0</v>
      </c>
      <c r="I13" s="979">
        <f>industrie!H18</f>
        <v>0</v>
      </c>
      <c r="J13" s="979">
        <f>industrie!I18</f>
        <v>0</v>
      </c>
      <c r="K13" s="979">
        <f>industrie!J18</f>
        <v>3.7352646620379528</v>
      </c>
      <c r="L13" s="979">
        <f>industrie!K18</f>
        <v>0</v>
      </c>
      <c r="M13" s="979">
        <f>industrie!L18</f>
        <v>0</v>
      </c>
      <c r="N13" s="979">
        <f>industrie!M18</f>
        <v>0</v>
      </c>
      <c r="O13" s="979">
        <f>industrie!N18</f>
        <v>0</v>
      </c>
      <c r="P13" s="979">
        <f>industrie!O18</f>
        <v>0</v>
      </c>
      <c r="Q13" s="980">
        <f>industrie!P18</f>
        <v>0</v>
      </c>
      <c r="R13" s="674">
        <f>SUM(C13:Q13)</f>
        <v>59010.441306045876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82489.748377752097</v>
      </c>
      <c r="D16" s="706">
        <f t="shared" ref="D16:R16" ca="1" si="0">SUM(D9:D15)</f>
        <v>0</v>
      </c>
      <c r="E16" s="706">
        <f t="shared" ca="1" si="0"/>
        <v>49154.459773980001</v>
      </c>
      <c r="F16" s="706">
        <f t="shared" si="0"/>
        <v>7869.11081772734</v>
      </c>
      <c r="G16" s="706">
        <f t="shared" ca="1" si="0"/>
        <v>29537.575654761833</v>
      </c>
      <c r="H16" s="706">
        <f t="shared" si="0"/>
        <v>0</v>
      </c>
      <c r="I16" s="706">
        <f t="shared" si="0"/>
        <v>0</v>
      </c>
      <c r="J16" s="706">
        <f t="shared" si="0"/>
        <v>0</v>
      </c>
      <c r="K16" s="706">
        <f t="shared" si="0"/>
        <v>3.7558536505415261</v>
      </c>
      <c r="L16" s="706">
        <f t="shared" si="0"/>
        <v>0</v>
      </c>
      <c r="M16" s="706">
        <f t="shared" ca="1" si="0"/>
        <v>0</v>
      </c>
      <c r="N16" s="706">
        <f t="shared" si="0"/>
        <v>0</v>
      </c>
      <c r="O16" s="706">
        <f t="shared" ca="1" si="0"/>
        <v>14174.839921689731</v>
      </c>
      <c r="P16" s="706">
        <f t="shared" si="0"/>
        <v>281.40000000000003</v>
      </c>
      <c r="Q16" s="706">
        <f t="shared" si="0"/>
        <v>705.4666666666667</v>
      </c>
      <c r="R16" s="706">
        <f t="shared" ca="1" si="0"/>
        <v>184216.35706622817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1146.3584594790373</v>
      </c>
      <c r="I19" s="979">
        <f>transport!H54</f>
        <v>0</v>
      </c>
      <c r="J19" s="979">
        <f>transport!I54</f>
        <v>0</v>
      </c>
      <c r="K19" s="979">
        <f>transport!J54</f>
        <v>0</v>
      </c>
      <c r="L19" s="979">
        <f>transport!K54</f>
        <v>0</v>
      </c>
      <c r="M19" s="979">
        <f>transport!L54</f>
        <v>0</v>
      </c>
      <c r="N19" s="979">
        <f>transport!M54</f>
        <v>65.103181601209229</v>
      </c>
      <c r="O19" s="979">
        <f>transport!N54</f>
        <v>0</v>
      </c>
      <c r="P19" s="979">
        <f>transport!O54</f>
        <v>0</v>
      </c>
      <c r="Q19" s="980">
        <f>transport!P54</f>
        <v>0</v>
      </c>
      <c r="R19" s="674">
        <f>SUM(C19:Q19)</f>
        <v>1211.4616410802464</v>
      </c>
      <c r="S19" s="67"/>
    </row>
    <row r="20" spans="1:19" s="447" customFormat="1">
      <c r="A20" s="783" t="s">
        <v>306</v>
      </c>
      <c r="B20" s="788"/>
      <c r="C20" s="979">
        <f>transport!B14</f>
        <v>48.621306470640363</v>
      </c>
      <c r="D20" s="979">
        <f>transport!C14</f>
        <v>0</v>
      </c>
      <c r="E20" s="979">
        <f>transport!D14</f>
        <v>134.51629924207964</v>
      </c>
      <c r="F20" s="979">
        <f>transport!E14</f>
        <v>251.84013901498957</v>
      </c>
      <c r="G20" s="979">
        <f>transport!F14</f>
        <v>0</v>
      </c>
      <c r="H20" s="979">
        <f>transport!G14</f>
        <v>116958.94852757167</v>
      </c>
      <c r="I20" s="979">
        <f>transport!H14</f>
        <v>23146.70192542599</v>
      </c>
      <c r="J20" s="979">
        <f>transport!I14</f>
        <v>0</v>
      </c>
      <c r="K20" s="979">
        <f>transport!J14</f>
        <v>0</v>
      </c>
      <c r="L20" s="979">
        <f>transport!K14</f>
        <v>0</v>
      </c>
      <c r="M20" s="979">
        <f>transport!L14</f>
        <v>0</v>
      </c>
      <c r="N20" s="979">
        <f>transport!M14</f>
        <v>7514.8201750700691</v>
      </c>
      <c r="O20" s="979">
        <f>transport!N14</f>
        <v>0</v>
      </c>
      <c r="P20" s="979">
        <f>transport!O14</f>
        <v>0</v>
      </c>
      <c r="Q20" s="980">
        <f>transport!P14</f>
        <v>0</v>
      </c>
      <c r="R20" s="674">
        <f>SUM(C20:Q20)</f>
        <v>148055.44837279545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48.621306470640363</v>
      </c>
      <c r="D22" s="786">
        <f t="shared" ref="D22:R22" si="1">SUM(D18:D21)</f>
        <v>0</v>
      </c>
      <c r="E22" s="786">
        <f t="shared" si="1"/>
        <v>134.51629924207964</v>
      </c>
      <c r="F22" s="786">
        <f t="shared" si="1"/>
        <v>251.84013901498957</v>
      </c>
      <c r="G22" s="786">
        <f t="shared" si="1"/>
        <v>0</v>
      </c>
      <c r="H22" s="786">
        <f t="shared" si="1"/>
        <v>118105.30698705072</v>
      </c>
      <c r="I22" s="786">
        <f t="shared" si="1"/>
        <v>23146.70192542599</v>
      </c>
      <c r="J22" s="786">
        <f t="shared" si="1"/>
        <v>0</v>
      </c>
      <c r="K22" s="786">
        <f t="shared" si="1"/>
        <v>0</v>
      </c>
      <c r="L22" s="786">
        <f t="shared" si="1"/>
        <v>0</v>
      </c>
      <c r="M22" s="786">
        <f t="shared" si="1"/>
        <v>0</v>
      </c>
      <c r="N22" s="786">
        <f t="shared" si="1"/>
        <v>7579.9233566712783</v>
      </c>
      <c r="O22" s="786">
        <f t="shared" si="1"/>
        <v>0</v>
      </c>
      <c r="P22" s="786">
        <f t="shared" si="1"/>
        <v>0</v>
      </c>
      <c r="Q22" s="786">
        <f t="shared" si="1"/>
        <v>0</v>
      </c>
      <c r="R22" s="786">
        <f t="shared" si="1"/>
        <v>149266.91001387569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240.00399999999999</v>
      </c>
      <c r="D24" s="979">
        <f>+landbouw!C8</f>
        <v>0</v>
      </c>
      <c r="E24" s="979">
        <f>+landbouw!D8</f>
        <v>62.326396000000003</v>
      </c>
      <c r="F24" s="979">
        <f>+landbouw!E8</f>
        <v>7.054450616826518</v>
      </c>
      <c r="G24" s="979">
        <f>+landbouw!F8</f>
        <v>999.84369486455967</v>
      </c>
      <c r="H24" s="979">
        <f>+landbouw!G8</f>
        <v>0</v>
      </c>
      <c r="I24" s="979">
        <f>+landbouw!H8</f>
        <v>0</v>
      </c>
      <c r="J24" s="979">
        <f>+landbouw!I8</f>
        <v>0</v>
      </c>
      <c r="K24" s="979">
        <f>+landbouw!J8</f>
        <v>34.771425455101081</v>
      </c>
      <c r="L24" s="979">
        <f>+landbouw!K8</f>
        <v>0</v>
      </c>
      <c r="M24" s="979">
        <f>+landbouw!L8</f>
        <v>0</v>
      </c>
      <c r="N24" s="979">
        <f>+landbouw!M8</f>
        <v>0</v>
      </c>
      <c r="O24" s="979">
        <f>+landbouw!N8</f>
        <v>0</v>
      </c>
      <c r="P24" s="979">
        <f>+landbouw!O8</f>
        <v>0</v>
      </c>
      <c r="Q24" s="980">
        <f>+landbouw!P8</f>
        <v>0</v>
      </c>
      <c r="R24" s="674">
        <f>SUM(C24:Q24)</f>
        <v>1343.9999669364872</v>
      </c>
      <c r="S24" s="67"/>
    </row>
    <row r="25" spans="1:19" s="447" customFormat="1" ht="15" thickBot="1">
      <c r="A25" s="805" t="s">
        <v>823</v>
      </c>
      <c r="B25" s="982"/>
      <c r="C25" s="983">
        <f>IF(Onbekend_ele_kWh="---",0,Onbekend_ele_kWh)/1000+IF(REST_rest_ele_kWh="---",0,REST_rest_ele_kWh)/1000</f>
        <v>323.58534999999995</v>
      </c>
      <c r="D25" s="983"/>
      <c r="E25" s="983">
        <f>IF(onbekend_gas_kWh="---",0,onbekend_gas_kWh)/1000+IF(REST_rest_gas_kWh="---",0,REST_rest_gas_kWh)/1000</f>
        <v>604.5489</v>
      </c>
      <c r="F25" s="983"/>
      <c r="G25" s="983"/>
      <c r="H25" s="983"/>
      <c r="I25" s="983"/>
      <c r="J25" s="983"/>
      <c r="K25" s="983"/>
      <c r="L25" s="983"/>
      <c r="M25" s="983"/>
      <c r="N25" s="983"/>
      <c r="O25" s="983"/>
      <c r="P25" s="983"/>
      <c r="Q25" s="984"/>
      <c r="R25" s="674">
        <f>SUM(C25:Q25)</f>
        <v>928.13424999999995</v>
      </c>
      <c r="S25" s="67"/>
    </row>
    <row r="26" spans="1:19" s="447" customFormat="1" ht="15.75" thickBot="1">
      <c r="A26" s="679" t="s">
        <v>824</v>
      </c>
      <c r="B26" s="791"/>
      <c r="C26" s="786">
        <f>SUM(C24:C25)</f>
        <v>563.58934999999997</v>
      </c>
      <c r="D26" s="786">
        <f t="shared" ref="D26:R26" si="2">SUM(D24:D25)</f>
        <v>0</v>
      </c>
      <c r="E26" s="786">
        <f t="shared" si="2"/>
        <v>666.87529600000005</v>
      </c>
      <c r="F26" s="786">
        <f t="shared" si="2"/>
        <v>7.054450616826518</v>
      </c>
      <c r="G26" s="786">
        <f t="shared" si="2"/>
        <v>999.84369486455967</v>
      </c>
      <c r="H26" s="786">
        <f t="shared" si="2"/>
        <v>0</v>
      </c>
      <c r="I26" s="786">
        <f t="shared" si="2"/>
        <v>0</v>
      </c>
      <c r="J26" s="786">
        <f t="shared" si="2"/>
        <v>0</v>
      </c>
      <c r="K26" s="786">
        <f t="shared" si="2"/>
        <v>34.771425455101081</v>
      </c>
      <c r="L26" s="786">
        <f t="shared" si="2"/>
        <v>0</v>
      </c>
      <c r="M26" s="786">
        <f t="shared" si="2"/>
        <v>0</v>
      </c>
      <c r="N26" s="786">
        <f t="shared" si="2"/>
        <v>0</v>
      </c>
      <c r="O26" s="786">
        <f t="shared" si="2"/>
        <v>0</v>
      </c>
      <c r="P26" s="786">
        <f t="shared" si="2"/>
        <v>0</v>
      </c>
      <c r="Q26" s="786">
        <f t="shared" si="2"/>
        <v>0</v>
      </c>
      <c r="R26" s="786">
        <f t="shared" si="2"/>
        <v>2272.1342169364871</v>
      </c>
      <c r="S26" s="67"/>
    </row>
    <row r="27" spans="1:19" s="447" customFormat="1" ht="17.25" thickTop="1" thickBot="1">
      <c r="A27" s="680" t="s">
        <v>115</v>
      </c>
      <c r="B27" s="779"/>
      <c r="C27" s="681">
        <f ca="1">C22+C16+C26</f>
        <v>83101.959034222731</v>
      </c>
      <c r="D27" s="681">
        <f t="shared" ref="D27:R27" ca="1" si="3">D22+D16+D26</f>
        <v>0</v>
      </c>
      <c r="E27" s="681">
        <f t="shared" ca="1" si="3"/>
        <v>49955.85136922208</v>
      </c>
      <c r="F27" s="681">
        <f t="shared" si="3"/>
        <v>8128.0054073591555</v>
      </c>
      <c r="G27" s="681">
        <f t="shared" ca="1" si="3"/>
        <v>30537.419349626394</v>
      </c>
      <c r="H27" s="681">
        <f t="shared" si="3"/>
        <v>118105.30698705072</v>
      </c>
      <c r="I27" s="681">
        <f t="shared" si="3"/>
        <v>23146.70192542599</v>
      </c>
      <c r="J27" s="681">
        <f t="shared" si="3"/>
        <v>0</v>
      </c>
      <c r="K27" s="681">
        <f t="shared" si="3"/>
        <v>38.527279105642606</v>
      </c>
      <c r="L27" s="681">
        <f t="shared" si="3"/>
        <v>0</v>
      </c>
      <c r="M27" s="681">
        <f t="shared" ca="1" si="3"/>
        <v>0</v>
      </c>
      <c r="N27" s="681">
        <f t="shared" si="3"/>
        <v>7579.9233566712783</v>
      </c>
      <c r="O27" s="681">
        <f t="shared" ca="1" si="3"/>
        <v>14174.839921689731</v>
      </c>
      <c r="P27" s="681">
        <f t="shared" si="3"/>
        <v>281.40000000000003</v>
      </c>
      <c r="Q27" s="681">
        <f t="shared" si="3"/>
        <v>705.4666666666667</v>
      </c>
      <c r="R27" s="681">
        <f t="shared" ca="1" si="3"/>
        <v>335755.40129704034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812.35687890406166</v>
      </c>
      <c r="D40" s="979">
        <f ca="1">tertiair!C20</f>
        <v>0</v>
      </c>
      <c r="E40" s="979">
        <f ca="1">tertiair!D20</f>
        <v>2433.0873313335605</v>
      </c>
      <c r="F40" s="979">
        <f>tertiair!E20</f>
        <v>48.323893180444358</v>
      </c>
      <c r="G40" s="979">
        <f ca="1">tertiair!F20</f>
        <v>761.84249645633668</v>
      </c>
      <c r="H40" s="979">
        <f>tertiair!G20</f>
        <v>0</v>
      </c>
      <c r="I40" s="979">
        <f>tertiair!H20</f>
        <v>0</v>
      </c>
      <c r="J40" s="979">
        <f>tertiair!I20</f>
        <v>0</v>
      </c>
      <c r="K40" s="979">
        <f>tertiair!J20</f>
        <v>7.2885019302648792E-3</v>
      </c>
      <c r="L40" s="979">
        <f>tertiair!K20</f>
        <v>0</v>
      </c>
      <c r="M40" s="979">
        <f ca="1">tertiair!L20</f>
        <v>0</v>
      </c>
      <c r="N40" s="979">
        <f>tertiair!M20</f>
        <v>0</v>
      </c>
      <c r="O40" s="979">
        <f ca="1">tertiair!N20</f>
        <v>0</v>
      </c>
      <c r="P40" s="979">
        <f>tertiair!O20</f>
        <v>0</v>
      </c>
      <c r="Q40" s="748">
        <f>tertiair!P20</f>
        <v>0</v>
      </c>
      <c r="R40" s="824">
        <f t="shared" ca="1" si="4"/>
        <v>4055.6178883763337</v>
      </c>
    </row>
    <row r="41" spans="1:18">
      <c r="A41" s="796" t="s">
        <v>224</v>
      </c>
      <c r="B41" s="803"/>
      <c r="C41" s="979">
        <f ca="1">huishoudens!B12</f>
        <v>797.75758721721218</v>
      </c>
      <c r="D41" s="979">
        <f ca="1">huishoudens!C12</f>
        <v>0</v>
      </c>
      <c r="E41" s="979">
        <f>huishoudens!D12</f>
        <v>5627.3304368995996</v>
      </c>
      <c r="F41" s="979">
        <f>huishoudens!E12</f>
        <v>1663.5209851309596</v>
      </c>
      <c r="G41" s="979">
        <f>huishoudens!F12</f>
        <v>6717.3678225518652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14805.976831799637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2229.8927145768525</v>
      </c>
      <c r="D43" s="979">
        <f ca="1">industrie!C22</f>
        <v>0</v>
      </c>
      <c r="E43" s="979">
        <f>industrie!D22</f>
        <v>1868.7831061108002</v>
      </c>
      <c r="F43" s="979">
        <f>industrie!E22</f>
        <v>74.443277312702278</v>
      </c>
      <c r="G43" s="979">
        <f>industrie!F22</f>
        <v>407.32238081320844</v>
      </c>
      <c r="H43" s="979">
        <f>industrie!G22</f>
        <v>0</v>
      </c>
      <c r="I43" s="979">
        <f>industrie!H22</f>
        <v>0</v>
      </c>
      <c r="J43" s="979">
        <f>industrie!I22</f>
        <v>0</v>
      </c>
      <c r="K43" s="979">
        <f>industrie!J22</f>
        <v>1.3222836903614352</v>
      </c>
      <c r="L43" s="979">
        <f>industrie!K22</f>
        <v>0</v>
      </c>
      <c r="M43" s="979">
        <f>industrie!L22</f>
        <v>0</v>
      </c>
      <c r="N43" s="979">
        <f>industrie!M22</f>
        <v>0</v>
      </c>
      <c r="O43" s="979">
        <f>industrie!N22</f>
        <v>0</v>
      </c>
      <c r="P43" s="979">
        <f>industrie!O22</f>
        <v>0</v>
      </c>
      <c r="Q43" s="748">
        <f>industrie!P22</f>
        <v>0</v>
      </c>
      <c r="R43" s="823">
        <f t="shared" ca="1" si="4"/>
        <v>4581.7637625039251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3840.0071806981264</v>
      </c>
      <c r="D46" s="706">
        <f t="shared" ref="D46:Q46" ca="1" si="5">SUM(D39:D45)</f>
        <v>0</v>
      </c>
      <c r="E46" s="706">
        <f t="shared" ca="1" si="5"/>
        <v>9929.2008743439601</v>
      </c>
      <c r="F46" s="706">
        <f t="shared" si="5"/>
        <v>1786.2881556241064</v>
      </c>
      <c r="G46" s="706">
        <f t="shared" ca="1" si="5"/>
        <v>7886.5326998214105</v>
      </c>
      <c r="H46" s="706">
        <f t="shared" si="5"/>
        <v>0</v>
      </c>
      <c r="I46" s="706">
        <f t="shared" si="5"/>
        <v>0</v>
      </c>
      <c r="J46" s="706">
        <f t="shared" si="5"/>
        <v>0</v>
      </c>
      <c r="K46" s="706">
        <f t="shared" si="5"/>
        <v>1.3295721922917001</v>
      </c>
      <c r="L46" s="706">
        <f t="shared" si="5"/>
        <v>0</v>
      </c>
      <c r="M46" s="706">
        <f t="shared" ca="1" si="5"/>
        <v>0</v>
      </c>
      <c r="N46" s="706">
        <f t="shared" si="5"/>
        <v>0</v>
      </c>
      <c r="O46" s="706">
        <f t="shared" ca="1" si="5"/>
        <v>0</v>
      </c>
      <c r="P46" s="706">
        <f t="shared" si="5"/>
        <v>0</v>
      </c>
      <c r="Q46" s="706">
        <f t="shared" si="5"/>
        <v>0</v>
      </c>
      <c r="R46" s="706">
        <f ca="1">SUM(R39:R45)</f>
        <v>23443.358482679894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306.07770868090296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306.07770868090296</v>
      </c>
    </row>
    <row r="50" spans="1:18">
      <c r="A50" s="799" t="s">
        <v>306</v>
      </c>
      <c r="B50" s="809"/>
      <c r="C50" s="677">
        <f ca="1">transport!B18</f>
        <v>2.2633862953149566</v>
      </c>
      <c r="D50" s="677">
        <f>transport!C18</f>
        <v>0</v>
      </c>
      <c r="E50" s="677">
        <f>transport!D18</f>
        <v>27.172292446900087</v>
      </c>
      <c r="F50" s="677">
        <f>transport!E18</f>
        <v>57.167711556402637</v>
      </c>
      <c r="G50" s="677">
        <f>transport!F18</f>
        <v>0</v>
      </c>
      <c r="H50" s="677">
        <f>transport!G18</f>
        <v>31228.039256861637</v>
      </c>
      <c r="I50" s="677">
        <f>transport!H18</f>
        <v>5763.5287794310716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37078.171426591325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2.2633862953149566</v>
      </c>
      <c r="D52" s="706">
        <f t="shared" ref="D52:Q52" ca="1" si="6">SUM(D48:D51)</f>
        <v>0</v>
      </c>
      <c r="E52" s="706">
        <f t="shared" si="6"/>
        <v>27.172292446900087</v>
      </c>
      <c r="F52" s="706">
        <f t="shared" si="6"/>
        <v>57.167711556402637</v>
      </c>
      <c r="G52" s="706">
        <f t="shared" si="6"/>
        <v>0</v>
      </c>
      <c r="H52" s="706">
        <f t="shared" si="6"/>
        <v>31534.11696554254</v>
      </c>
      <c r="I52" s="706">
        <f t="shared" si="6"/>
        <v>5763.5287794310716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37384.249135272228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11.172504481112442</v>
      </c>
      <c r="D54" s="677">
        <f ca="1">+landbouw!C12</f>
        <v>0</v>
      </c>
      <c r="E54" s="677">
        <f>+landbouw!D12</f>
        <v>12.589931992000002</v>
      </c>
      <c r="F54" s="677">
        <f>+landbouw!E12</f>
        <v>1.6013602900196195</v>
      </c>
      <c r="G54" s="677">
        <f>+landbouw!F12</f>
        <v>266.95826652883744</v>
      </c>
      <c r="H54" s="677">
        <f>+landbouw!G12</f>
        <v>0</v>
      </c>
      <c r="I54" s="677">
        <f>+landbouw!H12</f>
        <v>0</v>
      </c>
      <c r="J54" s="677">
        <f>+landbouw!I12</f>
        <v>0</v>
      </c>
      <c r="K54" s="677">
        <f>+landbouw!J12</f>
        <v>12.309084611105781</v>
      </c>
      <c r="L54" s="677">
        <f>+landbouw!K12</f>
        <v>0</v>
      </c>
      <c r="M54" s="677">
        <f>+landbouw!L12</f>
        <v>0</v>
      </c>
      <c r="N54" s="677">
        <f>+landbouw!M12</f>
        <v>0</v>
      </c>
      <c r="O54" s="677">
        <f>+landbouw!N12</f>
        <v>0</v>
      </c>
      <c r="P54" s="677">
        <f>+landbouw!O12</f>
        <v>0</v>
      </c>
      <c r="Q54" s="678">
        <f>+landbouw!P12</f>
        <v>0</v>
      </c>
      <c r="R54" s="705">
        <f ca="1">SUM(C54:Q54)</f>
        <v>304.63114790307532</v>
      </c>
    </row>
    <row r="55" spans="1:18" ht="15" thickBot="1">
      <c r="A55" s="799" t="s">
        <v>823</v>
      </c>
      <c r="B55" s="809"/>
      <c r="C55" s="677">
        <f ca="1">C25*'EF ele_warmte'!B12</f>
        <v>15.063327164952824</v>
      </c>
      <c r="D55" s="677"/>
      <c r="E55" s="677">
        <f>E25*EF_CO2_aardgas</f>
        <v>122.11887780000001</v>
      </c>
      <c r="F55" s="677"/>
      <c r="G55" s="677"/>
      <c r="H55" s="677"/>
      <c r="I55" s="677"/>
      <c r="J55" s="677"/>
      <c r="K55" s="677"/>
      <c r="L55" s="677"/>
      <c r="M55" s="677"/>
      <c r="N55" s="677"/>
      <c r="O55" s="677"/>
      <c r="P55" s="677"/>
      <c r="Q55" s="678"/>
      <c r="R55" s="705">
        <f ca="1">SUM(C55:Q55)</f>
        <v>137.18220496495283</v>
      </c>
    </row>
    <row r="56" spans="1:18" ht="15.75" thickBot="1">
      <c r="A56" s="797" t="s">
        <v>824</v>
      </c>
      <c r="B56" s="810"/>
      <c r="C56" s="706">
        <f ca="1">SUM(C54:C55)</f>
        <v>26.235831646065265</v>
      </c>
      <c r="D56" s="706">
        <f t="shared" ref="D56:Q56" ca="1" si="7">SUM(D54:D55)</f>
        <v>0</v>
      </c>
      <c r="E56" s="706">
        <f t="shared" si="7"/>
        <v>134.70880979200001</v>
      </c>
      <c r="F56" s="706">
        <f t="shared" si="7"/>
        <v>1.6013602900196195</v>
      </c>
      <c r="G56" s="706">
        <f t="shared" si="7"/>
        <v>266.95826652883744</v>
      </c>
      <c r="H56" s="706">
        <f t="shared" si="7"/>
        <v>0</v>
      </c>
      <c r="I56" s="706">
        <f t="shared" si="7"/>
        <v>0</v>
      </c>
      <c r="J56" s="706">
        <f t="shared" si="7"/>
        <v>0</v>
      </c>
      <c r="K56" s="706">
        <f t="shared" si="7"/>
        <v>12.309084611105781</v>
      </c>
      <c r="L56" s="706">
        <f t="shared" si="7"/>
        <v>0</v>
      </c>
      <c r="M56" s="706">
        <f t="shared" si="7"/>
        <v>0</v>
      </c>
      <c r="N56" s="706">
        <f t="shared" si="7"/>
        <v>0</v>
      </c>
      <c r="O56" s="706">
        <f t="shared" si="7"/>
        <v>0</v>
      </c>
      <c r="P56" s="706">
        <f t="shared" si="7"/>
        <v>0</v>
      </c>
      <c r="Q56" s="707">
        <f t="shared" si="7"/>
        <v>0</v>
      </c>
      <c r="R56" s="708">
        <f ca="1">SUM(R54:R55)</f>
        <v>441.81335286802812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3868.5063986395066</v>
      </c>
      <c r="D61" s="714">
        <f t="shared" ref="D61:Q61" ca="1" si="8">D46+D52+D56</f>
        <v>0</v>
      </c>
      <c r="E61" s="714">
        <f t="shared" ca="1" si="8"/>
        <v>10091.08197658286</v>
      </c>
      <c r="F61" s="714">
        <f t="shared" si="8"/>
        <v>1845.0572274705285</v>
      </c>
      <c r="G61" s="714">
        <f t="shared" ca="1" si="8"/>
        <v>8153.4909663502476</v>
      </c>
      <c r="H61" s="714">
        <f t="shared" si="8"/>
        <v>31534.11696554254</v>
      </c>
      <c r="I61" s="714">
        <f t="shared" si="8"/>
        <v>5763.5287794310716</v>
      </c>
      <c r="J61" s="714">
        <f t="shared" si="8"/>
        <v>0</v>
      </c>
      <c r="K61" s="714">
        <f t="shared" si="8"/>
        <v>13.638656803397481</v>
      </c>
      <c r="L61" s="714">
        <f t="shared" si="8"/>
        <v>0</v>
      </c>
      <c r="M61" s="714">
        <f t="shared" ca="1" si="8"/>
        <v>0</v>
      </c>
      <c r="N61" s="714">
        <f t="shared" si="8"/>
        <v>0</v>
      </c>
      <c r="O61" s="714">
        <f t="shared" ca="1" si="8"/>
        <v>0</v>
      </c>
      <c r="P61" s="714">
        <f t="shared" si="8"/>
        <v>0</v>
      </c>
      <c r="Q61" s="714">
        <f t="shared" si="8"/>
        <v>0</v>
      </c>
      <c r="R61" s="714">
        <f ca="1">R46+R52+R56</f>
        <v>61269.420970820145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4.6551326149199358E-2</v>
      </c>
      <c r="D63" s="755">
        <f t="shared" ca="1" si="9"/>
        <v>0</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13951.829814562519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2374.7337055290104</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5080.8416741334277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44190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110475</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65597.405194224964</v>
      </c>
      <c r="C78" s="729">
        <f>SUM(C72:C77)</f>
        <v>0</v>
      </c>
      <c r="D78" s="730">
        <f t="shared" ref="D78:H78" si="10">SUM(D76:D77)</f>
        <v>0</v>
      </c>
      <c r="E78" s="730">
        <f t="shared" si="10"/>
        <v>0</v>
      </c>
      <c r="F78" s="730">
        <f t="shared" si="10"/>
        <v>0</v>
      </c>
      <c r="G78" s="730">
        <f t="shared" si="10"/>
        <v>0</v>
      </c>
      <c r="H78" s="730">
        <f t="shared" si="10"/>
        <v>0</v>
      </c>
      <c r="I78" s="730">
        <f>SUM(I76:I77)</f>
        <v>0</v>
      </c>
      <c r="J78" s="730">
        <f>SUM(J76:J77)</f>
        <v>110475</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13951.829814562519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2374.7337055290104</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5080.8416741334277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44190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65597.405194224964</v>
      </c>
      <c r="C10" s="557">
        <f t="shared" ref="C10:L10" si="0">SUM(C8:C9)</f>
        <v>0</v>
      </c>
      <c r="D10" s="557">
        <f t="shared" si="0"/>
        <v>0</v>
      </c>
      <c r="E10" s="557">
        <f t="shared" si="0"/>
        <v>0</v>
      </c>
      <c r="F10" s="557">
        <f t="shared" si="0"/>
        <v>0</v>
      </c>
      <c r="G10" s="557">
        <f t="shared" si="0"/>
        <v>0</v>
      </c>
      <c r="H10" s="557">
        <f t="shared" si="0"/>
        <v>0</v>
      </c>
      <c r="I10" s="557">
        <f t="shared" si="0"/>
        <v>0</v>
      </c>
      <c r="J10" s="557">
        <f t="shared" si="0"/>
        <v>110475</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38.25">
      <c r="A35" s="581"/>
      <c r="B35" s="770">
        <v>71069</v>
      </c>
      <c r="C35" s="770">
        <v>3945</v>
      </c>
      <c r="D35" s="629" t="s">
        <v>887</v>
      </c>
      <c r="E35" s="629" t="s">
        <v>888</v>
      </c>
      <c r="F35" s="629" t="s">
        <v>889</v>
      </c>
      <c r="G35" s="629" t="s">
        <v>890</v>
      </c>
      <c r="H35" s="629" t="s">
        <v>891</v>
      </c>
      <c r="I35" s="629" t="s">
        <v>892</v>
      </c>
      <c r="J35" s="769">
        <v>40742</v>
      </c>
      <c r="K35" s="769">
        <v>40774</v>
      </c>
      <c r="L35" s="629" t="s">
        <v>893</v>
      </c>
      <c r="M35" s="629">
        <v>9820</v>
      </c>
      <c r="N35" s="629">
        <v>44190</v>
      </c>
      <c r="O35" s="629">
        <v>0</v>
      </c>
      <c r="P35" s="629">
        <v>0</v>
      </c>
      <c r="Q35" s="629">
        <v>0</v>
      </c>
      <c r="R35" s="629">
        <v>0</v>
      </c>
      <c r="S35" s="629">
        <v>0</v>
      </c>
      <c r="T35" s="629">
        <v>0</v>
      </c>
      <c r="U35" s="629">
        <v>0</v>
      </c>
      <c r="V35" s="629">
        <v>110475</v>
      </c>
      <c r="W35" s="629">
        <v>0</v>
      </c>
      <c r="X35" s="629">
        <v>1600</v>
      </c>
      <c r="Y35" s="629" t="s">
        <v>32</v>
      </c>
      <c r="Z35" s="630" t="s">
        <v>388</v>
      </c>
    </row>
    <row r="36" spans="1:27" s="564" customFormat="1">
      <c r="A36" s="582" t="s">
        <v>279</v>
      </c>
      <c r="B36" s="583"/>
      <c r="C36" s="583"/>
      <c r="D36" s="583"/>
      <c r="E36" s="583"/>
      <c r="F36" s="583"/>
      <c r="G36" s="583"/>
      <c r="H36" s="583"/>
      <c r="I36" s="583"/>
      <c r="J36" s="583"/>
      <c r="K36" s="583"/>
      <c r="L36" s="584"/>
      <c r="M36" s="584">
        <f>SUM(M35:M35)</f>
        <v>9820</v>
      </c>
      <c r="N36" s="584">
        <f>SUM(N35:N35)</f>
        <v>44190</v>
      </c>
      <c r="O36" s="584">
        <f>SUM(O35:O35)</f>
        <v>0</v>
      </c>
      <c r="P36" s="584">
        <f>SUM(P35:P35)</f>
        <v>0</v>
      </c>
      <c r="Q36" s="584">
        <f>SUM(Q35:Q35)</f>
        <v>0</v>
      </c>
      <c r="R36" s="584">
        <f>SUM(R35:R35)</f>
        <v>0</v>
      </c>
      <c r="S36" s="584">
        <f>SUM(S35:S35)</f>
        <v>0</v>
      </c>
      <c r="T36" s="584">
        <f>SUM(T35:T35)</f>
        <v>0</v>
      </c>
      <c r="U36" s="584">
        <f>SUM(U35:U35)</f>
        <v>0</v>
      </c>
      <c r="V36" s="584">
        <f>SUM(V35:V35)</f>
        <v>110475</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9820</v>
      </c>
      <c r="N37" s="584">
        <f>SUMIF($Z$35:$Z$35,"industrie",N35:N35)</f>
        <v>44190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110475</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17137.161348752099</v>
      </c>
      <c r="C4" s="451">
        <f>huishoudens!C8</f>
        <v>0</v>
      </c>
      <c r="D4" s="451">
        <f>huishoudens!D8</f>
        <v>27858.071469799997</v>
      </c>
      <c r="E4" s="451">
        <f>huishoudens!E8</f>
        <v>7328.2862781099539</v>
      </c>
      <c r="F4" s="451">
        <f>huishoudens!F8</f>
        <v>25158.680983340317</v>
      </c>
      <c r="G4" s="451">
        <f>huishoudens!G8</f>
        <v>0</v>
      </c>
      <c r="H4" s="451">
        <f>huishoudens!H8</f>
        <v>0</v>
      </c>
      <c r="I4" s="451">
        <f>huishoudens!I8</f>
        <v>0</v>
      </c>
      <c r="J4" s="451">
        <f>huishoudens!J8</f>
        <v>0</v>
      </c>
      <c r="K4" s="451">
        <f>huishoudens!K8</f>
        <v>0</v>
      </c>
      <c r="L4" s="451">
        <f>huishoudens!L8</f>
        <v>0</v>
      </c>
      <c r="M4" s="451">
        <f>huishoudens!M8</f>
        <v>0</v>
      </c>
      <c r="N4" s="451">
        <f>huishoudens!N8</f>
        <v>13346.958404974932</v>
      </c>
      <c r="O4" s="451">
        <f>huishoudens!O8</f>
        <v>279.8366666666667</v>
      </c>
      <c r="P4" s="452">
        <f>huishoudens!P8</f>
        <v>705.4666666666667</v>
      </c>
      <c r="Q4" s="453">
        <f>SUM(B4:P4)</f>
        <v>91814.461818310621</v>
      </c>
    </row>
    <row r="5" spans="1:17">
      <c r="A5" s="450" t="s">
        <v>155</v>
      </c>
      <c r="B5" s="451">
        <f ca="1">tertiair!B16</f>
        <v>16879.931443999998</v>
      </c>
      <c r="C5" s="451">
        <f ca="1">tertiair!C16</f>
        <v>0</v>
      </c>
      <c r="D5" s="451">
        <f ca="1">tertiair!D16</f>
        <v>12044.986788780001</v>
      </c>
      <c r="E5" s="451">
        <f>tertiair!E16</f>
        <v>212.88058669799275</v>
      </c>
      <c r="F5" s="451">
        <f ca="1">tertiair!F16</f>
        <v>2853.3426833570661</v>
      </c>
      <c r="G5" s="451">
        <f>tertiair!G16</f>
        <v>0</v>
      </c>
      <c r="H5" s="451">
        <f>tertiair!H16</f>
        <v>0</v>
      </c>
      <c r="I5" s="451">
        <f>tertiair!I16</f>
        <v>0</v>
      </c>
      <c r="J5" s="451">
        <f>tertiair!J16</f>
        <v>2.0588988503573106E-2</v>
      </c>
      <c r="K5" s="451">
        <f>tertiair!K16</f>
        <v>0</v>
      </c>
      <c r="L5" s="451">
        <f ca="1">tertiair!L16</f>
        <v>0</v>
      </c>
      <c r="M5" s="451">
        <f>tertiair!M16</f>
        <v>0</v>
      </c>
      <c r="N5" s="451">
        <f ca="1">tertiair!N16</f>
        <v>827.88151671479773</v>
      </c>
      <c r="O5" s="451">
        <f>tertiair!O16</f>
        <v>1.5633333333333335</v>
      </c>
      <c r="P5" s="452">
        <f>tertiair!P16</f>
        <v>0</v>
      </c>
      <c r="Q5" s="450">
        <f t="shared" ref="Q5:Q14" ca="1" si="0">SUM(B5:P5)</f>
        <v>32820.606941871694</v>
      </c>
    </row>
    <row r="6" spans="1:17">
      <c r="A6" s="450" t="s">
        <v>193</v>
      </c>
      <c r="B6" s="451">
        <f>'openbare verlichting'!B8</f>
        <v>570.84699999999998</v>
      </c>
      <c r="C6" s="451"/>
      <c r="D6" s="451"/>
      <c r="E6" s="451"/>
      <c r="F6" s="451"/>
      <c r="G6" s="451"/>
      <c r="H6" s="451"/>
      <c r="I6" s="451"/>
      <c r="J6" s="451"/>
      <c r="K6" s="451"/>
      <c r="L6" s="451"/>
      <c r="M6" s="451"/>
      <c r="N6" s="451"/>
      <c r="O6" s="451"/>
      <c r="P6" s="452"/>
      <c r="Q6" s="450">
        <f t="shared" si="0"/>
        <v>570.84699999999998</v>
      </c>
    </row>
    <row r="7" spans="1:17">
      <c r="A7" s="450" t="s">
        <v>111</v>
      </c>
      <c r="B7" s="451">
        <f>landbouw!B8</f>
        <v>240.00399999999999</v>
      </c>
      <c r="C7" s="451">
        <f>landbouw!C8</f>
        <v>0</v>
      </c>
      <c r="D7" s="451">
        <f>landbouw!D8</f>
        <v>62.326396000000003</v>
      </c>
      <c r="E7" s="451">
        <f>landbouw!E8</f>
        <v>7.054450616826518</v>
      </c>
      <c r="F7" s="451">
        <f>landbouw!F8</f>
        <v>999.84369486455967</v>
      </c>
      <c r="G7" s="451">
        <f>landbouw!G8</f>
        <v>0</v>
      </c>
      <c r="H7" s="451">
        <f>landbouw!H8</f>
        <v>0</v>
      </c>
      <c r="I7" s="451">
        <f>landbouw!I8</f>
        <v>0</v>
      </c>
      <c r="J7" s="451">
        <f>landbouw!J8</f>
        <v>34.771425455101081</v>
      </c>
      <c r="K7" s="451">
        <f>landbouw!K8</f>
        <v>0</v>
      </c>
      <c r="L7" s="451">
        <f>landbouw!L8</f>
        <v>0</v>
      </c>
      <c r="M7" s="451">
        <f>landbouw!M8</f>
        <v>0</v>
      </c>
      <c r="N7" s="451">
        <f>landbouw!N8</f>
        <v>0</v>
      </c>
      <c r="O7" s="451">
        <f>landbouw!O8</f>
        <v>0</v>
      </c>
      <c r="P7" s="452">
        <f>landbouw!P8</f>
        <v>0</v>
      </c>
      <c r="Q7" s="450">
        <f t="shared" si="0"/>
        <v>1343.9999669364872</v>
      </c>
    </row>
    <row r="8" spans="1:17">
      <c r="A8" s="450" t="s">
        <v>634</v>
      </c>
      <c r="B8" s="451">
        <f>industrie!B18</f>
        <v>47901.808584999999</v>
      </c>
      <c r="C8" s="451">
        <f>industrie!C18</f>
        <v>0</v>
      </c>
      <c r="D8" s="451">
        <f>industrie!D18</f>
        <v>9251.4015154000008</v>
      </c>
      <c r="E8" s="451">
        <f>industrie!E18</f>
        <v>327.94395291939327</v>
      </c>
      <c r="F8" s="451">
        <f>industrie!F18</f>
        <v>1525.5519880644511</v>
      </c>
      <c r="G8" s="451">
        <f>industrie!G18</f>
        <v>0</v>
      </c>
      <c r="H8" s="451">
        <f>industrie!H18</f>
        <v>0</v>
      </c>
      <c r="I8" s="451">
        <f>industrie!I18</f>
        <v>0</v>
      </c>
      <c r="J8" s="451">
        <f>industrie!J18</f>
        <v>3.7352646620379528</v>
      </c>
      <c r="K8" s="451">
        <f>industrie!K18</f>
        <v>0</v>
      </c>
      <c r="L8" s="451">
        <f>industrie!L18</f>
        <v>0</v>
      </c>
      <c r="M8" s="451">
        <f>industrie!M18</f>
        <v>0</v>
      </c>
      <c r="N8" s="451">
        <f>industrie!N18</f>
        <v>0</v>
      </c>
      <c r="O8" s="451">
        <f>industrie!O18</f>
        <v>0</v>
      </c>
      <c r="P8" s="452">
        <f>industrie!P18</f>
        <v>0</v>
      </c>
      <c r="Q8" s="450">
        <f t="shared" si="0"/>
        <v>59010.441306045876</v>
      </c>
    </row>
    <row r="9" spans="1:17" s="456" customFormat="1">
      <c r="A9" s="454" t="s">
        <v>560</v>
      </c>
      <c r="B9" s="455">
        <f>transport!B14</f>
        <v>48.621306470640363</v>
      </c>
      <c r="C9" s="455">
        <f>transport!C14</f>
        <v>0</v>
      </c>
      <c r="D9" s="455">
        <f>transport!D14</f>
        <v>134.51629924207964</v>
      </c>
      <c r="E9" s="455">
        <f>transport!E14</f>
        <v>251.84013901498957</v>
      </c>
      <c r="F9" s="455">
        <f>transport!F14</f>
        <v>0</v>
      </c>
      <c r="G9" s="455">
        <f>transport!G14</f>
        <v>116958.94852757167</v>
      </c>
      <c r="H9" s="455">
        <f>transport!H14</f>
        <v>23146.70192542599</v>
      </c>
      <c r="I9" s="455">
        <f>transport!I14</f>
        <v>0</v>
      </c>
      <c r="J9" s="455">
        <f>transport!J14</f>
        <v>0</v>
      </c>
      <c r="K9" s="455">
        <f>transport!K14</f>
        <v>0</v>
      </c>
      <c r="L9" s="455">
        <f>transport!L14</f>
        <v>0</v>
      </c>
      <c r="M9" s="455">
        <f>transport!M14</f>
        <v>7514.8201750700691</v>
      </c>
      <c r="N9" s="455">
        <f>transport!N14</f>
        <v>0</v>
      </c>
      <c r="O9" s="455">
        <f>transport!O14</f>
        <v>0</v>
      </c>
      <c r="P9" s="455">
        <f>transport!P14</f>
        <v>0</v>
      </c>
      <c r="Q9" s="454">
        <f>SUM(B9:P9)</f>
        <v>148055.44837279545</v>
      </c>
    </row>
    <row r="10" spans="1:17">
      <c r="A10" s="450" t="s">
        <v>550</v>
      </c>
      <c r="B10" s="451">
        <f>transport!B54</f>
        <v>0</v>
      </c>
      <c r="C10" s="451">
        <f>transport!C54</f>
        <v>0</v>
      </c>
      <c r="D10" s="451">
        <f>transport!D54</f>
        <v>0</v>
      </c>
      <c r="E10" s="451">
        <f>transport!E54</f>
        <v>0</v>
      </c>
      <c r="F10" s="451">
        <f>transport!F54</f>
        <v>0</v>
      </c>
      <c r="G10" s="451">
        <f>transport!G54</f>
        <v>1146.3584594790373</v>
      </c>
      <c r="H10" s="451">
        <f>transport!H54</f>
        <v>0</v>
      </c>
      <c r="I10" s="451">
        <f>transport!I54</f>
        <v>0</v>
      </c>
      <c r="J10" s="451">
        <f>transport!J54</f>
        <v>0</v>
      </c>
      <c r="K10" s="451">
        <f>transport!K54</f>
        <v>0</v>
      </c>
      <c r="L10" s="451">
        <f>transport!L54</f>
        <v>0</v>
      </c>
      <c r="M10" s="451">
        <f>transport!M54</f>
        <v>65.103181601209229</v>
      </c>
      <c r="N10" s="451">
        <f>transport!N54</f>
        <v>0</v>
      </c>
      <c r="O10" s="451">
        <f>transport!O54</f>
        <v>0</v>
      </c>
      <c r="P10" s="452">
        <f>transport!P54</f>
        <v>0</v>
      </c>
      <c r="Q10" s="450">
        <f t="shared" si="0"/>
        <v>1211.4616410802464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323.58534999999995</v>
      </c>
      <c r="C14" s="458"/>
      <c r="D14" s="458">
        <f>'SEAP template'!E25</f>
        <v>604.5489</v>
      </c>
      <c r="E14" s="458"/>
      <c r="F14" s="458"/>
      <c r="G14" s="458"/>
      <c r="H14" s="458"/>
      <c r="I14" s="458"/>
      <c r="J14" s="458"/>
      <c r="K14" s="458"/>
      <c r="L14" s="458"/>
      <c r="M14" s="458"/>
      <c r="N14" s="458"/>
      <c r="O14" s="458"/>
      <c r="P14" s="459"/>
      <c r="Q14" s="450">
        <f t="shared" si="0"/>
        <v>928.13424999999995</v>
      </c>
    </row>
    <row r="15" spans="1:17" s="460" customFormat="1">
      <c r="A15" s="1005" t="s">
        <v>554</v>
      </c>
      <c r="B15" s="953">
        <f ca="1">SUM(B4:B14)</f>
        <v>83101.959034222731</v>
      </c>
      <c r="C15" s="953">
        <f t="shared" ref="C15:Q15" ca="1" si="1">SUM(C4:C14)</f>
        <v>0</v>
      </c>
      <c r="D15" s="953">
        <f t="shared" ca="1" si="1"/>
        <v>49955.85136922208</v>
      </c>
      <c r="E15" s="953">
        <f t="shared" si="1"/>
        <v>8128.0054073591555</v>
      </c>
      <c r="F15" s="953">
        <f t="shared" ca="1" si="1"/>
        <v>30537.419349626394</v>
      </c>
      <c r="G15" s="953">
        <f t="shared" si="1"/>
        <v>118105.30698705072</v>
      </c>
      <c r="H15" s="953">
        <f t="shared" si="1"/>
        <v>23146.70192542599</v>
      </c>
      <c r="I15" s="953">
        <f t="shared" si="1"/>
        <v>0</v>
      </c>
      <c r="J15" s="953">
        <f t="shared" si="1"/>
        <v>38.527279105642613</v>
      </c>
      <c r="K15" s="953">
        <f t="shared" si="1"/>
        <v>0</v>
      </c>
      <c r="L15" s="953">
        <f t="shared" ca="1" si="1"/>
        <v>0</v>
      </c>
      <c r="M15" s="953">
        <f t="shared" si="1"/>
        <v>7579.9233566712783</v>
      </c>
      <c r="N15" s="953">
        <f t="shared" ca="1" si="1"/>
        <v>14174.839921689731</v>
      </c>
      <c r="O15" s="953">
        <f t="shared" si="1"/>
        <v>281.40000000000003</v>
      </c>
      <c r="P15" s="953">
        <f t="shared" si="1"/>
        <v>705.4666666666667</v>
      </c>
      <c r="Q15" s="953">
        <f t="shared" ca="1" si="1"/>
        <v>335755.4012970404</v>
      </c>
    </row>
    <row r="17" spans="1:17">
      <c r="A17" s="461" t="s">
        <v>555</v>
      </c>
      <c r="B17" s="760">
        <f ca="1">huishoudens!B10</f>
        <v>4.6551326149199358E-2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797.75758721721218</v>
      </c>
      <c r="C22" s="451">
        <f t="shared" ref="C22:C32" ca="1" si="3">C4*$C$17</f>
        <v>0</v>
      </c>
      <c r="D22" s="451">
        <f t="shared" ref="D22:D32" si="4">D4*$D$17</f>
        <v>5627.3304368995996</v>
      </c>
      <c r="E22" s="451">
        <f t="shared" ref="E22:E32" si="5">E4*$E$17</f>
        <v>1663.5209851309596</v>
      </c>
      <c r="F22" s="451">
        <f t="shared" ref="F22:F32" si="6">F4*$F$17</f>
        <v>6717.3678225518652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14805.976831799637</v>
      </c>
    </row>
    <row r="23" spans="1:17">
      <c r="A23" s="450" t="s">
        <v>155</v>
      </c>
      <c r="B23" s="451">
        <f t="shared" ca="1" si="2"/>
        <v>785.7831940257696</v>
      </c>
      <c r="C23" s="451">
        <f t="shared" ca="1" si="3"/>
        <v>0</v>
      </c>
      <c r="D23" s="451">
        <f t="shared" ca="1" si="4"/>
        <v>2433.0873313335605</v>
      </c>
      <c r="E23" s="451">
        <f t="shared" si="5"/>
        <v>48.323893180444358</v>
      </c>
      <c r="F23" s="451">
        <f t="shared" ca="1" si="6"/>
        <v>761.84249645633668</v>
      </c>
      <c r="G23" s="451">
        <f t="shared" si="7"/>
        <v>0</v>
      </c>
      <c r="H23" s="451">
        <f t="shared" si="8"/>
        <v>0</v>
      </c>
      <c r="I23" s="451">
        <f t="shared" si="9"/>
        <v>0</v>
      </c>
      <c r="J23" s="451">
        <f t="shared" si="10"/>
        <v>7.2885019302648792E-3</v>
      </c>
      <c r="K23" s="451">
        <f t="shared" si="11"/>
        <v>0</v>
      </c>
      <c r="L23" s="451">
        <f t="shared" ca="1" si="12"/>
        <v>0</v>
      </c>
      <c r="M23" s="451">
        <f t="shared" si="13"/>
        <v>0</v>
      </c>
      <c r="N23" s="451">
        <f t="shared" ca="1" si="14"/>
        <v>0</v>
      </c>
      <c r="O23" s="451">
        <f t="shared" si="15"/>
        <v>0</v>
      </c>
      <c r="P23" s="452">
        <f t="shared" si="16"/>
        <v>0</v>
      </c>
      <c r="Q23" s="450">
        <f t="shared" ref="Q23:Q32" ca="1" si="17">SUM(B23:P23)</f>
        <v>4029.044203498042</v>
      </c>
    </row>
    <row r="24" spans="1:17">
      <c r="A24" s="450" t="s">
        <v>193</v>
      </c>
      <c r="B24" s="451">
        <f t="shared" ca="1" si="2"/>
        <v>26.573684878292006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26.573684878292006</v>
      </c>
    </row>
    <row r="25" spans="1:17">
      <c r="A25" s="450" t="s">
        <v>111</v>
      </c>
      <c r="B25" s="451">
        <f t="shared" ca="1" si="2"/>
        <v>11.172504481112442</v>
      </c>
      <c r="C25" s="451">
        <f t="shared" ca="1" si="3"/>
        <v>0</v>
      </c>
      <c r="D25" s="451">
        <f t="shared" si="4"/>
        <v>12.589931992000002</v>
      </c>
      <c r="E25" s="451">
        <f t="shared" si="5"/>
        <v>1.6013602900196195</v>
      </c>
      <c r="F25" s="451">
        <f t="shared" si="6"/>
        <v>266.95826652883744</v>
      </c>
      <c r="G25" s="451">
        <f t="shared" si="7"/>
        <v>0</v>
      </c>
      <c r="H25" s="451">
        <f t="shared" si="8"/>
        <v>0</v>
      </c>
      <c r="I25" s="451">
        <f t="shared" si="9"/>
        <v>0</v>
      </c>
      <c r="J25" s="451">
        <f t="shared" si="10"/>
        <v>12.309084611105781</v>
      </c>
      <c r="K25" s="451">
        <f t="shared" si="11"/>
        <v>0</v>
      </c>
      <c r="L25" s="451">
        <f t="shared" si="12"/>
        <v>0</v>
      </c>
      <c r="M25" s="451">
        <f t="shared" si="13"/>
        <v>0</v>
      </c>
      <c r="N25" s="451">
        <f t="shared" si="14"/>
        <v>0</v>
      </c>
      <c r="O25" s="451">
        <f t="shared" si="15"/>
        <v>0</v>
      </c>
      <c r="P25" s="452">
        <f t="shared" si="16"/>
        <v>0</v>
      </c>
      <c r="Q25" s="450">
        <f t="shared" ca="1" si="17"/>
        <v>304.63114790307532</v>
      </c>
    </row>
    <row r="26" spans="1:17">
      <c r="A26" s="450" t="s">
        <v>634</v>
      </c>
      <c r="B26" s="451">
        <f t="shared" ca="1" si="2"/>
        <v>2229.8927145768525</v>
      </c>
      <c r="C26" s="451">
        <f t="shared" ca="1" si="3"/>
        <v>0</v>
      </c>
      <c r="D26" s="451">
        <f t="shared" si="4"/>
        <v>1868.7831061108002</v>
      </c>
      <c r="E26" s="451">
        <f t="shared" si="5"/>
        <v>74.443277312702278</v>
      </c>
      <c r="F26" s="451">
        <f t="shared" si="6"/>
        <v>407.32238081320844</v>
      </c>
      <c r="G26" s="451">
        <f t="shared" si="7"/>
        <v>0</v>
      </c>
      <c r="H26" s="451">
        <f t="shared" si="8"/>
        <v>0</v>
      </c>
      <c r="I26" s="451">
        <f t="shared" si="9"/>
        <v>0</v>
      </c>
      <c r="J26" s="451">
        <f t="shared" si="10"/>
        <v>1.3222836903614352</v>
      </c>
      <c r="K26" s="451">
        <f t="shared" si="11"/>
        <v>0</v>
      </c>
      <c r="L26" s="451">
        <f t="shared" si="12"/>
        <v>0</v>
      </c>
      <c r="M26" s="451">
        <f t="shared" si="13"/>
        <v>0</v>
      </c>
      <c r="N26" s="451">
        <f t="shared" si="14"/>
        <v>0</v>
      </c>
      <c r="O26" s="451">
        <f t="shared" si="15"/>
        <v>0</v>
      </c>
      <c r="P26" s="452">
        <f t="shared" si="16"/>
        <v>0</v>
      </c>
      <c r="Q26" s="450">
        <f t="shared" ca="1" si="17"/>
        <v>4581.7637625039251</v>
      </c>
    </row>
    <row r="27" spans="1:17" s="456" customFormat="1">
      <c r="A27" s="454" t="s">
        <v>560</v>
      </c>
      <c r="B27" s="754">
        <f t="shared" ca="1" si="2"/>
        <v>2.2633862953149566</v>
      </c>
      <c r="C27" s="455">
        <f t="shared" ca="1" si="3"/>
        <v>0</v>
      </c>
      <c r="D27" s="455">
        <f t="shared" si="4"/>
        <v>27.172292446900087</v>
      </c>
      <c r="E27" s="455">
        <f t="shared" si="5"/>
        <v>57.167711556402637</v>
      </c>
      <c r="F27" s="455">
        <f t="shared" si="6"/>
        <v>0</v>
      </c>
      <c r="G27" s="455">
        <f t="shared" si="7"/>
        <v>31228.039256861637</v>
      </c>
      <c r="H27" s="455">
        <f t="shared" si="8"/>
        <v>5763.5287794310716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37078.171426591325</v>
      </c>
    </row>
    <row r="28" spans="1:17">
      <c r="A28" s="450" t="s">
        <v>550</v>
      </c>
      <c r="B28" s="451">
        <f t="shared" ca="1" si="2"/>
        <v>0</v>
      </c>
      <c r="C28" s="451">
        <f t="shared" ca="1" si="3"/>
        <v>0</v>
      </c>
      <c r="D28" s="451">
        <f t="shared" si="4"/>
        <v>0</v>
      </c>
      <c r="E28" s="451">
        <f t="shared" si="5"/>
        <v>0</v>
      </c>
      <c r="F28" s="451">
        <f t="shared" si="6"/>
        <v>0</v>
      </c>
      <c r="G28" s="451">
        <f t="shared" si="7"/>
        <v>306.07770868090296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306.07770868090296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15.063327164952824</v>
      </c>
      <c r="C32" s="451">
        <f t="shared" ca="1" si="3"/>
        <v>0</v>
      </c>
      <c r="D32" s="451">
        <f t="shared" si="4"/>
        <v>122.11887780000001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137.18220496495283</v>
      </c>
    </row>
    <row r="33" spans="1:17" s="460" customFormat="1">
      <c r="A33" s="1005" t="s">
        <v>554</v>
      </c>
      <c r="B33" s="953">
        <f ca="1">SUM(B22:B32)</f>
        <v>3868.5063986395062</v>
      </c>
      <c r="C33" s="953">
        <f t="shared" ref="C33:Q33" ca="1" si="18">SUM(C22:C32)</f>
        <v>0</v>
      </c>
      <c r="D33" s="953">
        <f t="shared" ca="1" si="18"/>
        <v>10091.08197658286</v>
      </c>
      <c r="E33" s="953">
        <f t="shared" si="18"/>
        <v>1845.0572274705285</v>
      </c>
      <c r="F33" s="953">
        <f t="shared" ca="1" si="18"/>
        <v>8153.4909663502476</v>
      </c>
      <c r="G33" s="953">
        <f t="shared" si="18"/>
        <v>31534.11696554254</v>
      </c>
      <c r="H33" s="953">
        <f t="shared" si="18"/>
        <v>5763.5287794310716</v>
      </c>
      <c r="I33" s="953">
        <f t="shared" si="18"/>
        <v>0</v>
      </c>
      <c r="J33" s="953">
        <f t="shared" si="18"/>
        <v>13.638656803397481</v>
      </c>
      <c r="K33" s="953">
        <f t="shared" si="18"/>
        <v>0</v>
      </c>
      <c r="L33" s="953">
        <f t="shared" ca="1" si="18"/>
        <v>0</v>
      </c>
      <c r="M33" s="953">
        <f t="shared" si="18"/>
        <v>0</v>
      </c>
      <c r="N33" s="953">
        <f t="shared" ca="1" si="18"/>
        <v>0</v>
      </c>
      <c r="O33" s="953">
        <f t="shared" si="18"/>
        <v>0</v>
      </c>
      <c r="P33" s="953">
        <f t="shared" si="18"/>
        <v>0</v>
      </c>
      <c r="Q33" s="953">
        <f t="shared" ca="1" si="18"/>
        <v>61269.420970820152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13951.829814562519</v>
      </c>
      <c r="C4" s="1022"/>
      <c r="D4" s="1022"/>
      <c r="E4" s="1022"/>
      <c r="F4" s="1022"/>
      <c r="G4" s="1022"/>
      <c r="H4" s="1022"/>
      <c r="I4" s="1022"/>
      <c r="J4" s="1022"/>
      <c r="K4" s="1022"/>
      <c r="L4" s="1022"/>
      <c r="M4" s="1022"/>
      <c r="N4" s="1022"/>
      <c r="O4" s="1022"/>
      <c r="P4" s="1023">
        <f>'SEAP template'!Q72</f>
        <v>0</v>
      </c>
    </row>
    <row r="5" spans="1:16">
      <c r="A5" s="1024" t="s">
        <v>249</v>
      </c>
      <c r="B5" s="1022">
        <f>'SEAP template'!B73</f>
        <v>2374.7337055290104</v>
      </c>
      <c r="C5" s="1022"/>
      <c r="D5" s="1022"/>
      <c r="E5" s="1022"/>
      <c r="F5" s="1022"/>
      <c r="G5" s="1022"/>
      <c r="H5" s="1022"/>
      <c r="I5" s="1022"/>
      <c r="J5" s="1022"/>
      <c r="K5" s="1022"/>
      <c r="L5" s="1022"/>
      <c r="M5" s="1022"/>
      <c r="N5" s="1022"/>
      <c r="O5" s="1022"/>
      <c r="P5" s="1023">
        <f>'SEAP template'!Q73</f>
        <v>0</v>
      </c>
    </row>
    <row r="6" spans="1:16">
      <c r="A6" s="1024" t="s">
        <v>250</v>
      </c>
      <c r="B6" s="1022">
        <f>'SEAP template'!B74</f>
        <v>5080.8416741334277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44190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110475</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65597.405194224964</v>
      </c>
      <c r="C10" s="1026">
        <f>SUM(C4:C9)</f>
        <v>0</v>
      </c>
      <c r="D10" s="1026">
        <f t="shared" ref="D10:H10" si="0">SUM(D8:D9)</f>
        <v>0</v>
      </c>
      <c r="E10" s="1026">
        <f t="shared" si="0"/>
        <v>0</v>
      </c>
      <c r="F10" s="1026">
        <f t="shared" si="0"/>
        <v>0</v>
      </c>
      <c r="G10" s="1026">
        <f t="shared" si="0"/>
        <v>0</v>
      </c>
      <c r="H10" s="1026">
        <f t="shared" si="0"/>
        <v>0</v>
      </c>
      <c r="I10" s="1026">
        <f>SUM(I8:I9)</f>
        <v>0</v>
      </c>
      <c r="J10" s="1026">
        <f>SUM(J8:J9)</f>
        <v>110475</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4.6551326149199358E-2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4.6551326149199358E-2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2020-06-20T15:48:34Z</dcterms:modified>
</cp:coreProperties>
</file>