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13" i="15"/>
  <c r="D13" i="15"/>
  <c r="B45" i="18"/>
  <c r="H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I8" i="18"/>
  <c r="I76" i="14" s="1"/>
  <c r="I8" i="61" s="1"/>
  <c r="I10" i="61" s="1"/>
  <c r="F49" i="18"/>
  <c r="E49" i="18"/>
  <c r="E17" i="18" s="1"/>
  <c r="G49" i="18"/>
  <c r="D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P16" i="14" s="1"/>
  <c r="P27" i="14" s="1"/>
  <c r="O8" i="48"/>
  <c r="O26" i="48"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E5" i="48"/>
  <c r="E23" i="48" s="1"/>
  <c r="F10" i="14"/>
  <c r="K10" i="14"/>
  <c r="J5" i="48"/>
  <c r="J23" i="48" s="1"/>
  <c r="J20" i="15"/>
  <c r="K40" i="14" s="1"/>
  <c r="N52" i="14"/>
  <c r="N61" i="14" s="1"/>
  <c r="O15" i="48"/>
  <c r="E22" i="48"/>
  <c r="Q4" i="48"/>
  <c r="R11" i="14"/>
  <c r="J22" i="48"/>
  <c r="N20" i="14"/>
  <c r="N22" i="14" s="1"/>
  <c r="N27" i="14" s="1"/>
  <c r="N63"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K16" i="14" l="1"/>
  <c r="K27" i="14" s="1"/>
  <c r="E8" i="48"/>
  <c r="E26" i="48" s="1"/>
  <c r="E33" i="48" s="1"/>
  <c r="F13" i="14"/>
  <c r="F16" i="14" s="1"/>
  <c r="F27" i="14" s="1"/>
  <c r="F63" i="14" s="1"/>
  <c r="J15" i="48"/>
  <c r="J33" i="48"/>
  <c r="K13" i="14"/>
  <c r="J8" i="48"/>
  <c r="J26" i="48"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E15" i="48"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<sst xmlns="http://schemas.openxmlformats.org/spreadsheetml/2006/main" count="2407" uniqueCount="893">
  <si>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</si>
  <si>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</si>
  <si>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</si>
  <si>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</si>
  <si>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</si>
  <si>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</si>
  <si>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</si>
  <si>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</si>
  <si>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</si>
  <si>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</si>
  <si>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</si>
  <si>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</si>
  <si>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</si>
  <si>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</si>
  <si>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</si>
  <si>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</si>
  <si>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</si>
  <si>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</si>
  <si>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</si>
  <si>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</si>
  <si>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</si>
  <si>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</si>
  <si>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</si>
  <si>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</si>
  <si>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</si>
  <si>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</si>
  <si>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</si>
  <si>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</si>
  <si>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</si>
  <si>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</si>
  <si>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</si>
  <si>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</si>
  <si>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</si>
  <si>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</si>
  <si>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</si>
  <si>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</si>
  <si>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</si>
  <si>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</si>
  <si>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</si>
  <si>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</si>
  <si>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</si>
  <si>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</si>
  <si>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</si>
  <si>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</si>
  <si>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</si>
  <si>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</si>
  <si>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</si>
  <si>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</si>
  <si>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</si>
  <si>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</si>
  <si>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</si>
  <si>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</si>
  <si>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</si>
  <si>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</si>
  <si>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</si>
  <si>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</si>
  <si>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</si>
  <si>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</si>
  <si>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</si>
  <si>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</si>
  <si>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</si>
  <si>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</si>
  <si>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</si>
  <si>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</si>
  <si>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</si>
  <si>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</si>
  <si>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</si>
  <si>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</si>
  <si>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</si>
  <si>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</si>
  <si>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</si>
  <si>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</si>
  <si>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</si>
  <si>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</si>
  <si>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</si>
  <si>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</si>
  <si>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</si>
  <si>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</si>
  <si>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</si>
  <si>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</si>
  <si>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</si>
  <si>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</si>
  <si>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</si>
  <si>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</si>
  <si>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</si>
  <si>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</si>
  <si>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</si>
  <si>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</si>
  <si>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</si>
  <si>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</si>
  <si>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</si>
  <si>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</si>
  <si>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</si>
  <si>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</si>
  <si>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</si>
  <si>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</si>
  <si>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</si>
  <si>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</si>
  <si>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</si>
  <si>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</si>
  <si>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</si>
  <si>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</si>
  <si>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</si>
  <si>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</si>
  <si>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</si>
  <si>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</si>
  <si>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</si>
  <si>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</si>
  <si>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</si>
  <si>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</si>
  <si>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</si>
  <si>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</si>
  <si>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</si>
  <si>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</si>
  <si>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</si>
  <si>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</si>
  <si>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</si>
  <si>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</si>
  <si>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</si>
  <si>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</si>
  <si>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</si>
  <si>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</si>
  <si>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</si>
  <si>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</si>
  <si>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</si>
  <si>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</si>
  <si>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</si>
  <si>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</si>
  <si>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</si>
  <si>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</si>
  <si>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</si>
  <si>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</si>
  <si>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</si>
  <si>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</si>
  <si>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</si>
  <si>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</si>
  <si>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</si>
  <si>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</si>
  <si>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</si>
  <si>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</si>
  <si>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</si>
  <si>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</si>
  <si>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</si>
  <si>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</si>
  <si>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</si>
  <si>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</si>
  <si>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</si>
  <si>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</si>
  <si>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</si>
  <si>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</si>
  <si>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</si>
  <si>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</si>
  <si>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</si>
  <si>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</si>
  <si>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</si>
  <si>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</si>
  <si>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</si>
  <si>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</si>
  <si>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</si>
  <si>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</si>
  <si>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</si>
  <si>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</si>
  <si>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</si>
  <si>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</si>
  <si>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</si>
  <si>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</si>
  <si>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</si>
  <si>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</si>
  <si>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</si>
  <si>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</si>
  <si>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</si>
  <si>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</si>
  <si>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</si>
  <si>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</si>
  <si>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</si>
  <si>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</si>
  <si>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</si>
  <si>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</si>
  <si>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</si>
  <si>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</si>
  <si>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</si>
  <si>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</si>
  <si>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</si>
  <si>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</si>
  <si>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</si>
  <si>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</si>
  <si>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</si>
  <si>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</si>
  <si>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</si>
  <si>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</si>
  <si>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</si>
  <si>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</si>
  <si>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</si>
  <si>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</si>
  <si>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</si>
  <si>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</si>
  <si>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</si>
  <si>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</si>
  <si>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</si>
  <si>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</si>
  <si>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</si>
  <si>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</si>
  <si>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</si>
  <si>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</si>
  <si>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</si>
  <si>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</si>
  <si>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</si>
  <si>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</si>
  <si>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</si>
  <si>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</si>
  <si>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</si>
  <si>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</si>
  <si>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</si>
  <si>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</si>
  <si>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</si>
  <si>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</si>
  <si>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</si>
  <si>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</si>
  <si>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</si>
  <si>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</si>
  <si>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</si>
  <si>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</si>
  <si>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</si>
  <si>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</si>
  <si>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</si>
  <si>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</si>
  <si>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</si>
  <si>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</si>
  <si>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</si>
  <si>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</si>
  <si>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</si>
  <si>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</si>
  <si>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</si>
  <si>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</si>
  <si>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</si>
  <si>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</si>
  <si>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</si>
  <si>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</si>
  <si>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</si>
  <si>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</si>
  <si>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</si>
  <si>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</si>
  <si>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</si>
  <si>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</si>
  <si>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</si>
  <si>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</si>
  <si>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</si>
  <si>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</si>
  <si>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</si>
  <si>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</si>
  <si>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</si>
  <si>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</si>
  <si>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</si>
  <si>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</si>
  <si>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</si>
  <si>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</si>
  <si>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</si>
  <si>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</si>
  <si>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</si>
  <si>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</si>
  <si>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</si>
  <si>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</si>
  <si>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</si>
  <si>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</si>
  <si>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</si>
  <si>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</si>
  <si>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</si>
  <si>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</si>
  <si>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</si>
  <si>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</si>
  <si>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</si>
  <si>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</si>
  <si>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</si>
  <si>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</si>
  <si>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</si>
  <si>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</si>
  <si>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</si>
  <si>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</si>
  <si>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</si>
  <si>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</si>
  <si>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</si>
  <si>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</si>
  <si>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</si>
  <si>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</si>
  <si>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</si>
  <si>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</si>
  <si>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</si>
  <si>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</si>
  <si>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</si>
  <si>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</si>
  <si>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</si>
  <si>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</si>
  <si>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</si>
  <si>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</si>
  <si>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</si>
  <si>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</si>
  <si>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</si>
  <si>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</si>
  <si>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</si>
  <si>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</si>
  <si>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</si>
  <si>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</si>
  <si>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</si>
  <si>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</si>
  <si>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</si>
  <si>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</si>
  <si>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</si>
  <si>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</si>
  <si>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</si>
  <si>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</si>
  <si>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</si>
  <si>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</si>
  <si>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</si>
  <si>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</si>
  <si>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</si>
  <si>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</si>
  <si>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</si>
  <si>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</si>
  <si>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</si>
  <si>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</si>
  <si>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</si>
  <si>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</si>
  <si>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</si>
  <si>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</si>
  <si>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</si>
  <si>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</si>
  <si>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</si>
  <si>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</si>
  <si>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</si>
  <si>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</si>
  <si>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</si>
  <si>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</si>
  <si>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</si>
  <si>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</si>
  <si>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</si>
  <si>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</si>
  <si>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</si>
  <si>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</si>
  <si>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</si>
  <si>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</si>
  <si>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</si>
  <si>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</si>
  <si>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</si>
  <si>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</si>
  <si>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</si>
  <si>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</si>
  <si>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</si>
  <si>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</si>
  <si>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</si>
  <si>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</si>
  <si>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</si>
  <si>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</si>
  <si>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</si>
  <si>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</si>
  <si>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</si>
  <si>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</si>
  <si>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</si>
  <si>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</si>
  <si>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</si>
  <si>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</si>
  <si>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</si>
  <si>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</si>
  <si>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</si>
  <si>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</si>
  <si>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</si>
  <si>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</si>
  <si>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</si>
  <si>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</si>
  <si>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</si>
  <si>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</si>
  <si>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</si>
  <si>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</si>
  <si>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</si>
  <si>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</si>
  <si>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</si>
  <si>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</si>
  <si>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</si>
  <si>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</si>
  <si>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</si>
  <si>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</si>
  <si>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</si>
  <si>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</si>
  <si>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</si>
  <si>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</si>
  <si>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</si>
  <si>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</si>
  <si>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</si>
  <si>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</si>
  <si>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</si>
  <si>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</si>
  <si>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</si>
  <si>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</si>
  <si>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</si>
  <si>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</si>
  <si>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</si>
  <si>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</si>
  <si>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</si>
  <si>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</si>
  <si>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</si>
  <si>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</si>
  <si>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</si>
  <si>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</si>
  <si>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</si>
  <si>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</si>
  <si>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</si>
  <si>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</si>
  <si>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</si>
  <si>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</si>
  <si>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</si>
  <si>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</si>
  <si>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</si>
  <si>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</si>
  <si>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</si>
  <si>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</si>
  <si>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</si>
  <si>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</si>
  <si>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</si>
  <si>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</si>
  <si>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</si>
  <si>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</si>
  <si>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</si>
  <si>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</si>
  <si>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</si>
  <si>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</si>
  <si>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</si>
  <si>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</si>
  <si>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</si>
  <si>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</si>
  <si>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</si>
  <si>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</si>
  <si>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</si>
  <si>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</si>
  <si>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</si>
  <si>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</si>
  <si>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</si>
  <si>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</si>
  <si>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</si>
  <si>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</si>
  <si>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</si>
  <si>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</si>
  <si>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</si>
  <si>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</si>
  <si>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</si>
  <si>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</si>
  <si>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</si>
  <si>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</si>
  <si>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</si>
  <si>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</si>
  <si>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</si>
  <si>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</si>
  <si>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</si>
  <si>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</si>
  <si>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</si>
  <si>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</si>
  <si>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</si>
  <si>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</si>
  <si>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</si>
  <si>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</si>
  <si>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</si>
  <si>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</si>
  <si>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</si>
  <si>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</si>
  <si>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</si>
  <si>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</si>
  <si>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</si>
  <si>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</si>
  <si>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</si>
  <si>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</si>
  <si>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</si>
  <si>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</si>
  <si>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</si>
  <si>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</si>
  <si>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</si>
  <si>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</si>
  <si>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</si>
  <si>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</si>
  <si>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</si>
  <si>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</si>
  <si>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</si>
  <si>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</si>
  <si>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</si>
  <si>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</si>
  <si>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</si>
  <si>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</si>
  <si>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</si>
  <si>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</si>
  <si>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</si>
  <si>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</si>
  <si>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</si>
  <si>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</si>
  <si>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</si>
  <si>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</si>
  <si>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</si>
  <si>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</si>
  <si>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</si>
  <si>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</si>
  <si>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</si>
  <si>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</si>
  <si>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</si>
  <si>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</si>
  <si>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</si>
  <si>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</si>
  <si>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</si>
  <si>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</si>
  <si>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</si>
  <si>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</si>
  <si>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</si>
  <si>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</si>
  <si>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</si>
  <si>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</si>
  <si>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</si>
  <si>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</si>
  <si>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</si>
  <si>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</si>
  <si>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</si>
  <si>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</si>
  <si>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</si>
  <si>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</si>
  <si>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</si>
  <si>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</si>
  <si>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</si>
  <si>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</si>
  <si>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</si>
  <si>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</si>
  <si>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</si>
  <si>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</si>
  <si>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</si>
  <si>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</si>
  <si>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</si>
  <si>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</si>
  <si>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</si>
  <si>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</si>
  <si>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</si>
  <si>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</si>
  <si>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</si>
  <si>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</si>
  <si>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</si>
  <si>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</si>
  <si>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</si>
  <si>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</si>
  <si>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</si>
  <si>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</si>
  <si>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</si>
  <si>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</si>
  <si>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</si>
  <si>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</si>
  <si>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</si>
  <si>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</si>
  <si>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</si>
  <si>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</si>
  <si>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</si>
  <si>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</si>
  <si>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</si>
  <si>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</si>
  <si>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</si>
  <si>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</si>
  <si>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</si>
  <si>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</si>
  <si>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</si>
  <si>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</si>
  <si>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</si>
  <si>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</si>
  <si>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</si>
  <si>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</si>
  <si>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</si>
  <si>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</si>
  <si>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</si>
  <si>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</si>
  <si>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</si>
  <si>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</si>
  <si>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</si>
  <si>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</si>
  <si>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</si>
  <si>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</si>
  <si>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</si>
  <si>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</si>
  <si>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</si>
  <si>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</si>
  <si>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</si>
  <si>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</si>
  <si>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</si>
  <si>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</si>
  <si>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</si>
  <si>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</si>
  <si>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</si>
  <si>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</si>
  <si>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</si>
  <si>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</si>
  <si>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</si>
  <si>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</si>
  <si>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</si>
  <si>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</si>
  <si>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</si>
  <si>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</si>
  <si>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</si>
  <si>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</si>
  <si>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</si>
  <si>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</si>
  <si>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</si>
  <si>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</si>
  <si>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</si>
  <si>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</si>
  <si>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</si>
  <si>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</si>
  <si>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</si>
  <si>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</si>
  <si>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</si>
  <si>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</si>
  <si>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</si>
  <si>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</si>
  <si>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</si>
  <si>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</si>
  <si>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</si>
  <si>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</si>
  <si>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</si>
  <si>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</si>
  <si>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</si>
  <si>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</si>
  <si>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</si>
  <si>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</si>
  <si>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</si>
  <si>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</si>
  <si>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</si>
  <si>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</si>
  <si>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</si>
  <si>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</si>
  <si>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</si>
  <si>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</si>
  <si>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</si>
  <si>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</si>
  <si>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</si>
  <si>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</si>
  <si>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</si>
  <si>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</si>
  <si>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</si>
  <si>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</si>
  <si>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</si>
  <si>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</si>
  <si>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</si>
  <si>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</si>
  <si>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</si>
  <si>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</si>
  <si>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</si>
  <si>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</si>
  <si>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</si>
  <si>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</si>
  <si>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</si>
  <si>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</si>
  <si>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</si>
  <si>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</si>
  <si>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</si>
  <si>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</si>
  <si>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</si>
  <si>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</si>
  <si>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</si>
  <si>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</si>
  <si>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</si>
  <si>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</si>
  <si>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</si>
  <si>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</si>
  <si>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</si>
  <si>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</si>
  <si>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</si>
  <si>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</si>
  <si>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</si>
  <si>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</si>
  <si>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</si>
  <si>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</si>
  <si>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</si>
  <si>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</si>
  <si>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</si>
  <si>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</si>
  <si>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</si>
  <si>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</si>
  <si>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</si>
  <si>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</si>
  <si>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</si>
  <si>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</si>
  <si>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</si>
  <si>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</si>
  <si>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</si>
  <si>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</si>
  <si>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</si>
  <si>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</si>
  <si>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</si>
  <si>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</si>
  <si>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</si>
  <si>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</si>
  <si>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</si>
  <si>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</si>
  <si>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</si>
  <si>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</si>
  <si>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</si>
  <si>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</si>
  <si>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</si>
  <si>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</si>
  <si>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</si>
  <si>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</si>
  <si>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</si>
  <si>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</si>
  <si>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</si>
  <si>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</si>
  <si>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</si>
  <si>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</si>
  <si>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</si>
  <si>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</si>
  <si>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</si>
  <si>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</si>
  <si>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</si>
  <si>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</si>
  <si>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</si>
  <si>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</si>
  <si>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</si>
  <si>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</si>
  <si>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</si>
  <si>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</si>
  <si>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</si>
  <si>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</si>
  <si>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</si>
  <si>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</si>
  <si>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</si>
  <si>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</si>
  <si>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</si>
  <si>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</si>
  <si>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</si>
  <si>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</si>
  <si>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</si>
  <si>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</si>
  <si>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</si>
  <si>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</si>
  <si>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</si>
  <si>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</si>
  <si>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</si>
  <si>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</si>
  <si>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</si>
  <si>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</si>
  <si>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</si>
  <si>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</si>
  <si>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</si>
  <si>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</si>
  <si>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</si>
  <si>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</si>
  <si>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</si>
  <si>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</si>
  <si>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</si>
  <si>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</si>
  <si>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</si>
  <si>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</si>
  <si>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</si>
  <si>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</si>
  <si>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</si>
  <si>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</si>
  <si>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</si>
  <si>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</si>
  <si>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</si>
  <si>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</si>
  <si>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</si>
  <si>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</si>
  <si>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</si>
  <si>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</si>
  <si>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</si>
  <si>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</si>
  <si>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</si>
  <si>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</si>
  <si>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</si>
  <si>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</si>
  <si>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</si>
  <si>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</si>
  <si>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</si>
  <si>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</si>
  <si>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</si>
  <si>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</si>
  <si>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</si>
  <si>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</si>
  <si>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</si>
  <si>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</si>
  <si>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</si>
  <si>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</si>
  <si>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</si>
  <si>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</si>
  <si>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</si>
  <si>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</si>
  <si>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</si>
  <si>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</si>
  <si>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</si>
  <si>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</si>
  <si>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</si>
  <si>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</si>
  <si>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</si>
  <si>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</si>
  <si>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</si>
  <si>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</si>
  <si>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</si>
  <si>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</si>
  <si>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</si>
  <si>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</si>
  <si>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</si>
  <si>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</si>
  <si>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</si>
  <si>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</si>
  <si>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</si>
  <si>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</si>
  <si>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</si>
  <si>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</si>
  <si>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</si>
  <si>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</si>
  <si>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</si>
  <si>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</si>
  <si>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</si>
  <si>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</si>
  <si>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</si>
  <si>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</si>
  <si>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</si>
  <si>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</si>
  <si>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</si>
  <si>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</si>
  <si>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</si>
  <si>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</si>
  <si>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</si>
  <si>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</si>
  <si>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</si>
  <si>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</si>
  <si>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</si>
  <si>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</si>
  <si>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</si>
  <si>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</si>
  <si>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</si>
  <si>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</si>
  <si>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</si>
  <si>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</si>
  <si>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</si>
  <si>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</si>
  <si>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</si>
  <si>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</si>
  <si>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</si>
  <si>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</si>
  <si>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</si>
  <si>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</si>
  <si>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</si>
  <si>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</si>
  <si>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</si>
  <si>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</si>
  <si>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</si>
  <si>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</si>
  <si>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</si>
  <si>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</si>
  <si>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</si>
  <si>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</si>
  <si>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</si>
  <si>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</si>
  <si>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</si>
  <si>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</si>
  <si>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</si>
  <si>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</si>
  <si>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</si>
  <si>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</si>
  <si>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</si>
  <si>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</si>
  <si>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</si>
  <si>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</si>
  <si>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</si>
  <si>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</si>
  <si>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</si>
  <si>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</si>
  <si>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</si>
  <si>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</si>
  <si>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</si>
  <si>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</si>
  <si>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</si>
  <si>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</si>
  <si>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</si>
  <si>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</si>
  <si>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</si>
  <si>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</si>
  <si>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</si>
  <si>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</si>
  <si>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</si>
  <si>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</si>
  <si>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</si>
  <si>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</si>
  <si>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</si>
  <si>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</si>
  <si>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</si>
  <si>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71037</t>
  </si>
  <si>
    <t>LUMMEN</t>
  </si>
  <si>
    <t>Fluvius</t>
  </si>
  <si>
    <t>referentietaak LNE (2017); Jaarverslag De Lijn</t>
  </si>
  <si>
    <t>GRL-Glasrecycling</t>
  </si>
  <si>
    <t>Dellestraat 10 , 3560 Lummen</t>
  </si>
  <si>
    <t>WKK-0342 GRL-Glasrecycling</t>
  </si>
  <si>
    <t>interne verbrandingsmotor</t>
  </si>
  <si>
    <t>WKK interne verbrandinsgmotor (vloeibaar)</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</si>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</sst>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134850.0578103486</c:v>
                </c:pt>
                <c:pt idx="1">
                  <c:v>50152.571023243603</c:v>
                </c:pt>
                <c:pt idx="2">
                  <c:v>1081.239</c:v>
                </c:pt>
                <c:pt idx="3">
                  <c:v>7431.7108653563118</c:v>
                </c:pt>
                <c:pt idx="4">
                  <c:v>157273.71923903783</c:v>
                </c:pt>
                <c:pt idx="5">
                  <c:v>413887.32905076741</c:v>
                </c:pt>
                <c:pt idx="6">
                  <c:v>2060.6515042048641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134850.0578103486</c:v>
                </c:pt>
                <c:pt idx="1">
                  <c:v>50152.571023243603</c:v>
                </c:pt>
                <c:pt idx="2">
                  <c:v>1081.239</c:v>
                </c:pt>
                <c:pt idx="3">
                  <c:v>7431.7108653563118</c:v>
                </c:pt>
                <c:pt idx="4">
                  <c:v>157273.71923903783</c:v>
                </c:pt>
                <c:pt idx="5">
                  <c:v>413887.32905076741</c:v>
                </c:pt>
                <c:pt idx="6">
                  <c:v>2060.6515042048641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24661.929192398471</c:v>
                </c:pt>
                <c:pt idx="2">
                  <c:v>7941.022186387976</c:v>
                </c:pt>
                <c:pt idx="3">
                  <c:v>151.03739802648013</c:v>
                </c:pt>
                <c:pt idx="4">
                  <c:v>1747.7629345321725</c:v>
                </c:pt>
                <c:pt idx="5">
                  <c:v>28415.52468669958</c:v>
                </c:pt>
                <c:pt idx="6">
                  <c:v>103660.93920542863</c:v>
                </c:pt>
                <c:pt idx="7">
                  <c:v>520.62687699667936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24661.929192398471</c:v>
                </c:pt>
                <c:pt idx="2">
                  <c:v>7941.022186387976</c:v>
                </c:pt>
                <c:pt idx="3">
                  <c:v>151.03739802648013</c:v>
                </c:pt>
                <c:pt idx="4">
                  <c:v>1747.7629345321725</c:v>
                </c:pt>
                <c:pt idx="5">
                  <c:v>28415.52468669958</c:v>
                </c:pt>
                <c:pt idx="6">
                  <c:v>103660.93920542863</c:v>
                </c:pt>
                <c:pt idx="7">
                  <c:v>520.62687699667936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71037</v>
      </c>
      <c r="B6" s="390"/>
      <c r="C6" s="391"/>
    </row>
    <row r="7" spans="1:7" s="388" customFormat="1" ht="15.75" customHeight="1">
      <c r="A7" s="392" t="str">
        <f>txtMunicipality</f>
        <v>LUMMEN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0.13968918807634587</v>
      </c>
      <c r="C17" s="498">
        <f ca="1">'EF ele_warmte'!B22</f>
        <v>7.8529411764705875E-2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0.13968918807634587</v>
      </c>
      <c r="C29" s="499">
        <f ca="1">'EF ele_warmte'!B22</f>
        <v>7.8529411764705875E-2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5985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1811.36</v>
      </c>
      <c r="C14" s="330"/>
      <c r="D14" s="330"/>
      <c r="E14" s="330"/>
      <c r="F14" s="330"/>
    </row>
    <row r="15" spans="1:6">
      <c r="A15" s="1293" t="s">
        <v>183</v>
      </c>
      <c r="B15" s="1294">
        <v>710</v>
      </c>
      <c r="C15" s="330"/>
      <c r="D15" s="330"/>
      <c r="E15" s="330"/>
      <c r="F15" s="330"/>
    </row>
    <row r="16" spans="1:6">
      <c r="A16" s="1293" t="s">
        <v>6</v>
      </c>
      <c r="B16" s="1294">
        <v>605</v>
      </c>
      <c r="C16" s="330"/>
      <c r="D16" s="330"/>
      <c r="E16" s="330"/>
      <c r="F16" s="330"/>
    </row>
    <row r="17" spans="1:6">
      <c r="A17" s="1293" t="s">
        <v>7</v>
      </c>
      <c r="B17" s="1294">
        <v>228</v>
      </c>
      <c r="C17" s="330"/>
      <c r="D17" s="330"/>
      <c r="E17" s="330"/>
      <c r="F17" s="330"/>
    </row>
    <row r="18" spans="1:6">
      <c r="A18" s="1293" t="s">
        <v>8</v>
      </c>
      <c r="B18" s="1294">
        <v>426</v>
      </c>
      <c r="C18" s="330"/>
      <c r="D18" s="330"/>
      <c r="E18" s="330"/>
      <c r="F18" s="330"/>
    </row>
    <row r="19" spans="1:6">
      <c r="A19" s="1293" t="s">
        <v>9</v>
      </c>
      <c r="B19" s="1294">
        <v>388</v>
      </c>
      <c r="C19" s="330"/>
      <c r="D19" s="330"/>
      <c r="E19" s="330"/>
      <c r="F19" s="330"/>
    </row>
    <row r="20" spans="1:6">
      <c r="A20" s="1293" t="s">
        <v>10</v>
      </c>
      <c r="B20" s="1294">
        <v>286</v>
      </c>
      <c r="C20" s="330"/>
      <c r="D20" s="330"/>
      <c r="E20" s="330"/>
      <c r="F20" s="330"/>
    </row>
    <row r="21" spans="1:6">
      <c r="A21" s="1293" t="s">
        <v>11</v>
      </c>
      <c r="B21" s="1294">
        <v>4467</v>
      </c>
      <c r="C21" s="330"/>
      <c r="D21" s="330"/>
      <c r="E21" s="330"/>
      <c r="F21" s="330"/>
    </row>
    <row r="22" spans="1:6">
      <c r="A22" s="1293" t="s">
        <v>12</v>
      </c>
      <c r="B22" s="1294">
        <v>10027</v>
      </c>
      <c r="C22" s="330"/>
      <c r="D22" s="330"/>
      <c r="E22" s="330"/>
      <c r="F22" s="330"/>
    </row>
    <row r="23" spans="1:6">
      <c r="A23" s="1293" t="s">
        <v>13</v>
      </c>
      <c r="B23" s="1294">
        <v>232</v>
      </c>
      <c r="C23" s="330"/>
      <c r="D23" s="330"/>
      <c r="E23" s="330"/>
      <c r="F23" s="330"/>
    </row>
    <row r="24" spans="1:6">
      <c r="A24" s="1293" t="s">
        <v>14</v>
      </c>
      <c r="B24" s="1294">
        <v>32</v>
      </c>
      <c r="C24" s="330"/>
      <c r="D24" s="330"/>
      <c r="E24" s="330"/>
      <c r="F24" s="330"/>
    </row>
    <row r="25" spans="1:6">
      <c r="A25" s="1293" t="s">
        <v>15</v>
      </c>
      <c r="B25" s="1294">
        <v>1372</v>
      </c>
      <c r="C25" s="330"/>
      <c r="D25" s="330"/>
      <c r="E25" s="330"/>
      <c r="F25" s="330"/>
    </row>
    <row r="26" spans="1:6">
      <c r="A26" s="1293" t="s">
        <v>16</v>
      </c>
      <c r="B26" s="1294">
        <v>426</v>
      </c>
      <c r="C26" s="330"/>
      <c r="D26" s="330"/>
      <c r="E26" s="330"/>
      <c r="F26" s="330"/>
    </row>
    <row r="27" spans="1:6">
      <c r="A27" s="1293" t="s">
        <v>17</v>
      </c>
      <c r="B27" s="1294">
        <v>496</v>
      </c>
      <c r="C27" s="330"/>
      <c r="D27" s="330"/>
      <c r="E27" s="330"/>
      <c r="F27" s="330"/>
    </row>
    <row r="28" spans="1:6" s="43" customFormat="1">
      <c r="A28" s="1295" t="s">
        <v>18</v>
      </c>
      <c r="B28" s="1296">
        <v>463</v>
      </c>
      <c r="C28" s="336"/>
      <c r="D28" s="336"/>
      <c r="E28" s="336"/>
      <c r="F28" s="336"/>
    </row>
    <row r="29" spans="1:6">
      <c r="A29" s="1295" t="s">
        <v>734</v>
      </c>
      <c r="B29" s="1296">
        <v>204</v>
      </c>
      <c r="C29" s="336"/>
      <c r="D29" s="336"/>
      <c r="E29" s="336"/>
      <c r="F29" s="336"/>
    </row>
    <row r="30" spans="1:6">
      <c r="A30" s="1288" t="s">
        <v>735</v>
      </c>
      <c r="B30" s="1297">
        <v>56</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7</v>
      </c>
      <c r="F36" s="1294">
        <v>80277</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2300</v>
      </c>
      <c r="D39" s="1294">
        <v>33200601.549999997</v>
      </c>
      <c r="E39" s="1294">
        <v>5899</v>
      </c>
      <c r="F39" s="1294">
        <v>20537696</v>
      </c>
    </row>
    <row r="40" spans="1:6">
      <c r="A40" s="1293" t="s">
        <v>29</v>
      </c>
      <c r="B40" s="1293" t="s">
        <v>28</v>
      </c>
      <c r="C40" s="1294">
        <v>0</v>
      </c>
      <c r="D40" s="1294">
        <v>0</v>
      </c>
      <c r="E40" s="1294">
        <v>2</v>
      </c>
      <c r="F40" s="1294">
        <v>475</v>
      </c>
    </row>
    <row r="41" spans="1:6">
      <c r="A41" s="1293" t="s">
        <v>31</v>
      </c>
      <c r="B41" s="1293" t="s">
        <v>32</v>
      </c>
      <c r="C41" s="1294">
        <v>50</v>
      </c>
      <c r="D41" s="1294">
        <v>1236585.3</v>
      </c>
      <c r="E41" s="1294">
        <v>147</v>
      </c>
      <c r="F41" s="1294">
        <v>1774682.5870000001</v>
      </c>
    </row>
    <row r="42" spans="1:6">
      <c r="A42" s="1293" t="s">
        <v>31</v>
      </c>
      <c r="B42" s="1293" t="s">
        <v>33</v>
      </c>
      <c r="C42" s="1294">
        <v>0</v>
      </c>
      <c r="D42" s="1294">
        <v>0</v>
      </c>
      <c r="E42" s="1294">
        <v>3</v>
      </c>
      <c r="F42" s="1294">
        <v>437055</v>
      </c>
    </row>
    <row r="43" spans="1:6">
      <c r="A43" s="1293" t="s">
        <v>31</v>
      </c>
      <c r="B43" s="1293" t="s">
        <v>34</v>
      </c>
      <c r="C43" s="1294">
        <v>0</v>
      </c>
      <c r="D43" s="1294">
        <v>0</v>
      </c>
      <c r="E43" s="1294">
        <v>0</v>
      </c>
      <c r="F43" s="1294">
        <v>0</v>
      </c>
    </row>
    <row r="44" spans="1:6">
      <c r="A44" s="1293" t="s">
        <v>31</v>
      </c>
      <c r="B44" s="1293" t="s">
        <v>35</v>
      </c>
      <c r="C44" s="1294">
        <v>14</v>
      </c>
      <c r="D44" s="1294">
        <v>24877721.888999999</v>
      </c>
      <c r="E44" s="1294">
        <v>26</v>
      </c>
      <c r="F44" s="1294">
        <v>12015917.242000001</v>
      </c>
    </row>
    <row r="45" spans="1:6">
      <c r="A45" s="1293" t="s">
        <v>31</v>
      </c>
      <c r="B45" s="1293" t="s">
        <v>36</v>
      </c>
      <c r="C45" s="1294">
        <v>0</v>
      </c>
      <c r="D45" s="1294">
        <v>0</v>
      </c>
      <c r="E45" s="1294">
        <v>4</v>
      </c>
      <c r="F45" s="1294">
        <v>1202897</v>
      </c>
    </row>
    <row r="46" spans="1:6">
      <c r="A46" s="1293" t="s">
        <v>31</v>
      </c>
      <c r="B46" s="1293" t="s">
        <v>37</v>
      </c>
      <c r="C46" s="1294">
        <v>0</v>
      </c>
      <c r="D46" s="1294">
        <v>0</v>
      </c>
      <c r="E46" s="1294">
        <v>0</v>
      </c>
      <c r="F46" s="1294">
        <v>0</v>
      </c>
    </row>
    <row r="47" spans="1:6">
      <c r="A47" s="1293" t="s">
        <v>31</v>
      </c>
      <c r="B47" s="1293" t="s">
        <v>38</v>
      </c>
      <c r="C47" s="1294">
        <v>3</v>
      </c>
      <c r="D47" s="1294">
        <v>396199</v>
      </c>
      <c r="E47" s="1294">
        <v>5</v>
      </c>
      <c r="F47" s="1294">
        <v>452104</v>
      </c>
    </row>
    <row r="48" spans="1:6">
      <c r="A48" s="1293" t="s">
        <v>31</v>
      </c>
      <c r="B48" s="1293" t="s">
        <v>28</v>
      </c>
      <c r="C48" s="1294">
        <v>3</v>
      </c>
      <c r="D48" s="1294">
        <v>11616638</v>
      </c>
      <c r="E48" s="1294">
        <v>1</v>
      </c>
      <c r="F48" s="1294">
        <v>1000</v>
      </c>
    </row>
    <row r="49" spans="1:6">
      <c r="A49" s="1293" t="s">
        <v>31</v>
      </c>
      <c r="B49" s="1293" t="s">
        <v>39</v>
      </c>
      <c r="C49" s="1294">
        <v>0</v>
      </c>
      <c r="D49" s="1294">
        <v>0</v>
      </c>
      <c r="E49" s="1294">
        <v>0</v>
      </c>
      <c r="F49" s="1294">
        <v>0</v>
      </c>
    </row>
    <row r="50" spans="1:6">
      <c r="A50" s="1293" t="s">
        <v>31</v>
      </c>
      <c r="B50" s="1293" t="s">
        <v>40</v>
      </c>
      <c r="C50" s="1294">
        <v>7</v>
      </c>
      <c r="D50" s="1294">
        <v>71488413</v>
      </c>
      <c r="E50" s="1294">
        <v>13</v>
      </c>
      <c r="F50" s="1294">
        <v>33575296.207000002</v>
      </c>
    </row>
    <row r="51" spans="1:6">
      <c r="A51" s="1293" t="s">
        <v>41</v>
      </c>
      <c r="B51" s="1293" t="s">
        <v>42</v>
      </c>
      <c r="C51" s="1294">
        <v>5</v>
      </c>
      <c r="D51" s="1294">
        <v>1926342.7930000001</v>
      </c>
      <c r="E51" s="1294">
        <v>44</v>
      </c>
      <c r="F51" s="1294">
        <v>1066276.7239999999</v>
      </c>
    </row>
    <row r="52" spans="1:6">
      <c r="A52" s="1293" t="s">
        <v>41</v>
      </c>
      <c r="B52" s="1293" t="s">
        <v>28</v>
      </c>
      <c r="C52" s="1294">
        <v>0</v>
      </c>
      <c r="D52" s="1294">
        <v>0</v>
      </c>
      <c r="E52" s="1294">
        <v>0</v>
      </c>
      <c r="F52" s="1294">
        <v>0</v>
      </c>
    </row>
    <row r="53" spans="1:6">
      <c r="A53" s="1293" t="s">
        <v>43</v>
      </c>
      <c r="B53" s="1293" t="s">
        <v>44</v>
      </c>
      <c r="C53" s="1294">
        <v>37</v>
      </c>
      <c r="D53" s="1294">
        <v>1961831</v>
      </c>
      <c r="E53" s="1294">
        <v>140</v>
      </c>
      <c r="F53" s="1294">
        <v>755543.65</v>
      </c>
    </row>
    <row r="54" spans="1:6">
      <c r="A54" s="1293" t="s">
        <v>45</v>
      </c>
      <c r="B54" s="1293" t="s">
        <v>46</v>
      </c>
      <c r="C54" s="1294">
        <v>0</v>
      </c>
      <c r="D54" s="1294">
        <v>0</v>
      </c>
      <c r="E54" s="1294">
        <v>3</v>
      </c>
      <c r="F54" s="1294">
        <v>1081239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31</v>
      </c>
      <c r="D57" s="1294">
        <v>2910483</v>
      </c>
      <c r="E57" s="1294">
        <v>84</v>
      </c>
      <c r="F57" s="1294">
        <v>1555497.7930000001</v>
      </c>
    </row>
    <row r="58" spans="1:6">
      <c r="A58" s="1293" t="s">
        <v>48</v>
      </c>
      <c r="B58" s="1293" t="s">
        <v>50</v>
      </c>
      <c r="C58" s="1294">
        <v>17</v>
      </c>
      <c r="D58" s="1294">
        <v>304539</v>
      </c>
      <c r="E58" s="1294">
        <v>34</v>
      </c>
      <c r="F58" s="1294">
        <v>382583</v>
      </c>
    </row>
    <row r="59" spans="1:6">
      <c r="A59" s="1293" t="s">
        <v>48</v>
      </c>
      <c r="B59" s="1293" t="s">
        <v>51</v>
      </c>
      <c r="C59" s="1294">
        <v>69</v>
      </c>
      <c r="D59" s="1294">
        <v>4784773</v>
      </c>
      <c r="E59" s="1294">
        <v>174</v>
      </c>
      <c r="F59" s="1294">
        <v>5158119.6710000001</v>
      </c>
    </row>
    <row r="60" spans="1:6">
      <c r="A60" s="1293" t="s">
        <v>48</v>
      </c>
      <c r="B60" s="1293" t="s">
        <v>52</v>
      </c>
      <c r="C60" s="1294">
        <v>30</v>
      </c>
      <c r="D60" s="1294">
        <v>4698692.7259999998</v>
      </c>
      <c r="E60" s="1294">
        <v>55</v>
      </c>
      <c r="F60" s="1294">
        <v>1870528</v>
      </c>
    </row>
    <row r="61" spans="1:6">
      <c r="A61" s="1293" t="s">
        <v>48</v>
      </c>
      <c r="B61" s="1293" t="s">
        <v>53</v>
      </c>
      <c r="C61" s="1294">
        <v>118</v>
      </c>
      <c r="D61" s="1294">
        <v>8123819.8760000002</v>
      </c>
      <c r="E61" s="1294">
        <v>273</v>
      </c>
      <c r="F61" s="1294">
        <v>10903892.09</v>
      </c>
    </row>
    <row r="62" spans="1:6">
      <c r="A62" s="1293" t="s">
        <v>48</v>
      </c>
      <c r="B62" s="1293" t="s">
        <v>54</v>
      </c>
      <c r="C62" s="1294">
        <v>6</v>
      </c>
      <c r="D62" s="1294">
        <v>896218.37899999996</v>
      </c>
      <c r="E62" s="1294">
        <v>16</v>
      </c>
      <c r="F62" s="1294">
        <v>244004</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25470</v>
      </c>
      <c r="E65" s="1294">
        <v>1</v>
      </c>
      <c r="F65" s="1294">
        <v>12065</v>
      </c>
    </row>
    <row r="66" spans="1:6">
      <c r="A66" s="1293" t="s">
        <v>55</v>
      </c>
      <c r="B66" s="1293" t="s">
        <v>57</v>
      </c>
      <c r="C66" s="1294">
        <v>0</v>
      </c>
      <c r="D66" s="1294">
        <v>0</v>
      </c>
      <c r="E66" s="1294">
        <v>10</v>
      </c>
      <c r="F66" s="1294">
        <v>1169371.5519999999</v>
      </c>
    </row>
    <row r="67" spans="1:6">
      <c r="A67" s="1295" t="s">
        <v>55</v>
      </c>
      <c r="B67" s="1295" t="s">
        <v>58</v>
      </c>
      <c r="C67" s="1294">
        <v>0</v>
      </c>
      <c r="D67" s="1294">
        <v>0</v>
      </c>
      <c r="E67" s="1294">
        <v>0</v>
      </c>
      <c r="F67" s="1294">
        <v>0</v>
      </c>
    </row>
    <row r="68" spans="1:6">
      <c r="A68" s="1288" t="s">
        <v>55</v>
      </c>
      <c r="B68" s="1288" t="s">
        <v>59</v>
      </c>
      <c r="C68" s="1297">
        <v>0</v>
      </c>
      <c r="D68" s="1297">
        <v>0</v>
      </c>
      <c r="E68" s="1297">
        <v>7</v>
      </c>
      <c r="F68" s="1297">
        <v>39228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58461811</v>
      </c>
      <c r="E73" s="449"/>
      <c r="F73" s="330"/>
    </row>
    <row r="74" spans="1:6">
      <c r="A74" s="1293" t="s">
        <v>63</v>
      </c>
      <c r="B74" s="1293" t="s">
        <v>656</v>
      </c>
      <c r="C74" s="1307" t="s">
        <v>658</v>
      </c>
      <c r="D74" s="1308">
        <v>712267.5</v>
      </c>
      <c r="E74" s="449"/>
      <c r="F74" s="330"/>
    </row>
    <row r="75" spans="1:6">
      <c r="A75" s="1293" t="s">
        <v>64</v>
      </c>
      <c r="B75" s="1293" t="s">
        <v>655</v>
      </c>
      <c r="C75" s="1307" t="s">
        <v>659</v>
      </c>
      <c r="D75" s="1308">
        <v>33110911</v>
      </c>
      <c r="E75" s="449"/>
      <c r="F75" s="330"/>
    </row>
    <row r="76" spans="1:6">
      <c r="A76" s="1293" t="s">
        <v>64</v>
      </c>
      <c r="B76" s="1293" t="s">
        <v>656</v>
      </c>
      <c r="C76" s="1307" t="s">
        <v>660</v>
      </c>
      <c r="D76" s="1308">
        <v>87538.5</v>
      </c>
      <c r="E76" s="449"/>
      <c r="F76" s="330"/>
    </row>
    <row r="77" spans="1:6">
      <c r="A77" s="1293" t="s">
        <v>65</v>
      </c>
      <c r="B77" s="1293" t="s">
        <v>655</v>
      </c>
      <c r="C77" s="1307" t="s">
        <v>661</v>
      </c>
      <c r="D77" s="1308">
        <v>333050864</v>
      </c>
      <c r="E77" s="449"/>
      <c r="F77" s="330"/>
    </row>
    <row r="78" spans="1:6">
      <c r="A78" s="1288" t="s">
        <v>65</v>
      </c>
      <c r="B78" s="1288" t="s">
        <v>656</v>
      </c>
      <c r="C78" s="1288" t="s">
        <v>662</v>
      </c>
      <c r="D78" s="1309">
        <v>46413290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562005</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24544.885784878508</v>
      </c>
      <c r="C90" s="330"/>
      <c r="D90" s="330"/>
      <c r="E90" s="330"/>
      <c r="F90" s="330"/>
    </row>
    <row r="91" spans="1:6">
      <c r="A91" s="1293" t="s">
        <v>67</v>
      </c>
      <c r="B91" s="1294">
        <v>5553.4390416179322</v>
      </c>
      <c r="C91" s="330"/>
      <c r="D91" s="330"/>
      <c r="E91" s="330"/>
      <c r="F91" s="330"/>
    </row>
    <row r="92" spans="1:6">
      <c r="A92" s="1288" t="s">
        <v>68</v>
      </c>
      <c r="B92" s="1289">
        <v>5210.6508384768222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483</v>
      </c>
      <c r="C97" s="330"/>
      <c r="D97" s="330"/>
      <c r="E97" s="330"/>
      <c r="F97" s="330"/>
    </row>
    <row r="98" spans="1:6">
      <c r="A98" s="1293" t="s">
        <v>71</v>
      </c>
      <c r="B98" s="1294">
        <v>1</v>
      </c>
      <c r="C98" s="330"/>
      <c r="D98" s="330"/>
      <c r="E98" s="330"/>
      <c r="F98" s="330"/>
    </row>
    <row r="99" spans="1:6">
      <c r="A99" s="1293" t="s">
        <v>72</v>
      </c>
      <c r="B99" s="1294">
        <v>32</v>
      </c>
      <c r="C99" s="330"/>
      <c r="D99" s="330"/>
      <c r="E99" s="330"/>
      <c r="F99" s="330"/>
    </row>
    <row r="100" spans="1:6">
      <c r="A100" s="1293" t="s">
        <v>73</v>
      </c>
      <c r="B100" s="1294">
        <v>203</v>
      </c>
      <c r="C100" s="330"/>
      <c r="D100" s="330"/>
      <c r="E100" s="330"/>
      <c r="F100" s="330"/>
    </row>
    <row r="101" spans="1:6">
      <c r="A101" s="1293" t="s">
        <v>74</v>
      </c>
      <c r="B101" s="1294">
        <v>70</v>
      </c>
      <c r="C101" s="330"/>
      <c r="D101" s="330"/>
      <c r="E101" s="330"/>
      <c r="F101" s="330"/>
    </row>
    <row r="102" spans="1:6">
      <c r="A102" s="1293" t="s">
        <v>75</v>
      </c>
      <c r="B102" s="1294">
        <v>48</v>
      </c>
      <c r="C102" s="330"/>
      <c r="D102" s="330"/>
      <c r="E102" s="330"/>
      <c r="F102" s="330"/>
    </row>
    <row r="103" spans="1:6">
      <c r="A103" s="1293" t="s">
        <v>76</v>
      </c>
      <c r="B103" s="1294">
        <v>81</v>
      </c>
      <c r="C103" s="330"/>
      <c r="D103" s="330"/>
      <c r="E103" s="330"/>
      <c r="F103" s="330"/>
    </row>
    <row r="104" spans="1:6">
      <c r="A104" s="1293" t="s">
        <v>77</v>
      </c>
      <c r="B104" s="1294">
        <v>4055</v>
      </c>
      <c r="C104" s="330"/>
      <c r="D104" s="330"/>
      <c r="E104" s="330"/>
      <c r="F104" s="330"/>
    </row>
    <row r="105" spans="1:6">
      <c r="A105" s="1288" t="s">
        <v>78</v>
      </c>
      <c r="B105" s="1297">
        <v>10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35</v>
      </c>
      <c r="C123" s="1294">
        <v>39</v>
      </c>
      <c r="D123" s="330"/>
      <c r="E123" s="330"/>
      <c r="F123" s="330"/>
    </row>
    <row r="124" spans="1:6" s="43" customFormat="1">
      <c r="A124" s="1295" t="s">
        <v>88</v>
      </c>
      <c r="B124" s="1316">
        <v>1</v>
      </c>
      <c r="C124" s="1316">
        <v>1</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225</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45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102355.25533665973</v>
      </c>
      <c r="C3" s="43" t="s">
        <v>169</v>
      </c>
      <c r="D3" s="43"/>
      <c r="E3" s="154"/>
      <c r="F3" s="43"/>
      <c r="G3" s="43"/>
      <c r="H3" s="43"/>
      <c r="I3" s="43"/>
      <c r="J3" s="43"/>
      <c r="K3" s="96"/>
    </row>
    <row r="4" spans="1:11">
      <c r="A4" s="358" t="s">
        <v>170</v>
      </c>
      <c r="B4" s="49">
        <f>IF(ISERROR('SEAP template'!B78+'SEAP template'!C78),0,'SEAP template'!B78+'SEAP template'!C78)</f>
        <v>38953.975664973259</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286.23970588235295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0.13968918807634587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322.01966911764708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4100.6250000000009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7.8529411764705875E-2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1081.239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1081.239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0.13968918807634587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151.03739802648013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20538.170999999998</v>
      </c>
      <c r="C5" s="17">
        <f>IF(ISERROR('Eigen informatie GS &amp; warmtenet'!B57),0,'Eigen informatie GS &amp; warmtenet'!B57)</f>
        <v>0</v>
      </c>
      <c r="D5" s="30">
        <f>(SUM(HH_hh_gas_kWh,HH_rest_gas_kWh)/1000)*0.902</f>
        <v>29946.942598099999</v>
      </c>
      <c r="E5" s="17">
        <f>B46*B57</f>
        <v>6570.1502566659083</v>
      </c>
      <c r="F5" s="17">
        <f>B51*B62</f>
        <v>50473.808453186772</v>
      </c>
      <c r="G5" s="18"/>
      <c r="H5" s="17"/>
      <c r="I5" s="17"/>
      <c r="J5" s="17">
        <f>B50*B61+C50*C61</f>
        <v>0</v>
      </c>
      <c r="K5" s="17"/>
      <c r="L5" s="17"/>
      <c r="M5" s="17"/>
      <c r="N5" s="17">
        <f>B48*B59+C48*C59</f>
        <v>19808.863127444674</v>
      </c>
      <c r="O5" s="17">
        <f>B69*B70*B71</f>
        <v>414.28333333333336</v>
      </c>
      <c r="P5" s="17">
        <f>B77*B78*B79/1000-B77*B78*B79/1000/B80</f>
        <v>1544.4</v>
      </c>
    </row>
    <row r="6" spans="1:16">
      <c r="A6" s="16" t="s">
        <v>620</v>
      </c>
      <c r="B6" s="762">
        <f>kWh_PV_kleiner_dan_10kW</f>
        <v>5553.4390416179322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26091.610041617932</v>
      </c>
      <c r="C8" s="21">
        <f>C5</f>
        <v>0</v>
      </c>
      <c r="D8" s="21">
        <f>D5</f>
        <v>29946.942598099999</v>
      </c>
      <c r="E8" s="21">
        <f>E5</f>
        <v>6570.1502566659083</v>
      </c>
      <c r="F8" s="21">
        <f>F5</f>
        <v>50473.808453186772</v>
      </c>
      <c r="G8" s="21"/>
      <c r="H8" s="21"/>
      <c r="I8" s="21"/>
      <c r="J8" s="21">
        <f>J5</f>
        <v>0</v>
      </c>
      <c r="K8" s="21"/>
      <c r="L8" s="21">
        <f>L5</f>
        <v>0</v>
      </c>
      <c r="M8" s="21">
        <f>M5</f>
        <v>0</v>
      </c>
      <c r="N8" s="21">
        <f>N5</f>
        <v>19808.863127444674</v>
      </c>
      <c r="O8" s="21">
        <f>O5</f>
        <v>414.28333333333336</v>
      </c>
      <c r="P8" s="21">
        <f>P5</f>
        <v>1544.4</v>
      </c>
    </row>
    <row r="9" spans="1:16">
      <c r="B9" s="19"/>
      <c r="C9" s="19"/>
      <c r="D9" s="258"/>
      <c r="E9" s="19"/>
      <c r="F9" s="19"/>
      <c r="G9" s="19"/>
      <c r="H9" s="19"/>
      <c r="I9" s="19"/>
      <c r="J9" s="19"/>
      <c r="K9" s="19"/>
      <c r="L9" s="19"/>
      <c r="M9" s="19"/>
      <c r="N9" s="19"/>
      <c r="O9" s="19"/>
      <c r="P9" s="19"/>
    </row>
    <row r="10" spans="1:16">
      <c r="A10" s="24" t="s">
        <v>213</v>
      </c>
      <c r="B10" s="25">
        <f ca="1">'EF ele_warmte'!B12</f>
        <v>0.13968918807634587</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3644.7158223182419</v>
      </c>
      <c r="C12" s="23">
        <f ca="1">C10*C8</f>
        <v>0</v>
      </c>
      <c r="D12" s="23">
        <f>D8*D10</f>
        <v>6049.2824048162001</v>
      </c>
      <c r="E12" s="23">
        <f>E10*E8</f>
        <v>1491.4241082631613</v>
      </c>
      <c r="F12" s="23">
        <f>F10*F8</f>
        <v>13476.506857000868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483</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10.491803278688524</v>
      </c>
      <c r="D20" s="229"/>
      <c r="E20" s="15"/>
    </row>
    <row r="21" spans="1:7">
      <c r="A21" s="171" t="s">
        <v>73</v>
      </c>
      <c r="B21" s="37">
        <f>aantalw2001_elektriciteit</f>
        <v>203</v>
      </c>
      <c r="C21" s="167">
        <f>IF(ISERROR(B21/SUM($B$20,$B$21,$B$22)*100),0,B21/SUM($B$20,$B$21,$B$22)*100)</f>
        <v>66.557377049180332</v>
      </c>
      <c r="D21" s="229"/>
      <c r="E21" s="15"/>
    </row>
    <row r="22" spans="1:7">
      <c r="A22" s="171" t="s">
        <v>74</v>
      </c>
      <c r="B22" s="37">
        <f>aantalw2001_hout</f>
        <v>70</v>
      </c>
      <c r="C22" s="167">
        <f>IF(ISERROR(B22/SUM($B$20,$B$21,$B$22)*100),0,B22/SUM($B$20,$B$21,$B$22)*100)</f>
        <v>22.950819672131146</v>
      </c>
      <c r="D22" s="229"/>
      <c r="E22" s="15"/>
    </row>
    <row r="23" spans="1:7">
      <c r="A23" s="171" t="s">
        <v>75</v>
      </c>
      <c r="B23" s="37">
        <f>aantalw2001_niet_gespec</f>
        <v>48</v>
      </c>
      <c r="C23" s="166" t="s">
        <v>110</v>
      </c>
      <c r="D23" s="228"/>
      <c r="E23" s="15"/>
    </row>
    <row r="24" spans="1:7">
      <c r="A24" s="171" t="s">
        <v>76</v>
      </c>
      <c r="B24" s="37">
        <f>aantalw2001_steenkool</f>
        <v>81</v>
      </c>
      <c r="C24" s="166" t="s">
        <v>110</v>
      </c>
      <c r="D24" s="229"/>
      <c r="E24" s="15"/>
    </row>
    <row r="25" spans="1:7">
      <c r="A25" s="171" t="s">
        <v>77</v>
      </c>
      <c r="B25" s="37">
        <f>aantalw2001_stookolie</f>
        <v>4055</v>
      </c>
      <c r="C25" s="166" t="s">
        <v>110</v>
      </c>
      <c r="D25" s="228"/>
      <c r="E25" s="52"/>
    </row>
    <row r="26" spans="1:7">
      <c r="A26" s="171" t="s">
        <v>78</v>
      </c>
      <c r="B26" s="37">
        <f>aantalw2001_WP</f>
        <v>10</v>
      </c>
      <c r="C26" s="166" t="s">
        <v>110</v>
      </c>
      <c r="D26" s="228"/>
      <c r="E26" s="15"/>
    </row>
    <row r="27" spans="1:7" s="15" customFormat="1">
      <c r="A27" s="171"/>
      <c r="B27" s="29"/>
      <c r="C27" s="36"/>
      <c r="D27" s="228"/>
    </row>
    <row r="28" spans="1:7" s="15" customFormat="1">
      <c r="A28" s="230" t="s">
        <v>780</v>
      </c>
      <c r="B28" s="37">
        <f>aantalHuishoudens</f>
        <v>5985</v>
      </c>
      <c r="C28" s="36"/>
      <c r="D28" s="228"/>
    </row>
    <row r="29" spans="1:7" s="15" customFormat="1">
      <c r="A29" s="230" t="s">
        <v>781</v>
      </c>
      <c r="B29" s="37">
        <f>SUM(HH_hh_gas_aantal,HH_rest_gas_aantal)</f>
        <v>2300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2300</v>
      </c>
      <c r="C32" s="167">
        <f>IF(ISERROR(B32/SUM($B$32,$B$34,$B$35,$B$36,$B$38,$B$39)*100),0,B32/SUM($B$32,$B$34,$B$35,$B$36,$B$38,$B$39)*100)</f>
        <v>38.956639566395665</v>
      </c>
      <c r="D32" s="233"/>
      <c r="G32" s="15"/>
    </row>
    <row r="33" spans="1:7">
      <c r="A33" s="171" t="s">
        <v>71</v>
      </c>
      <c r="B33" s="34" t="s">
        <v>110</v>
      </c>
      <c r="C33" s="167"/>
      <c r="D33" s="233"/>
      <c r="G33" s="15"/>
    </row>
    <row r="34" spans="1:7">
      <c r="A34" s="171" t="s">
        <v>72</v>
      </c>
      <c r="B34" s="33">
        <f>IF((($B$28-$B$32-$B$39-$B$77-$B$38)*C20/100)&lt;0,0,($B$28-$B$32-$B$39-$B$77-$B$38)*C20/100)</f>
        <v>124.25442622950821</v>
      </c>
      <c r="C34" s="167">
        <f>IF(ISERROR(B34/SUM($B$32,$B$34,$B$35,$B$36,$B$38,$B$39)*100),0,B34/SUM($B$32,$B$34,$B$35,$B$36,$B$38,$B$39)*100)</f>
        <v>2.1045803900661961</v>
      </c>
      <c r="D34" s="233"/>
      <c r="G34" s="15"/>
    </row>
    <row r="35" spans="1:7">
      <c r="A35" s="171" t="s">
        <v>73</v>
      </c>
      <c r="B35" s="33">
        <f>IF((($B$28-$B$32-$B$39-$B$77-$B$38)*C21/100)&lt;0,0,($B$28-$B$32-$B$39-$B$77-$B$38)*C21/100)</f>
        <v>788.23901639344274</v>
      </c>
      <c r="C35" s="167">
        <f>IF(ISERROR(B35/SUM($B$32,$B$34,$B$35,$B$36,$B$38,$B$39)*100),0,B35/SUM($B$32,$B$34,$B$35,$B$36,$B$38,$B$39)*100)</f>
        <v>13.35093184948243</v>
      </c>
      <c r="D35" s="233"/>
      <c r="G35" s="15"/>
    </row>
    <row r="36" spans="1:7">
      <c r="A36" s="171" t="s">
        <v>74</v>
      </c>
      <c r="B36" s="33">
        <f>IF((($B$28-$B$32-$B$39-$B$77-$B$38)*C22/100)&lt;0,0,($B$28-$B$32-$B$39-$B$77-$B$38)*C22/100)</f>
        <v>271.80655737704922</v>
      </c>
      <c r="C36" s="167">
        <f>IF(ISERROR(B36/SUM($B$32,$B$34,$B$35,$B$36,$B$38,$B$39)*100),0,B36/SUM($B$32,$B$34,$B$35,$B$36,$B$38,$B$39)*100)</f>
        <v>4.6037696032698037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2419.6999999999998</v>
      </c>
      <c r="C39" s="167">
        <f>IF(ISERROR(B39/SUM($B$32,$B$34,$B$35,$B$36,$B$38,$B$39)*100),0,B39/SUM($B$32,$B$34,$B$35,$B$36,$B$38,$B$39)*100)</f>
        <v>40.984078590785906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2300</v>
      </c>
      <c r="C44" s="34" t="s">
        <v>110</v>
      </c>
      <c r="D44" s="174"/>
    </row>
    <row r="45" spans="1:7">
      <c r="A45" s="171" t="s">
        <v>71</v>
      </c>
      <c r="B45" s="33" t="str">
        <f t="shared" si="0"/>
        <v>-</v>
      </c>
      <c r="C45" s="34" t="s">
        <v>110</v>
      </c>
      <c r="D45" s="174"/>
    </row>
    <row r="46" spans="1:7">
      <c r="A46" s="171" t="s">
        <v>72</v>
      </c>
      <c r="B46" s="33">
        <f t="shared" si="0"/>
        <v>124.25442622950821</v>
      </c>
      <c r="C46" s="34" t="s">
        <v>110</v>
      </c>
      <c r="D46" s="174"/>
    </row>
    <row r="47" spans="1:7">
      <c r="A47" s="171" t="s">
        <v>73</v>
      </c>
      <c r="B47" s="33">
        <f t="shared" si="0"/>
        <v>788.23901639344274</v>
      </c>
      <c r="C47" s="34" t="s">
        <v>110</v>
      </c>
      <c r="D47" s="174"/>
    </row>
    <row r="48" spans="1:7">
      <c r="A48" s="171" t="s">
        <v>74</v>
      </c>
      <c r="B48" s="33">
        <f t="shared" si="0"/>
        <v>271.80655737704922</v>
      </c>
      <c r="C48" s="33">
        <f>B48*10</f>
        <v>2718.0655737704919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2419.6999999999998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20114.624553999998</v>
      </c>
      <c r="C5" s="17">
        <f>IF(ISERROR('Eigen informatie GS &amp; warmtenet'!B58),0,'Eigen informatie GS &amp; warmtenet'!B58)</f>
        <v>0</v>
      </c>
      <c r="D5" s="30">
        <f>SUM(D6:D12)</f>
        <v>19590.110434862003</v>
      </c>
      <c r="E5" s="17">
        <f>SUM(E6:E12)</f>
        <v>219.4980343673738</v>
      </c>
      <c r="F5" s="17">
        <f>SUM(F6:F12)</f>
        <v>3375.5015554636884</v>
      </c>
      <c r="G5" s="18"/>
      <c r="H5" s="17"/>
      <c r="I5" s="17"/>
      <c r="J5" s="17">
        <f>SUM(J6:J12)</f>
        <v>3.3763759703042143E-2</v>
      </c>
      <c r="K5" s="17"/>
      <c r="L5" s="17"/>
      <c r="M5" s="17"/>
      <c r="N5" s="17">
        <f>SUM(N6:N12)</f>
        <v>1345.6060141241669</v>
      </c>
      <c r="O5" s="17">
        <f>B38*B39*B40</f>
        <v>1.5633333333333335</v>
      </c>
      <c r="P5" s="17">
        <f>B46*B47*B48/1000-B46*B47*B48/1000/B49</f>
        <v>38.133333333333333</v>
      </c>
      <c r="R5" s="32"/>
    </row>
    <row r="6" spans="1:18">
      <c r="A6" s="32" t="s">
        <v>53</v>
      </c>
      <c r="B6" s="37">
        <f>B26</f>
        <v>10903.892089999999</v>
      </c>
      <c r="C6" s="33"/>
      <c r="D6" s="37">
        <f>IF(ISERROR(TER_kantoor_gas_kWh/1000),0,TER_kantoor_gas_kWh/1000)*0.902</f>
        <v>7327.6855281520002</v>
      </c>
      <c r="E6" s="33">
        <f>$C$26*'E Balans VL '!I12/100/3.6*1000000</f>
        <v>6.8341969042426315E-2</v>
      </c>
      <c r="F6" s="33">
        <f>$C$26*('E Balans VL '!L12+'E Balans VL '!N12)/100/3.6*1000000</f>
        <v>1638.5502973231646</v>
      </c>
      <c r="G6" s="34"/>
      <c r="H6" s="33"/>
      <c r="I6" s="33"/>
      <c r="J6" s="33">
        <f>$C$26*('E Balans VL '!D12+'E Balans VL '!E12)/100/3.6*1000000</f>
        <v>0</v>
      </c>
      <c r="K6" s="33"/>
      <c r="L6" s="33"/>
      <c r="M6" s="33"/>
      <c r="N6" s="33">
        <f>$C$26*'E Balans VL '!Y12/100/3.6*1000000</f>
        <v>10.427956104661522</v>
      </c>
      <c r="O6" s="33"/>
      <c r="P6" s="33"/>
      <c r="R6" s="32"/>
    </row>
    <row r="7" spans="1:18">
      <c r="A7" s="32" t="s">
        <v>52</v>
      </c>
      <c r="B7" s="37">
        <f t="shared" ref="B7:B12" si="0">B27</f>
        <v>1870.528</v>
      </c>
      <c r="C7" s="33"/>
      <c r="D7" s="37">
        <f>IF(ISERROR(TER_horeca_gas_kWh/1000),0,TER_horeca_gas_kWh/1000)*0.902</f>
        <v>4238.2208388520003</v>
      </c>
      <c r="E7" s="33">
        <f>$C$27*'E Balans VL '!I9/100/3.6*1000000</f>
        <v>26.785649389513416</v>
      </c>
      <c r="F7" s="33">
        <f>$C$27*('E Balans VL '!L9+'E Balans VL '!N9)/100/3.6*1000000</f>
        <v>236.87053719019266</v>
      </c>
      <c r="G7" s="34"/>
      <c r="H7" s="33"/>
      <c r="I7" s="33"/>
      <c r="J7" s="33">
        <f>$C$27*('E Balans VL '!D9+'E Balans VL '!E9)/100/3.6*1000000</f>
        <v>0</v>
      </c>
      <c r="K7" s="33"/>
      <c r="L7" s="33"/>
      <c r="M7" s="33"/>
      <c r="N7" s="33">
        <f>$C$27*'E Balans VL '!Y9/100/3.6*1000000</f>
        <v>0.53773555839776532</v>
      </c>
      <c r="O7" s="33"/>
      <c r="P7" s="33"/>
      <c r="R7" s="32"/>
    </row>
    <row r="8" spans="1:18">
      <c r="A8" s="6" t="s">
        <v>51</v>
      </c>
      <c r="B8" s="37">
        <f t="shared" si="0"/>
        <v>5158.1196710000004</v>
      </c>
      <c r="C8" s="33"/>
      <c r="D8" s="37">
        <f>IF(ISERROR(TER_handel_gas_kWh/1000),0,TER_handel_gas_kWh/1000)*0.902</f>
        <v>4315.8652460000003</v>
      </c>
      <c r="E8" s="33">
        <f>$C$28*'E Balans VL '!I13/100/3.6*1000000</f>
        <v>187.08436439634912</v>
      </c>
      <c r="F8" s="33">
        <f>$C$28*('E Balans VL '!L13+'E Balans VL '!N13)/100/3.6*1000000</f>
        <v>993.50607791690311</v>
      </c>
      <c r="G8" s="34"/>
      <c r="H8" s="33"/>
      <c r="I8" s="33"/>
      <c r="J8" s="33">
        <f>$C$28*('E Balans VL '!D13+'E Balans VL '!E13)/100/3.6*1000000</f>
        <v>0</v>
      </c>
      <c r="K8" s="33"/>
      <c r="L8" s="33"/>
      <c r="M8" s="33"/>
      <c r="N8" s="33">
        <f>$C$28*'E Balans VL '!Y13/100/3.6*1000000</f>
        <v>7.1451825747402475</v>
      </c>
      <c r="O8" s="33"/>
      <c r="P8" s="33"/>
      <c r="R8" s="32"/>
    </row>
    <row r="9" spans="1:18">
      <c r="A9" s="32" t="s">
        <v>50</v>
      </c>
      <c r="B9" s="37">
        <f t="shared" si="0"/>
        <v>382.58300000000003</v>
      </c>
      <c r="C9" s="33"/>
      <c r="D9" s="37">
        <f>IF(ISERROR(TER_gezond_gas_kWh/1000),0,TER_gezond_gas_kWh/1000)*0.902</f>
        <v>274.69417800000002</v>
      </c>
      <c r="E9" s="33">
        <f>$C$29*'E Balans VL '!I10/100/3.6*1000000</f>
        <v>2.3953473124711831E-2</v>
      </c>
      <c r="F9" s="33">
        <f>$C$29*('E Balans VL '!L10+'E Balans VL '!N10)/100/3.6*1000000</f>
        <v>56.833869504300132</v>
      </c>
      <c r="G9" s="34"/>
      <c r="H9" s="33"/>
      <c r="I9" s="33"/>
      <c r="J9" s="33">
        <f>$C$29*('E Balans VL '!D10+'E Balans VL '!E10)/100/3.6*1000000</f>
        <v>0</v>
      </c>
      <c r="K9" s="33"/>
      <c r="L9" s="33"/>
      <c r="M9" s="33"/>
      <c r="N9" s="33">
        <f>$C$29*'E Balans VL '!Y10/100/3.6*1000000</f>
        <v>5.9178307601039046</v>
      </c>
      <c r="O9" s="33"/>
      <c r="P9" s="33"/>
      <c r="R9" s="32"/>
    </row>
    <row r="10" spans="1:18">
      <c r="A10" s="32" t="s">
        <v>49</v>
      </c>
      <c r="B10" s="37">
        <f t="shared" si="0"/>
        <v>1555.497793</v>
      </c>
      <c r="C10" s="33"/>
      <c r="D10" s="37">
        <f>IF(ISERROR(TER_ander_gas_kWh/1000),0,TER_ander_gas_kWh/1000)*0.902</f>
        <v>2625.255666</v>
      </c>
      <c r="E10" s="33">
        <f>$C$30*'E Balans VL '!I14/100/3.6*1000000</f>
        <v>1.8540977851569409</v>
      </c>
      <c r="F10" s="33">
        <f>$C$30*('E Balans VL '!L14+'E Balans VL '!N14)/100/3.6*1000000</f>
        <v>406.98737464926137</v>
      </c>
      <c r="G10" s="34"/>
      <c r="H10" s="33"/>
      <c r="I10" s="33"/>
      <c r="J10" s="33">
        <f>$C$30*('E Balans VL '!D14+'E Balans VL '!E14)/100/3.6*1000000</f>
        <v>3.3763759703042143E-2</v>
      </c>
      <c r="K10" s="33"/>
      <c r="L10" s="33"/>
      <c r="M10" s="33"/>
      <c r="N10" s="33">
        <f>$C$30*'E Balans VL '!Y14/100/3.6*1000000</f>
        <v>1320.8906633203731</v>
      </c>
      <c r="O10" s="33"/>
      <c r="P10" s="33"/>
      <c r="R10" s="32"/>
    </row>
    <row r="11" spans="1:18">
      <c r="A11" s="32" t="s">
        <v>54</v>
      </c>
      <c r="B11" s="37">
        <f t="shared" si="0"/>
        <v>244.00399999999999</v>
      </c>
      <c r="C11" s="33"/>
      <c r="D11" s="37">
        <f>IF(ISERROR(TER_onderwijs_gas_kWh/1000),0,TER_onderwijs_gas_kWh/1000)*0.902</f>
        <v>808.38897785799998</v>
      </c>
      <c r="E11" s="33">
        <f>$C$31*'E Balans VL '!I11/100/3.6*1000000</f>
        <v>3.681627354187198</v>
      </c>
      <c r="F11" s="33">
        <f>$C$31*('E Balans VL '!L11+'E Balans VL '!N11)/100/3.6*1000000</f>
        <v>42.753398879866573</v>
      </c>
      <c r="G11" s="34"/>
      <c r="H11" s="33"/>
      <c r="I11" s="33"/>
      <c r="J11" s="33">
        <f>$C$31*('E Balans VL '!D11+'E Balans VL '!E11)/100/3.6*1000000</f>
        <v>0</v>
      </c>
      <c r="K11" s="33"/>
      <c r="L11" s="33"/>
      <c r="M11" s="33"/>
      <c r="N11" s="33">
        <f>$C$31*'E Balans VL '!Y11/100/3.6*1000000</f>
        <v>0.68664580589049451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3645.0000000000005</v>
      </c>
      <c r="C13" s="247">
        <f ca="1">'lokale energieproductie'!O38+'lokale energieproductie'!O31</f>
        <v>4100.6250000000009</v>
      </c>
      <c r="D13" s="308">
        <f ca="1">('lokale energieproductie'!P31+'lokale energieproductie'!P38)*(-1)</f>
        <v>0</v>
      </c>
      <c r="E13" s="248"/>
      <c r="F13" s="308">
        <f ca="1">('lokale energieproductie'!S31+'lokale energieproductie'!S38)*(-1)</f>
        <v>-2278.125</v>
      </c>
      <c r="G13" s="249"/>
      <c r="H13" s="248"/>
      <c r="I13" s="248"/>
      <c r="J13" s="248"/>
      <c r="K13" s="248"/>
      <c r="L13" s="308">
        <f ca="1">('lokale energieproductie'!U31+'lokale energieproductie'!T31+'lokale energieproductie'!U38+'lokale energieproductie'!T38)*(-1)</f>
        <v>-6834.375</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23759.624553999998</v>
      </c>
      <c r="C16" s="21">
        <f t="shared" ca="1" si="1"/>
        <v>4100.6250000000009</v>
      </c>
      <c r="D16" s="21">
        <f t="shared" ca="1" si="1"/>
        <v>19590.110434862003</v>
      </c>
      <c r="E16" s="21">
        <f t="shared" si="1"/>
        <v>219.4980343673738</v>
      </c>
      <c r="F16" s="21">
        <f t="shared" ca="1" si="1"/>
        <v>1097.3765554636884</v>
      </c>
      <c r="G16" s="21">
        <f t="shared" si="1"/>
        <v>0</v>
      </c>
      <c r="H16" s="21">
        <f t="shared" si="1"/>
        <v>0</v>
      </c>
      <c r="I16" s="21">
        <f t="shared" si="1"/>
        <v>0</v>
      </c>
      <c r="J16" s="21">
        <f t="shared" si="1"/>
        <v>3.3763759703042143E-2</v>
      </c>
      <c r="K16" s="21">
        <f t="shared" si="1"/>
        <v>0</v>
      </c>
      <c r="L16" s="21">
        <f t="shared" ca="1" si="1"/>
        <v>0</v>
      </c>
      <c r="M16" s="21">
        <f t="shared" si="1"/>
        <v>0</v>
      </c>
      <c r="N16" s="21">
        <f t="shared" ca="1" si="1"/>
        <v>1345.6060141241669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0.13968918807634587</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3318.9626629470708</v>
      </c>
      <c r="C20" s="23">
        <f t="shared" ref="C20:P20" ca="1" si="2">C16*C18</f>
        <v>322.01966911764708</v>
      </c>
      <c r="D20" s="23">
        <f t="shared" ca="1" si="2"/>
        <v>3957.2023078421248</v>
      </c>
      <c r="E20" s="23">
        <f t="shared" si="2"/>
        <v>49.826053801393854</v>
      </c>
      <c r="F20" s="23">
        <f t="shared" ca="1" si="2"/>
        <v>292.9995403088048</v>
      </c>
      <c r="G20" s="23">
        <f t="shared" si="2"/>
        <v>0</v>
      </c>
      <c r="H20" s="23">
        <f t="shared" si="2"/>
        <v>0</v>
      </c>
      <c r="I20" s="23">
        <f t="shared" si="2"/>
        <v>0</v>
      </c>
      <c r="J20" s="23">
        <f t="shared" si="2"/>
        <v>1.1952370934876918E-2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10903.892089999999</v>
      </c>
      <c r="C26" s="39">
        <f>IF(ISERROR(B26*3.6/1000000/'E Balans VL '!Z12*100),0,B26*3.6/1000000/'E Balans VL '!Z12*100)</f>
        <v>0.23049100562228872</v>
      </c>
      <c r="D26" s="237" t="s">
        <v>744</v>
      </c>
      <c r="F26" s="6"/>
    </row>
    <row r="27" spans="1:18">
      <c r="A27" s="231" t="s">
        <v>52</v>
      </c>
      <c r="B27" s="33">
        <f>IF(ISERROR(TER_horeca_ele_kWh/1000),0,TER_horeca_ele_kWh/1000)</f>
        <v>1870.528</v>
      </c>
      <c r="C27" s="39">
        <f>IF(ISERROR(B27*3.6/1000000/'E Balans VL '!Z9*100),0,B27*3.6/1000000/'E Balans VL '!Z9*100)</f>
        <v>0.14745302505862201</v>
      </c>
      <c r="D27" s="237" t="s">
        <v>744</v>
      </c>
      <c r="F27" s="6"/>
    </row>
    <row r="28" spans="1:18">
      <c r="A28" s="171" t="s">
        <v>51</v>
      </c>
      <c r="B28" s="33">
        <f>IF(ISERROR(TER_handel_ele_kWh/1000),0,TER_handel_ele_kWh/1000)</f>
        <v>5158.1196710000004</v>
      </c>
      <c r="C28" s="39">
        <f>IF(ISERROR(B28*3.6/1000000/'E Balans VL '!Z13*100),0,B28*3.6/1000000/'E Balans VL '!Z13*100)</f>
        <v>0.14970947399126769</v>
      </c>
      <c r="D28" s="237" t="s">
        <v>744</v>
      </c>
      <c r="F28" s="6"/>
    </row>
    <row r="29" spans="1:18">
      <c r="A29" s="231" t="s">
        <v>50</v>
      </c>
      <c r="B29" s="33">
        <f>IF(ISERROR(TER_gezond_ele_kWh/1000),0,TER_gezond_ele_kWh/1000)</f>
        <v>382.58300000000003</v>
      </c>
      <c r="C29" s="39">
        <f>IF(ISERROR(B29*3.6/1000000/'E Balans VL '!Z10*100),0,B29*3.6/1000000/'E Balans VL '!Z10*100)</f>
        <v>4.0292272078685229E-2</v>
      </c>
      <c r="D29" s="237" t="s">
        <v>744</v>
      </c>
      <c r="F29" s="6"/>
    </row>
    <row r="30" spans="1:18">
      <c r="A30" s="231" t="s">
        <v>49</v>
      </c>
      <c r="B30" s="33">
        <f>IF(ISERROR(TER_ander_ele_kWh/1000),0,TER_ander_ele_kWh/1000)</f>
        <v>1555.497793</v>
      </c>
      <c r="C30" s="39">
        <f>IF(ISERROR(B30*3.6/1000000/'E Balans VL '!Z14*100),0,B30*3.6/1000000/'E Balans VL '!Z14*100)</f>
        <v>0.11473385506412005</v>
      </c>
      <c r="D30" s="237" t="s">
        <v>744</v>
      </c>
      <c r="F30" s="6"/>
    </row>
    <row r="31" spans="1:18">
      <c r="A31" s="231" t="s">
        <v>54</v>
      </c>
      <c r="B31" s="33">
        <f>IF(ISERROR(TER_onderwijs_ele_kWh/1000),0,TER_onderwijs_ele_kWh/1000)</f>
        <v>244.00399999999999</v>
      </c>
      <c r="C31" s="39">
        <f>IF(ISERROR(B31*3.6/1000000/'E Balans VL '!Z11*100),0,B31*3.6/1000000/'E Balans VL '!Z11*100)</f>
        <v>6.0597623020485672E-2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49458.952035999995</v>
      </c>
      <c r="C5" s="17">
        <f>IF(ISERROR('Eigen informatie GS &amp; warmtenet'!B59),0,'Eigen informatie GS &amp; warmtenet'!B59)</f>
        <v>0</v>
      </c>
      <c r="D5" s="30">
        <f>SUM(D6:D15)</f>
        <v>98873.232584477984</v>
      </c>
      <c r="E5" s="17">
        <f>SUM(E6:E15)</f>
        <v>736.9176660606081</v>
      </c>
      <c r="F5" s="17">
        <f>SUM(F6:F15)</f>
        <v>5117.0215805142116</v>
      </c>
      <c r="G5" s="18"/>
      <c r="H5" s="17"/>
      <c r="I5" s="17"/>
      <c r="J5" s="17">
        <f>SUM(J6:J15)</f>
        <v>2.050224367799351</v>
      </c>
      <c r="K5" s="17"/>
      <c r="L5" s="17"/>
      <c r="M5" s="17"/>
      <c r="N5" s="17">
        <f>SUM(N6:N15)</f>
        <v>3085.5451476172175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12015.917242000001</v>
      </c>
      <c r="C8" s="33"/>
      <c r="D8" s="37">
        <f>IF( ISERROR(IND_metaal_Gas_kWH/1000),0,IND_metaal_Gas_kWH/1000)*0.902</f>
        <v>22439.705143878</v>
      </c>
      <c r="E8" s="33">
        <f>C30*'E Balans VL '!I18/100/3.6*1000000</f>
        <v>110.47475395695302</v>
      </c>
      <c r="F8" s="33">
        <f>C30*'E Balans VL '!L18/100/3.6*1000000+C30*'E Balans VL '!N18/100/3.6*1000000</f>
        <v>1126.6929869196804</v>
      </c>
      <c r="G8" s="34"/>
      <c r="H8" s="33"/>
      <c r="I8" s="33"/>
      <c r="J8" s="40">
        <f>C30*'E Balans VL '!D18/100/3.6*1000000+C30*'E Balans VL '!E18/100/3.6*1000000</f>
        <v>0</v>
      </c>
      <c r="K8" s="33"/>
      <c r="L8" s="33"/>
      <c r="M8" s="33"/>
      <c r="N8" s="33">
        <f>C30*'E Balans VL '!Y18/100/3.6*1000000</f>
        <v>171.4269165965774</v>
      </c>
      <c r="O8" s="33"/>
      <c r="P8" s="33"/>
      <c r="R8" s="32"/>
    </row>
    <row r="9" spans="1:18">
      <c r="A9" s="6" t="s">
        <v>32</v>
      </c>
      <c r="B9" s="37">
        <f t="shared" si="0"/>
        <v>1774.682587</v>
      </c>
      <c r="C9" s="33"/>
      <c r="D9" s="37">
        <f>IF( ISERROR(IND_andere_gas_kWh/1000),0,IND_andere_gas_kWh/1000)*0.902</f>
        <v>1115.3999406</v>
      </c>
      <c r="E9" s="33">
        <f>C31*'E Balans VL '!I19/100/3.6*1000000</f>
        <v>518.77426917503851</v>
      </c>
      <c r="F9" s="33">
        <f>C31*'E Balans VL '!L19/100/3.6*1000000+C31*'E Balans VL '!N19/100/3.6*1000000</f>
        <v>1426.0917897831966</v>
      </c>
      <c r="G9" s="34"/>
      <c r="H9" s="33"/>
      <c r="I9" s="33"/>
      <c r="J9" s="40">
        <f>C31*'E Balans VL '!D19/100/3.6*1000000+C31*'E Balans VL '!E19/100/3.6*1000000</f>
        <v>0</v>
      </c>
      <c r="K9" s="33"/>
      <c r="L9" s="33"/>
      <c r="M9" s="33"/>
      <c r="N9" s="33">
        <f>C31*'E Balans VL '!Y19/100/3.6*1000000</f>
        <v>139.20369180563597</v>
      </c>
      <c r="O9" s="33"/>
      <c r="P9" s="33"/>
      <c r="R9" s="32"/>
    </row>
    <row r="10" spans="1:18">
      <c r="A10" s="6" t="s">
        <v>40</v>
      </c>
      <c r="B10" s="37">
        <f t="shared" si="0"/>
        <v>33575.296206999999</v>
      </c>
      <c r="C10" s="33"/>
      <c r="D10" s="37">
        <f>IF( ISERROR(IND_voed_gas_kWh/1000),0,IND_voed_gas_kWh/1000)*0.902</f>
        <v>64482.548525999999</v>
      </c>
      <c r="E10" s="33">
        <f>C32*'E Balans VL '!I20/100/3.6*1000000</f>
        <v>71.029059717041989</v>
      </c>
      <c r="F10" s="33">
        <f>C32*'E Balans VL '!L20/100/3.6*1000000+C32*'E Balans VL '!N20/100/3.6*1000000</f>
        <v>2134.751629000416</v>
      </c>
      <c r="G10" s="34"/>
      <c r="H10" s="33"/>
      <c r="I10" s="33"/>
      <c r="J10" s="40">
        <f>C32*'E Balans VL '!D20/100/3.6*1000000+C32*'E Balans VL '!E20/100/3.6*1000000</f>
        <v>0</v>
      </c>
      <c r="K10" s="33"/>
      <c r="L10" s="33"/>
      <c r="M10" s="33"/>
      <c r="N10" s="33">
        <f>C32*'E Balans VL '!Y20/100/3.6*1000000</f>
        <v>2317.0267674018592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1202.8969999999999</v>
      </c>
      <c r="C12" s="33"/>
      <c r="D12" s="37">
        <f>IF( ISERROR(IND_min_gas_kWh/1000),0,IND_min_gas_kWh/1000)*0.902</f>
        <v>0</v>
      </c>
      <c r="E12" s="33">
        <f>C34*'E Balans VL '!I22/100/3.6*1000000</f>
        <v>34.867030904169773</v>
      </c>
      <c r="F12" s="33">
        <f>C34*'E Balans VL '!L22/100/3.6*1000000+C34*'E Balans VL '!N22/100/3.6*1000000</f>
        <v>413.56958163904926</v>
      </c>
      <c r="G12" s="34"/>
      <c r="H12" s="33"/>
      <c r="I12" s="33"/>
      <c r="J12" s="40">
        <f>C34*'E Balans VL '!D22/100/3.6*1000000+C34*'E Balans VL '!E22/100/3.6*1000000</f>
        <v>1.976722258603971</v>
      </c>
      <c r="K12" s="33"/>
      <c r="L12" s="33"/>
      <c r="M12" s="33"/>
      <c r="N12" s="33">
        <f>C34*'E Balans VL '!Y22/100/3.6*1000000</f>
        <v>263.33392085678634</v>
      </c>
      <c r="O12" s="33"/>
      <c r="P12" s="33"/>
      <c r="R12" s="32"/>
    </row>
    <row r="13" spans="1:18">
      <c r="A13" s="6" t="s">
        <v>38</v>
      </c>
      <c r="B13" s="37">
        <f t="shared" si="0"/>
        <v>452.10399999999998</v>
      </c>
      <c r="C13" s="33"/>
      <c r="D13" s="37">
        <f>IF( ISERROR(IND_papier_gas_kWh/1000),0,IND_papier_gas_kWh/1000)*0.902</f>
        <v>357.37149800000003</v>
      </c>
      <c r="E13" s="33">
        <f>C35*'E Balans VL '!I23/100/3.6*1000000</f>
        <v>0.64143218061785623</v>
      </c>
      <c r="F13" s="33">
        <f>C35*'E Balans VL '!L23/100/3.6*1000000+C35*'E Balans VL '!N23/100/3.6*1000000</f>
        <v>11.037558660647827</v>
      </c>
      <c r="G13" s="34"/>
      <c r="H13" s="33"/>
      <c r="I13" s="33"/>
      <c r="J13" s="40">
        <f>C35*'E Balans VL '!D23/100/3.6*1000000+C35*'E Balans VL '!E23/100/3.6*1000000</f>
        <v>6.9922128211007781E-2</v>
      </c>
      <c r="K13" s="33"/>
      <c r="L13" s="33"/>
      <c r="M13" s="33"/>
      <c r="N13" s="33">
        <f>C35*'E Balans VL '!Y23/100/3.6*1000000</f>
        <v>184.72313933162241</v>
      </c>
      <c r="O13" s="33"/>
      <c r="P13" s="33"/>
      <c r="R13" s="32"/>
    </row>
    <row r="14" spans="1:18">
      <c r="A14" s="6" t="s">
        <v>33</v>
      </c>
      <c r="B14" s="37">
        <f t="shared" si="0"/>
        <v>437.05500000000001</v>
      </c>
      <c r="C14" s="33"/>
      <c r="D14" s="37">
        <f>IF( ISERROR(IND_chemie_gas_kWh/1000),0,IND_chemie_gas_kWh/1000)*0.902</f>
        <v>0</v>
      </c>
      <c r="E14" s="33">
        <f>C36*'E Balans VL '!I24/100/3.6*1000000</f>
        <v>1.0759041855232641</v>
      </c>
      <c r="F14" s="33">
        <f>C36*'E Balans VL '!L24/100/3.6*1000000+C36*'E Balans VL '!N24/100/3.6*1000000</f>
        <v>4.6799644417330706</v>
      </c>
      <c r="G14" s="34"/>
      <c r="H14" s="33"/>
      <c r="I14" s="33"/>
      <c r="J14" s="40">
        <f>C36*'E Balans VL '!D24/100/3.6*1000000+C36*'E Balans VL '!E24/100/3.6*1000000</f>
        <v>0</v>
      </c>
      <c r="K14" s="33"/>
      <c r="L14" s="33"/>
      <c r="M14" s="33"/>
      <c r="N14" s="33">
        <f>C36*'E Balans VL '!Y24/100/3.6*1000000</f>
        <v>9.7605170304147109</v>
      </c>
      <c r="O14" s="33"/>
      <c r="P14" s="33"/>
      <c r="R14" s="32"/>
    </row>
    <row r="15" spans="1:18">
      <c r="A15" s="6" t="s">
        <v>269</v>
      </c>
      <c r="B15" s="37">
        <f t="shared" si="0"/>
        <v>1</v>
      </c>
      <c r="C15" s="33"/>
      <c r="D15" s="37">
        <f>IF( ISERROR(IND_rest_gas_kWh/1000),0,IND_rest_gas_kWh/1000)*0.902</f>
        <v>10478.207476000001</v>
      </c>
      <c r="E15" s="33">
        <f>C37*'E Balans VL '!I15/100/3.6*1000000</f>
        <v>5.5215941263758665E-2</v>
      </c>
      <c r="F15" s="33">
        <f>C37*'E Balans VL '!L15/100/3.6*1000000+C37*'E Balans VL '!N15/100/3.6*1000000</f>
        <v>0.19807006948887113</v>
      </c>
      <c r="G15" s="34"/>
      <c r="H15" s="33"/>
      <c r="I15" s="33"/>
      <c r="J15" s="40">
        <f>C37*'E Balans VL '!D15/100/3.6*1000000+C37*'E Balans VL '!E15/100/3.6*1000000</f>
        <v>3.5799809843722356E-3</v>
      </c>
      <c r="K15" s="33"/>
      <c r="L15" s="33"/>
      <c r="M15" s="33"/>
      <c r="N15" s="33">
        <f>C37*'E Balans VL '!Y15/100/3.6*1000000</f>
        <v>7.0194594321704259E-2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49458.952035999995</v>
      </c>
      <c r="C18" s="21">
        <f>C5+C16</f>
        <v>0</v>
      </c>
      <c r="D18" s="21">
        <f>MAX((D5+D16),0)</f>
        <v>98873.232584477984</v>
      </c>
      <c r="E18" s="21">
        <f>MAX((E5+E16),0)</f>
        <v>736.9176660606081</v>
      </c>
      <c r="F18" s="21">
        <f>MAX((F5+F16),0)</f>
        <v>5117.0215805142116</v>
      </c>
      <c r="G18" s="21"/>
      <c r="H18" s="21"/>
      <c r="I18" s="21"/>
      <c r="J18" s="21">
        <f>MAX((J5+J16),0)</f>
        <v>2.050224367799351</v>
      </c>
      <c r="K18" s="21"/>
      <c r="L18" s="21">
        <f>MAX((L5+L16),0)</f>
        <v>0</v>
      </c>
      <c r="M18" s="21"/>
      <c r="N18" s="21">
        <f>MAX((N5+N16),0)</f>
        <v>3085.5451476172175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0.13968918807634587</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6908.880853015773</v>
      </c>
      <c r="C22" s="23">
        <f ca="1">C18*C20</f>
        <v>0</v>
      </c>
      <c r="D22" s="23">
        <f>D18*D20</f>
        <v>19972.392982064554</v>
      </c>
      <c r="E22" s="23">
        <f>E18*E20</f>
        <v>167.28031019575803</v>
      </c>
      <c r="F22" s="23">
        <f>F18*F20</f>
        <v>1366.2447619972945</v>
      </c>
      <c r="G22" s="23"/>
      <c r="H22" s="23"/>
      <c r="I22" s="23"/>
      <c r="J22" s="23">
        <f>J18*J20</f>
        <v>0.72577942620097025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12015.917242000001</v>
      </c>
      <c r="C30" s="39">
        <f>IF(ISERROR(B30*3.6/1000000/'E Balans VL '!Z18*100),0,B30*3.6/1000000/'E Balans VL '!Z18*100)</f>
        <v>0.68097284093112587</v>
      </c>
      <c r="D30" s="237" t="s">
        <v>744</v>
      </c>
    </row>
    <row r="31" spans="1:18">
      <c r="A31" s="6" t="s">
        <v>32</v>
      </c>
      <c r="B31" s="37">
        <f>IF( ISERROR(IND_ander_ele_kWh/1000),0,IND_ander_ele_kWh/1000)</f>
        <v>1774.682587</v>
      </c>
      <c r="C31" s="39">
        <f>IF(ISERROR(B31*3.6/1000000/'E Balans VL '!Z19*100),0,B31*3.6/1000000/'E Balans VL '!Z19*100)</f>
        <v>8.0492212496642332E-2</v>
      </c>
      <c r="D31" s="237" t="s">
        <v>744</v>
      </c>
    </row>
    <row r="32" spans="1:18">
      <c r="A32" s="171" t="s">
        <v>40</v>
      </c>
      <c r="B32" s="37">
        <f>IF( ISERROR(IND_voed_ele_kWh/1000),0,IND_voed_ele_kWh/1000)</f>
        <v>33575.296206999999</v>
      </c>
      <c r="C32" s="39">
        <f>IF(ISERROR(B32*3.6/1000000/'E Balans VL '!Z20*100),0,B32*3.6/1000000/'E Balans VL '!Z20*100)</f>
        <v>1.0386363306577184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1202.8969999999999</v>
      </c>
      <c r="C34" s="39">
        <f>IF(ISERROR(B34*3.6/1000000/'E Balans VL '!Z22*100),0,B34*3.6/1000000/'E Balans VL '!Z22*100)</f>
        <v>0.21636364034582928</v>
      </c>
      <c r="D34" s="237" t="s">
        <v>744</v>
      </c>
    </row>
    <row r="35" spans="1:5">
      <c r="A35" s="171" t="s">
        <v>38</v>
      </c>
      <c r="B35" s="37">
        <f>IF( ISERROR(IND_papier_ele_kWh/1000),0,IND_papier_ele_kWh/1000)</f>
        <v>452.10399999999998</v>
      </c>
      <c r="C35" s="39">
        <f>IF(ISERROR(B35*3.6/1000000/'E Balans VL '!Z22*100),0,B35*3.6/1000000/'E Balans VL '!Z22*100)</f>
        <v>8.131940411765165E-2</v>
      </c>
      <c r="D35" s="237" t="s">
        <v>744</v>
      </c>
    </row>
    <row r="36" spans="1:5">
      <c r="A36" s="171" t="s">
        <v>33</v>
      </c>
      <c r="B36" s="37">
        <f>IF( ISERROR(IND_chemie_ele_kWh/1000),0,IND_chemie_ele_kWh/1000)</f>
        <v>437.05500000000001</v>
      </c>
      <c r="C36" s="39">
        <f>IF(ISERROR(B36*3.6/1000000/'E Balans VL '!Z24*100),0,B36*3.6/1000000/'E Balans VL '!Z24*100)</f>
        <v>1.3327566038617004E-2</v>
      </c>
      <c r="D36" s="237" t="s">
        <v>744</v>
      </c>
    </row>
    <row r="37" spans="1:5">
      <c r="A37" s="171" t="s">
        <v>269</v>
      </c>
      <c r="B37" s="37">
        <f>IF( ISERROR(IND_rest_ele_kWh/1000),0,IND_rest_ele_kWh/1000)</f>
        <v>1</v>
      </c>
      <c r="C37" s="39">
        <f>IF(ISERROR(B37*3.6/1000000/'E Balans VL '!Z15*100),0,B37*3.6/1000000/'E Balans VL '!Z15*100)</f>
        <v>7.9262281167998197E-6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1066.2767239999998</v>
      </c>
      <c r="C5" s="17">
        <f>'Eigen informatie GS &amp; warmtenet'!B60</f>
        <v>0</v>
      </c>
      <c r="D5" s="30">
        <f>IF(ISERROR(SUM(LB_lb_gas_kWh,LB_rest_gas_kWh)/1000),0,SUM(LB_lb_gas_kWh,LB_rest_gas_kWh)/1000)*0.902</f>
        <v>1737.5611992860001</v>
      </c>
      <c r="E5" s="17">
        <f>B17*'E Balans VL '!I25/3.6*1000000/100</f>
        <v>31.341129703378101</v>
      </c>
      <c r="F5" s="17">
        <f>B17*('E Balans VL '!L25/3.6*1000000+'E Balans VL '!N25/3.6*1000000)/100</f>
        <v>4442.0512136140987</v>
      </c>
      <c r="G5" s="18"/>
      <c r="H5" s="17"/>
      <c r="I5" s="17"/>
      <c r="J5" s="17">
        <f>('E Balans VL '!D25+'E Balans VL '!E25)/3.6*1000000*landbouw!B17/100</f>
        <v>154.48059875283491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1066.2767239999998</v>
      </c>
      <c r="C8" s="21">
        <f>C5+C6</f>
        <v>0</v>
      </c>
      <c r="D8" s="21">
        <f>MAX((D5+D6),0)</f>
        <v>1737.5611992860001</v>
      </c>
      <c r="E8" s="21">
        <f>MAX((E5+E6),0)</f>
        <v>31.341129703378101</v>
      </c>
      <c r="F8" s="21">
        <f>MAX((F5+F6),0)</f>
        <v>4442.0512136140987</v>
      </c>
      <c r="G8" s="21"/>
      <c r="H8" s="21"/>
      <c r="I8" s="21"/>
      <c r="J8" s="21">
        <f>MAX((J5+J6),0)</f>
        <v>154.48059875283491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0.13968918807634587</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148.94732984026589</v>
      </c>
      <c r="C12" s="23">
        <f ca="1">C8*C10</f>
        <v>0</v>
      </c>
      <c r="D12" s="23">
        <f>D8*D10</f>
        <v>350.98736225577204</v>
      </c>
      <c r="E12" s="23">
        <f>E8*E10</f>
        <v>7.114436442666829</v>
      </c>
      <c r="F12" s="23">
        <f>F8*F10</f>
        <v>1186.0276740349643</v>
      </c>
      <c r="G12" s="23"/>
      <c r="H12" s="23"/>
      <c r="I12" s="23"/>
      <c r="J12" s="23">
        <f>J8*J10</f>
        <v>54.686131958503552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0.15130801247679904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194.67764840355744</v>
      </c>
      <c r="C26" s="247">
        <f>B26*'GWP N2O_CH4'!B5</f>
        <v>4088.230616474706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104.18411130718512</v>
      </c>
      <c r="C27" s="247">
        <f>B27*'GWP N2O_CH4'!B5</f>
        <v>2187.8663374508874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2.9400283149203608</v>
      </c>
      <c r="C28" s="247">
        <f>B28*'GWP N2O_CH4'!B4</f>
        <v>911.40877762531181</v>
      </c>
      <c r="D28" s="50"/>
    </row>
    <row r="29" spans="1:4">
      <c r="A29" s="41" t="s">
        <v>276</v>
      </c>
      <c r="B29" s="247">
        <f>B34*'ha_N2O bodem landbouw'!B4</f>
        <v>11.78514358380847</v>
      </c>
      <c r="C29" s="247">
        <f>B29*'GWP N2O_CH4'!B4</f>
        <v>3653.3945109806255</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2.6893291524135309E-3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5.1123359175047538E-4</v>
      </c>
      <c r="C5" s="437" t="s">
        <v>210</v>
      </c>
      <c r="D5" s="422">
        <f>SUM(D6:D11)</f>
        <v>1.3346331311273605E-3</v>
      </c>
      <c r="E5" s="422">
        <f>SUM(E6:E11)</f>
        <v>2.6976474503044344E-3</v>
      </c>
      <c r="F5" s="435" t="s">
        <v>210</v>
      </c>
      <c r="G5" s="422">
        <f>SUM(G6:G11)</f>
        <v>1.1763118125913561</v>
      </c>
      <c r="H5" s="422">
        <f>SUM(H6:H11)</f>
        <v>0.23353715465299249</v>
      </c>
      <c r="I5" s="437" t="s">
        <v>210</v>
      </c>
      <c r="J5" s="437" t="s">
        <v>210</v>
      </c>
      <c r="K5" s="437" t="s">
        <v>210</v>
      </c>
      <c r="L5" s="437" t="s">
        <v>210</v>
      </c>
      <c r="M5" s="422">
        <f>SUM(M6:M11)</f>
        <v>7.5601903165231854E-2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7.0386202281677899E-5</v>
      </c>
      <c r="C6" s="423"/>
      <c r="D6" s="865">
        <f>vkm_GW_PW*SUMIFS(TableVerdeelsleutelVkm[CNG],TableVerdeelsleutelVkm[Voertuigtype],"Lichte voertuigen")*SUMIFS(TableECFTransport[EnergieConsumptieFactor (PJ per km)],TableECFTransport[Index],CONCATENATE($A6,"_CNG_CNG"))</f>
        <v>1.7443419534557728E-4</v>
      </c>
      <c r="E6" s="865">
        <f>vkm_GW_PW*SUMIFS(TableVerdeelsleutelVkm[LPG],TableVerdeelsleutelVkm[Voertuigtype],"Lichte voertuigen")*SUMIFS(TableECFTransport[EnergieConsumptieFactor (PJ per km)],TableECFTransport[Index],CONCATENATE($A6,"_LPG_LPG"))</f>
        <v>2.9945995477980597E-4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9.175887888945336E-2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2.9637098474149661E-2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6.2335950365846778E-3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6.6916661732184159E-3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1.1193940309851343E-7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3.909643168525713E-4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3.9864507094667895E-5</v>
      </c>
      <c r="C8" s="423"/>
      <c r="D8" s="425">
        <f>vkm_NGW_PW*SUMIFS(TableVerdeelsleutelVkm[CNG],TableVerdeelsleutelVkm[Voertuigtype],"Lichte voertuigen")*SUMIFS(TableECFTransport[EnergieConsumptieFactor (PJ per km)],TableECFTransport[Index],CONCATENATE($A8,"_CNG_CNG"))</f>
        <v>1.6698326456864368E-4</v>
      </c>
      <c r="E8" s="425">
        <f>vkm_NGW_PW*SUMIFS(TableVerdeelsleutelVkm[LPG],TableVerdeelsleutelVkm[Voertuigtype],"Lichte voertuigen")*SUMIFS(TableECFTransport[EnergieConsumptieFactor (PJ per km)],TableECFTransport[Index],CONCATENATE($A8,"_LPG_LPG"))</f>
        <v>2.7223680946991978E-4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7.8465109753472581E-2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2.7747143334111858E-2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5.4012615911958103E-3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1.0581000709808421E-3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2.1804206601559448E-8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6.1820205802609344E-5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4.0098288237412958E-4</v>
      </c>
      <c r="C10" s="423"/>
      <c r="D10" s="425">
        <f>vkm_SW_PW*SUMIFS(TableVerdeelsleutelVkm[CNG],TableVerdeelsleutelVkm[Voertuigtype],"Lichte voertuigen")*SUMIFS(TableECFTransport[EnergieConsumptieFactor (PJ per km)],TableECFTransport[Index],CONCATENATE($A10,"_CNG_CNG"))</f>
        <v>9.9321567121313952E-4</v>
      </c>
      <c r="E10" s="425">
        <f>vkm_SW_PW*SUMIFS(TableVerdeelsleutelVkm[LPG],TableVerdeelsleutelVkm[Voertuigtype],"Lichte voertuigen")*SUMIFS(TableECFTransport[EnergieConsumptieFactor (PJ per km)],TableECFTransport[Index],CONCATENATE($A10,"_LPG_LPG"))</f>
        <v>2.1259506860547089E-3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0.58278395819651441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0.1761453740023875</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3.9235269339854412E-2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0.41555409950771655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7.4050987337851403E-6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2.4278992674941782E-2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142.00933104179873</v>
      </c>
      <c r="C14" s="21"/>
      <c r="D14" s="21">
        <f t="shared" ref="D14:M14" si="0">((D5)*10^9/3600)+D12</f>
        <v>370.73142531315568</v>
      </c>
      <c r="E14" s="21">
        <f t="shared" si="0"/>
        <v>749.34651397345408</v>
      </c>
      <c r="F14" s="21"/>
      <c r="G14" s="21">
        <f t="shared" si="0"/>
        <v>326753.28127537668</v>
      </c>
      <c r="H14" s="21">
        <f t="shared" si="0"/>
        <v>64871.431848053471</v>
      </c>
      <c r="I14" s="21"/>
      <c r="J14" s="21"/>
      <c r="K14" s="21"/>
      <c r="L14" s="21"/>
      <c r="M14" s="21">
        <f t="shared" si="0"/>
        <v>21000.528657008846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0.13968918807634587</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19.837168152493884</v>
      </c>
      <c r="C18" s="23"/>
      <c r="D18" s="23">
        <f t="shared" ref="D18:M18" si="1">D14*D16</f>
        <v>74.887747913257456</v>
      </c>
      <c r="E18" s="23">
        <f t="shared" si="1"/>
        <v>170.10165867197409</v>
      </c>
      <c r="F18" s="23"/>
      <c r="G18" s="23">
        <f t="shared" si="1"/>
        <v>87243.12610052558</v>
      </c>
      <c r="H18" s="23">
        <f t="shared" si="1"/>
        <v>16152.986530165314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7.0196882291687105E-3</v>
      </c>
      <c r="H50" s="319">
        <f t="shared" si="2"/>
        <v>0</v>
      </c>
      <c r="I50" s="319">
        <f t="shared" si="2"/>
        <v>0</v>
      </c>
      <c r="J50" s="319">
        <f t="shared" si="2"/>
        <v>0</v>
      </c>
      <c r="K50" s="319">
        <f t="shared" si="2"/>
        <v>0</v>
      </c>
      <c r="L50" s="319">
        <f t="shared" si="2"/>
        <v>0</v>
      </c>
      <c r="M50" s="319">
        <f t="shared" si="2"/>
        <v>3.9865718596879978E-4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7.0196882291687105E-3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3.9865718596879978E-4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1949.9133969913084</v>
      </c>
      <c r="H54" s="21">
        <f t="shared" si="3"/>
        <v>0</v>
      </c>
      <c r="I54" s="21">
        <f t="shared" si="3"/>
        <v>0</v>
      </c>
      <c r="J54" s="21">
        <f t="shared" si="3"/>
        <v>0</v>
      </c>
      <c r="K54" s="21">
        <f t="shared" si="3"/>
        <v>0</v>
      </c>
      <c r="L54" s="21">
        <f t="shared" si="3"/>
        <v>0</v>
      </c>
      <c r="M54" s="21">
        <f t="shared" si="3"/>
        <v>110.73810721355551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0.13968918807634587</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520.62687699667936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24840.863554</v>
      </c>
      <c r="D10" s="979">
        <f ca="1">tertiair!C16</f>
        <v>4100.6250000000009</v>
      </c>
      <c r="E10" s="979">
        <f ca="1">tertiair!D16</f>
        <v>19590.110434862003</v>
      </c>
      <c r="F10" s="979">
        <f>tertiair!E16</f>
        <v>219.4980343673738</v>
      </c>
      <c r="G10" s="979">
        <f ca="1">tertiair!F16</f>
        <v>1097.3765554636884</v>
      </c>
      <c r="H10" s="979">
        <f>tertiair!G16</f>
        <v>0</v>
      </c>
      <c r="I10" s="979">
        <f>tertiair!H16</f>
        <v>0</v>
      </c>
      <c r="J10" s="979">
        <f>tertiair!I16</f>
        <v>0</v>
      </c>
      <c r="K10" s="979">
        <f>tertiair!J16</f>
        <v>3.3763759703042143E-2</v>
      </c>
      <c r="L10" s="979">
        <f>tertiair!K16</f>
        <v>0</v>
      </c>
      <c r="M10" s="979">
        <f ca="1">tertiair!L16</f>
        <v>0</v>
      </c>
      <c r="N10" s="979">
        <f>tertiair!M16</f>
        <v>0</v>
      </c>
      <c r="O10" s="979">
        <f ca="1">tertiair!N16</f>
        <v>1345.6060141241669</v>
      </c>
      <c r="P10" s="979">
        <f>tertiair!O16</f>
        <v>1.5633333333333335</v>
      </c>
      <c r="Q10" s="980">
        <f>tertiair!P16</f>
        <v>38.133333333333333</v>
      </c>
      <c r="R10" s="674">
        <f ca="1">SUM(C10:Q10)</f>
        <v>51233.810023243605</v>
      </c>
      <c r="S10" s="67"/>
    </row>
    <row r="11" spans="1:19" s="447" customFormat="1">
      <c r="A11" s="783" t="s">
        <v>224</v>
      </c>
      <c r="B11" s="788"/>
      <c r="C11" s="979">
        <f>huishoudens!B8</f>
        <v>26091.610041617932</v>
      </c>
      <c r="D11" s="979">
        <f>huishoudens!C8</f>
        <v>0</v>
      </c>
      <c r="E11" s="979">
        <f>huishoudens!D8</f>
        <v>29946.942598099999</v>
      </c>
      <c r="F11" s="979">
        <f>huishoudens!E8</f>
        <v>6570.1502566659083</v>
      </c>
      <c r="G11" s="979">
        <f>huishoudens!F8</f>
        <v>50473.808453186772</v>
      </c>
      <c r="H11" s="979">
        <f>huishoudens!G8</f>
        <v>0</v>
      </c>
      <c r="I11" s="979">
        <f>huishoudens!H8</f>
        <v>0</v>
      </c>
      <c r="J11" s="979">
        <f>huishoudens!I8</f>
        <v>0</v>
      </c>
      <c r="K11" s="979">
        <f>huishoudens!J8</f>
        <v>0</v>
      </c>
      <c r="L11" s="979">
        <f>huishoudens!K8</f>
        <v>0</v>
      </c>
      <c r="M11" s="979">
        <f>huishoudens!L8</f>
        <v>0</v>
      </c>
      <c r="N11" s="979">
        <f>huishoudens!M8</f>
        <v>0</v>
      </c>
      <c r="O11" s="979">
        <f>huishoudens!N8</f>
        <v>19808.863127444674</v>
      </c>
      <c r="P11" s="979">
        <f>huishoudens!O8</f>
        <v>414.28333333333336</v>
      </c>
      <c r="Q11" s="980">
        <f>huishoudens!P8</f>
        <v>1544.4</v>
      </c>
      <c r="R11" s="674">
        <f>SUM(C11:Q11)</f>
        <v>134850.0578103486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49458.952035999995</v>
      </c>
      <c r="D13" s="979">
        <f>industrie!C18</f>
        <v>0</v>
      </c>
      <c r="E13" s="979">
        <f>industrie!D18</f>
        <v>98873.232584477984</v>
      </c>
      <c r="F13" s="979">
        <f>industrie!E18</f>
        <v>736.9176660606081</v>
      </c>
      <c r="G13" s="979">
        <f>industrie!F18</f>
        <v>5117.0215805142116</v>
      </c>
      <c r="H13" s="979">
        <f>industrie!G18</f>
        <v>0</v>
      </c>
      <c r="I13" s="979">
        <f>industrie!H18</f>
        <v>0</v>
      </c>
      <c r="J13" s="979">
        <f>industrie!I18</f>
        <v>0</v>
      </c>
      <c r="K13" s="979">
        <f>industrie!J18</f>
        <v>2.050224367799351</v>
      </c>
      <c r="L13" s="979">
        <f>industrie!K18</f>
        <v>0</v>
      </c>
      <c r="M13" s="979">
        <f>industrie!L18</f>
        <v>0</v>
      </c>
      <c r="N13" s="979">
        <f>industrie!M18</f>
        <v>0</v>
      </c>
      <c r="O13" s="979">
        <f>industrie!N18</f>
        <v>3085.5451476172175</v>
      </c>
      <c r="P13" s="979">
        <f>industrie!O18</f>
        <v>0</v>
      </c>
      <c r="Q13" s="980">
        <f>industrie!P18</f>
        <v>0</v>
      </c>
      <c r="R13" s="674">
        <f>SUM(C13:Q13)</f>
        <v>157273.71923903783</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100391.42563161792</v>
      </c>
      <c r="D16" s="706">
        <f t="shared" ref="D16:R16" ca="1" si="0">SUM(D9:D15)</f>
        <v>4100.6250000000009</v>
      </c>
      <c r="E16" s="706">
        <f t="shared" ca="1" si="0"/>
        <v>148410.28561743998</v>
      </c>
      <c r="F16" s="706">
        <f t="shared" si="0"/>
        <v>7526.5659570938906</v>
      </c>
      <c r="G16" s="706">
        <f t="shared" ca="1" si="0"/>
        <v>56688.206589164671</v>
      </c>
      <c r="H16" s="706">
        <f t="shared" si="0"/>
        <v>0</v>
      </c>
      <c r="I16" s="706">
        <f t="shared" si="0"/>
        <v>0</v>
      </c>
      <c r="J16" s="706">
        <f t="shared" si="0"/>
        <v>0</v>
      </c>
      <c r="K16" s="706">
        <f t="shared" si="0"/>
        <v>2.0839881275023933</v>
      </c>
      <c r="L16" s="706">
        <f t="shared" si="0"/>
        <v>0</v>
      </c>
      <c r="M16" s="706">
        <f t="shared" ca="1" si="0"/>
        <v>0</v>
      </c>
      <c r="N16" s="706">
        <f t="shared" si="0"/>
        <v>0</v>
      </c>
      <c r="O16" s="706">
        <f t="shared" ca="1" si="0"/>
        <v>24240.01428918606</v>
      </c>
      <c r="P16" s="706">
        <f t="shared" si="0"/>
        <v>415.84666666666669</v>
      </c>
      <c r="Q16" s="706">
        <f t="shared" si="0"/>
        <v>1582.5333333333335</v>
      </c>
      <c r="R16" s="706">
        <f t="shared" ca="1" si="0"/>
        <v>343357.58707263006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1949.9133969913084</v>
      </c>
      <c r="I19" s="979">
        <f>transport!H54</f>
        <v>0</v>
      </c>
      <c r="J19" s="979">
        <f>transport!I54</f>
        <v>0</v>
      </c>
      <c r="K19" s="979">
        <f>transport!J54</f>
        <v>0</v>
      </c>
      <c r="L19" s="979">
        <f>transport!K54</f>
        <v>0</v>
      </c>
      <c r="M19" s="979">
        <f>transport!L54</f>
        <v>0</v>
      </c>
      <c r="N19" s="979">
        <f>transport!M54</f>
        <v>110.73810721355551</v>
      </c>
      <c r="O19" s="979">
        <f>transport!N54</f>
        <v>0</v>
      </c>
      <c r="P19" s="979">
        <f>transport!O54</f>
        <v>0</v>
      </c>
      <c r="Q19" s="980">
        <f>transport!P54</f>
        <v>0</v>
      </c>
      <c r="R19" s="674">
        <f>SUM(C19:Q19)</f>
        <v>2060.6515042048641</v>
      </c>
      <c r="S19" s="67"/>
    </row>
    <row r="20" spans="1:19" s="447" customFormat="1">
      <c r="A20" s="783" t="s">
        <v>306</v>
      </c>
      <c r="B20" s="788"/>
      <c r="C20" s="979">
        <f>transport!B14</f>
        <v>142.00933104179873</v>
      </c>
      <c r="D20" s="979">
        <f>transport!C14</f>
        <v>0</v>
      </c>
      <c r="E20" s="979">
        <f>transport!D14</f>
        <v>370.73142531315568</v>
      </c>
      <c r="F20" s="979">
        <f>transport!E14</f>
        <v>749.34651397345408</v>
      </c>
      <c r="G20" s="979">
        <f>transport!F14</f>
        <v>0</v>
      </c>
      <c r="H20" s="979">
        <f>transport!G14</f>
        <v>326753.28127537668</v>
      </c>
      <c r="I20" s="979">
        <f>transport!H14</f>
        <v>64871.431848053471</v>
      </c>
      <c r="J20" s="979">
        <f>transport!I14</f>
        <v>0</v>
      </c>
      <c r="K20" s="979">
        <f>transport!J14</f>
        <v>0</v>
      </c>
      <c r="L20" s="979">
        <f>transport!K14</f>
        <v>0</v>
      </c>
      <c r="M20" s="979">
        <f>transport!L14</f>
        <v>0</v>
      </c>
      <c r="N20" s="979">
        <f>transport!M14</f>
        <v>21000.528657008846</v>
      </c>
      <c r="O20" s="979">
        <f>transport!N14</f>
        <v>0</v>
      </c>
      <c r="P20" s="979">
        <f>transport!O14</f>
        <v>0</v>
      </c>
      <c r="Q20" s="980">
        <f>transport!P14</f>
        <v>0</v>
      </c>
      <c r="R20" s="674">
        <f>SUM(C20:Q20)</f>
        <v>413887.32905076741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142.00933104179873</v>
      </c>
      <c r="D22" s="786">
        <f t="shared" ref="D22:R22" si="1">SUM(D18:D21)</f>
        <v>0</v>
      </c>
      <c r="E22" s="786">
        <f t="shared" si="1"/>
        <v>370.73142531315568</v>
      </c>
      <c r="F22" s="786">
        <f t="shared" si="1"/>
        <v>749.34651397345408</v>
      </c>
      <c r="G22" s="786">
        <f t="shared" si="1"/>
        <v>0</v>
      </c>
      <c r="H22" s="786">
        <f t="shared" si="1"/>
        <v>328703.194672368</v>
      </c>
      <c r="I22" s="786">
        <f t="shared" si="1"/>
        <v>64871.431848053471</v>
      </c>
      <c r="J22" s="786">
        <f t="shared" si="1"/>
        <v>0</v>
      </c>
      <c r="K22" s="786">
        <f t="shared" si="1"/>
        <v>0</v>
      </c>
      <c r="L22" s="786">
        <f t="shared" si="1"/>
        <v>0</v>
      </c>
      <c r="M22" s="786">
        <f t="shared" si="1"/>
        <v>0</v>
      </c>
      <c r="N22" s="786">
        <f t="shared" si="1"/>
        <v>21111.266764222401</v>
      </c>
      <c r="O22" s="786">
        <f t="shared" si="1"/>
        <v>0</v>
      </c>
      <c r="P22" s="786">
        <f t="shared" si="1"/>
        <v>0</v>
      </c>
      <c r="Q22" s="786">
        <f t="shared" si="1"/>
        <v>0</v>
      </c>
      <c r="R22" s="786">
        <f t="shared" si="1"/>
        <v>415947.98055497225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1066.2767239999998</v>
      </c>
      <c r="D24" s="979">
        <f>+landbouw!C8</f>
        <v>0</v>
      </c>
      <c r="E24" s="979">
        <f>+landbouw!D8</f>
        <v>1737.5611992860001</v>
      </c>
      <c r="F24" s="979">
        <f>+landbouw!E8</f>
        <v>31.341129703378101</v>
      </c>
      <c r="G24" s="979">
        <f>+landbouw!F8</f>
        <v>4442.0512136140987</v>
      </c>
      <c r="H24" s="979">
        <f>+landbouw!G8</f>
        <v>0</v>
      </c>
      <c r="I24" s="979">
        <f>+landbouw!H8</f>
        <v>0</v>
      </c>
      <c r="J24" s="979">
        <f>+landbouw!I8</f>
        <v>0</v>
      </c>
      <c r="K24" s="979">
        <f>+landbouw!J8</f>
        <v>154.48059875283491</v>
      </c>
      <c r="L24" s="979">
        <f>+landbouw!K8</f>
        <v>0</v>
      </c>
      <c r="M24" s="979">
        <f>+landbouw!L8</f>
        <v>0</v>
      </c>
      <c r="N24" s="979">
        <f>+landbouw!M8</f>
        <v>0</v>
      </c>
      <c r="O24" s="979">
        <f>+landbouw!N8</f>
        <v>0</v>
      </c>
      <c r="P24" s="979">
        <f>+landbouw!O8</f>
        <v>0</v>
      </c>
      <c r="Q24" s="980">
        <f>+landbouw!P8</f>
        <v>0</v>
      </c>
      <c r="R24" s="674">
        <f>SUM(C24:Q24)</f>
        <v>7431.7108653563118</v>
      </c>
      <c r="S24" s="67"/>
    </row>
    <row r="25" spans="1:19" s="447" customFormat="1" ht="15" thickBot="1">
      <c r="A25" s="805" t="s">
        <v>823</v>
      </c>
      <c r="B25" s="982"/>
      <c r="C25" s="983">
        <f>IF(Onbekend_ele_kWh="---",0,Onbekend_ele_kWh)/1000+IF(REST_rest_ele_kWh="---",0,REST_rest_ele_kWh)/1000</f>
        <v>755.54365000000007</v>
      </c>
      <c r="D25" s="983"/>
      <c r="E25" s="983">
        <f>IF(onbekend_gas_kWh="---",0,onbekend_gas_kWh)/1000+IF(REST_rest_gas_kWh="---",0,REST_rest_gas_kWh)/1000</f>
        <v>1961.8309999999999</v>
      </c>
      <c r="F25" s="983"/>
      <c r="G25" s="983"/>
      <c r="H25" s="983"/>
      <c r="I25" s="983"/>
      <c r="J25" s="983"/>
      <c r="K25" s="983"/>
      <c r="L25" s="983"/>
      <c r="M25" s="983"/>
      <c r="N25" s="983"/>
      <c r="O25" s="983"/>
      <c r="P25" s="983"/>
      <c r="Q25" s="984"/>
      <c r="R25" s="674">
        <f>SUM(C25:Q25)</f>
        <v>2717.3746499999997</v>
      </c>
      <c r="S25" s="67"/>
    </row>
    <row r="26" spans="1:19" s="447" customFormat="1" ht="15.75" thickBot="1">
      <c r="A26" s="679" t="s">
        <v>824</v>
      </c>
      <c r="B26" s="791"/>
      <c r="C26" s="786">
        <f>SUM(C24:C25)</f>
        <v>1821.8203739999999</v>
      </c>
      <c r="D26" s="786">
        <f t="shared" ref="D26:R26" si="2">SUM(D24:D25)</f>
        <v>0</v>
      </c>
      <c r="E26" s="786">
        <f t="shared" si="2"/>
        <v>3699.3921992860001</v>
      </c>
      <c r="F26" s="786">
        <f t="shared" si="2"/>
        <v>31.341129703378101</v>
      </c>
      <c r="G26" s="786">
        <f t="shared" si="2"/>
        <v>4442.0512136140987</v>
      </c>
      <c r="H26" s="786">
        <f t="shared" si="2"/>
        <v>0</v>
      </c>
      <c r="I26" s="786">
        <f t="shared" si="2"/>
        <v>0</v>
      </c>
      <c r="J26" s="786">
        <f t="shared" si="2"/>
        <v>0</v>
      </c>
      <c r="K26" s="786">
        <f t="shared" si="2"/>
        <v>154.48059875283491</v>
      </c>
      <c r="L26" s="786">
        <f t="shared" si="2"/>
        <v>0</v>
      </c>
      <c r="M26" s="786">
        <f t="shared" si="2"/>
        <v>0</v>
      </c>
      <c r="N26" s="786">
        <f t="shared" si="2"/>
        <v>0</v>
      </c>
      <c r="O26" s="786">
        <f t="shared" si="2"/>
        <v>0</v>
      </c>
      <c r="P26" s="786">
        <f t="shared" si="2"/>
        <v>0</v>
      </c>
      <c r="Q26" s="786">
        <f t="shared" si="2"/>
        <v>0</v>
      </c>
      <c r="R26" s="786">
        <f t="shared" si="2"/>
        <v>10149.085515356312</v>
      </c>
      <c r="S26" s="67"/>
    </row>
    <row r="27" spans="1:19" s="447" customFormat="1" ht="17.25" thickTop="1" thickBot="1">
      <c r="A27" s="680" t="s">
        <v>115</v>
      </c>
      <c r="B27" s="779"/>
      <c r="C27" s="681">
        <f ca="1">C22+C16+C26</f>
        <v>102355.25533665973</v>
      </c>
      <c r="D27" s="681">
        <f t="shared" ref="D27:R27" ca="1" si="3">D22+D16+D26</f>
        <v>4100.6250000000009</v>
      </c>
      <c r="E27" s="681">
        <f t="shared" ca="1" si="3"/>
        <v>152480.40924203914</v>
      </c>
      <c r="F27" s="681">
        <f t="shared" si="3"/>
        <v>8307.2536007707222</v>
      </c>
      <c r="G27" s="681">
        <f t="shared" ca="1" si="3"/>
        <v>61130.257802778768</v>
      </c>
      <c r="H27" s="681">
        <f t="shared" si="3"/>
        <v>328703.194672368</v>
      </c>
      <c r="I27" s="681">
        <f t="shared" si="3"/>
        <v>64871.431848053471</v>
      </c>
      <c r="J27" s="681">
        <f t="shared" si="3"/>
        <v>0</v>
      </c>
      <c r="K27" s="681">
        <f t="shared" si="3"/>
        <v>156.56458688033729</v>
      </c>
      <c r="L27" s="681">
        <f t="shared" si="3"/>
        <v>0</v>
      </c>
      <c r="M27" s="681">
        <f t="shared" ca="1" si="3"/>
        <v>0</v>
      </c>
      <c r="N27" s="681">
        <f t="shared" si="3"/>
        <v>21111.266764222401</v>
      </c>
      <c r="O27" s="681">
        <f t="shared" ca="1" si="3"/>
        <v>24240.01428918606</v>
      </c>
      <c r="P27" s="681">
        <f t="shared" si="3"/>
        <v>415.84666666666669</v>
      </c>
      <c r="Q27" s="681">
        <f t="shared" si="3"/>
        <v>1582.5333333333335</v>
      </c>
      <c r="R27" s="681">
        <f t="shared" ca="1" si="3"/>
        <v>769454.65314295853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3470.0000609735512</v>
      </c>
      <c r="D40" s="979">
        <f ca="1">tertiair!C20</f>
        <v>322.01966911764708</v>
      </c>
      <c r="E40" s="979">
        <f ca="1">tertiair!D20</f>
        <v>3957.2023078421248</v>
      </c>
      <c r="F40" s="979">
        <f>tertiair!E20</f>
        <v>49.826053801393854</v>
      </c>
      <c r="G40" s="979">
        <f ca="1">tertiair!F20</f>
        <v>292.9995403088048</v>
      </c>
      <c r="H40" s="979">
        <f>tertiair!G20</f>
        <v>0</v>
      </c>
      <c r="I40" s="979">
        <f>tertiair!H20</f>
        <v>0</v>
      </c>
      <c r="J40" s="979">
        <f>tertiair!I20</f>
        <v>0</v>
      </c>
      <c r="K40" s="979">
        <f>tertiair!J20</f>
        <v>1.1952370934876918E-2</v>
      </c>
      <c r="L40" s="979">
        <f>tertiair!K20</f>
        <v>0</v>
      </c>
      <c r="M40" s="979">
        <f ca="1">tertiair!L20</f>
        <v>0</v>
      </c>
      <c r="N40" s="979">
        <f>tertiair!M20</f>
        <v>0</v>
      </c>
      <c r="O40" s="979">
        <f ca="1">tertiair!N20</f>
        <v>0</v>
      </c>
      <c r="P40" s="979">
        <f>tertiair!O20</f>
        <v>0</v>
      </c>
      <c r="Q40" s="748">
        <f>tertiair!P20</f>
        <v>0</v>
      </c>
      <c r="R40" s="824">
        <f t="shared" ca="1" si="4"/>
        <v>8092.0595844144564</v>
      </c>
    </row>
    <row r="41" spans="1:18">
      <c r="A41" s="796" t="s">
        <v>224</v>
      </c>
      <c r="B41" s="803"/>
      <c r="C41" s="979">
        <f ca="1">huishoudens!B12</f>
        <v>3644.7158223182419</v>
      </c>
      <c r="D41" s="979">
        <f ca="1">huishoudens!C12</f>
        <v>0</v>
      </c>
      <c r="E41" s="979">
        <f>huishoudens!D12</f>
        <v>6049.2824048162001</v>
      </c>
      <c r="F41" s="979">
        <f>huishoudens!E12</f>
        <v>1491.4241082631613</v>
      </c>
      <c r="G41" s="979">
        <f>huishoudens!F12</f>
        <v>13476.506857000868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24661.929192398471</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6908.880853015773</v>
      </c>
      <c r="D43" s="979">
        <f ca="1">industrie!C22</f>
        <v>0</v>
      </c>
      <c r="E43" s="979">
        <f>industrie!D22</f>
        <v>19972.392982064554</v>
      </c>
      <c r="F43" s="979">
        <f>industrie!E22</f>
        <v>167.28031019575803</v>
      </c>
      <c r="G43" s="979">
        <f>industrie!F22</f>
        <v>1366.2447619972945</v>
      </c>
      <c r="H43" s="979">
        <f>industrie!G22</f>
        <v>0</v>
      </c>
      <c r="I43" s="979">
        <f>industrie!H22</f>
        <v>0</v>
      </c>
      <c r="J43" s="979">
        <f>industrie!I22</f>
        <v>0</v>
      </c>
      <c r="K43" s="979">
        <f>industrie!J22</f>
        <v>0.72577942620097025</v>
      </c>
      <c r="L43" s="979">
        <f>industrie!K22</f>
        <v>0</v>
      </c>
      <c r="M43" s="979">
        <f>industrie!L22</f>
        <v>0</v>
      </c>
      <c r="N43" s="979">
        <f>industrie!M22</f>
        <v>0</v>
      </c>
      <c r="O43" s="979">
        <f>industrie!N22</f>
        <v>0</v>
      </c>
      <c r="P43" s="979">
        <f>industrie!O22</f>
        <v>0</v>
      </c>
      <c r="Q43" s="748">
        <f>industrie!P22</f>
        <v>0</v>
      </c>
      <c r="R43" s="823">
        <f t="shared" ca="1" si="4"/>
        <v>28415.52468669958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14023.596736307565</v>
      </c>
      <c r="D46" s="706">
        <f t="shared" ref="D46:Q46" ca="1" si="5">SUM(D39:D45)</f>
        <v>322.01966911764708</v>
      </c>
      <c r="E46" s="706">
        <f t="shared" ca="1" si="5"/>
        <v>29978.877694722876</v>
      </c>
      <c r="F46" s="706">
        <f t="shared" si="5"/>
        <v>1708.5304722603132</v>
      </c>
      <c r="G46" s="706">
        <f t="shared" ca="1" si="5"/>
        <v>15135.751159306968</v>
      </c>
      <c r="H46" s="706">
        <f t="shared" si="5"/>
        <v>0</v>
      </c>
      <c r="I46" s="706">
        <f t="shared" si="5"/>
        <v>0</v>
      </c>
      <c r="J46" s="706">
        <f t="shared" si="5"/>
        <v>0</v>
      </c>
      <c r="K46" s="706">
        <f t="shared" si="5"/>
        <v>0.73773179713584713</v>
      </c>
      <c r="L46" s="706">
        <f t="shared" si="5"/>
        <v>0</v>
      </c>
      <c r="M46" s="706">
        <f t="shared" ca="1" si="5"/>
        <v>0</v>
      </c>
      <c r="N46" s="706">
        <f t="shared" si="5"/>
        <v>0</v>
      </c>
      <c r="O46" s="706">
        <f t="shared" ca="1" si="5"/>
        <v>0</v>
      </c>
      <c r="P46" s="706">
        <f t="shared" si="5"/>
        <v>0</v>
      </c>
      <c r="Q46" s="706">
        <f t="shared" si="5"/>
        <v>0</v>
      </c>
      <c r="R46" s="706">
        <f ca="1">SUM(R39:R45)</f>
        <v>61169.513463512507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520.62687699667936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520.62687699667936</v>
      </c>
    </row>
    <row r="50" spans="1:18">
      <c r="A50" s="799" t="s">
        <v>306</v>
      </c>
      <c r="B50" s="809"/>
      <c r="C50" s="677">
        <f ca="1">transport!B18</f>
        <v>19.837168152493884</v>
      </c>
      <c r="D50" s="677">
        <f>transport!C18</f>
        <v>0</v>
      </c>
      <c r="E50" s="677">
        <f>transport!D18</f>
        <v>74.887747913257456</v>
      </c>
      <c r="F50" s="677">
        <f>transport!E18</f>
        <v>170.10165867197409</v>
      </c>
      <c r="G50" s="677">
        <f>transport!F18</f>
        <v>0</v>
      </c>
      <c r="H50" s="677">
        <f>transport!G18</f>
        <v>87243.12610052558</v>
      </c>
      <c r="I50" s="677">
        <f>transport!H18</f>
        <v>16152.986530165314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103660.93920542863</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19.837168152493884</v>
      </c>
      <c r="D52" s="706">
        <f t="shared" ref="D52:Q52" ca="1" si="6">SUM(D48:D51)</f>
        <v>0</v>
      </c>
      <c r="E52" s="706">
        <f t="shared" si="6"/>
        <v>74.887747913257456</v>
      </c>
      <c r="F52" s="706">
        <f t="shared" si="6"/>
        <v>170.10165867197409</v>
      </c>
      <c r="G52" s="706">
        <f t="shared" si="6"/>
        <v>0</v>
      </c>
      <c r="H52" s="706">
        <f t="shared" si="6"/>
        <v>87763.752977522265</v>
      </c>
      <c r="I52" s="706">
        <f t="shared" si="6"/>
        <v>16152.986530165314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104181.56608242531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148.94732984026589</v>
      </c>
      <c r="D54" s="677">
        <f ca="1">+landbouw!C12</f>
        <v>0</v>
      </c>
      <c r="E54" s="677">
        <f>+landbouw!D12</f>
        <v>350.98736225577204</v>
      </c>
      <c r="F54" s="677">
        <f>+landbouw!E12</f>
        <v>7.114436442666829</v>
      </c>
      <c r="G54" s="677">
        <f>+landbouw!F12</f>
        <v>1186.0276740349643</v>
      </c>
      <c r="H54" s="677">
        <f>+landbouw!G12</f>
        <v>0</v>
      </c>
      <c r="I54" s="677">
        <f>+landbouw!H12</f>
        <v>0</v>
      </c>
      <c r="J54" s="677">
        <f>+landbouw!I12</f>
        <v>0</v>
      </c>
      <c r="K54" s="677">
        <f>+landbouw!J12</f>
        <v>54.686131958503552</v>
      </c>
      <c r="L54" s="677">
        <f>+landbouw!K12</f>
        <v>0</v>
      </c>
      <c r="M54" s="677">
        <f>+landbouw!L12</f>
        <v>0</v>
      </c>
      <c r="N54" s="677">
        <f>+landbouw!M12</f>
        <v>0</v>
      </c>
      <c r="O54" s="677">
        <f>+landbouw!N12</f>
        <v>0</v>
      </c>
      <c r="P54" s="677">
        <f>+landbouw!O12</f>
        <v>0</v>
      </c>
      <c r="Q54" s="678">
        <f>+landbouw!P12</f>
        <v>0</v>
      </c>
      <c r="R54" s="705">
        <f ca="1">SUM(C54:Q54)</f>
        <v>1747.7629345321725</v>
      </c>
    </row>
    <row r="55" spans="1:18" ht="15" thickBot="1">
      <c r="A55" s="799" t="s">
        <v>823</v>
      </c>
      <c r="B55" s="809"/>
      <c r="C55" s="677">
        <f ca="1">C25*'EF ele_warmte'!B12</f>
        <v>105.54127902473884</v>
      </c>
      <c r="D55" s="677"/>
      <c r="E55" s="677">
        <f>E25*EF_CO2_aardgas</f>
        <v>396.28986200000003</v>
      </c>
      <c r="F55" s="677"/>
      <c r="G55" s="677"/>
      <c r="H55" s="677"/>
      <c r="I55" s="677"/>
      <c r="J55" s="677"/>
      <c r="K55" s="677"/>
      <c r="L55" s="677"/>
      <c r="M55" s="677"/>
      <c r="N55" s="677"/>
      <c r="O55" s="677"/>
      <c r="P55" s="677"/>
      <c r="Q55" s="678"/>
      <c r="R55" s="705">
        <f ca="1">SUM(C55:Q55)</f>
        <v>501.83114102473888</v>
      </c>
    </row>
    <row r="56" spans="1:18" ht="15.75" thickBot="1">
      <c r="A56" s="797" t="s">
        <v>824</v>
      </c>
      <c r="B56" s="810"/>
      <c r="C56" s="706">
        <f ca="1">SUM(C54:C55)</f>
        <v>254.48860886500472</v>
      </c>
      <c r="D56" s="706">
        <f t="shared" ref="D56:Q56" ca="1" si="7">SUM(D54:D55)</f>
        <v>0</v>
      </c>
      <c r="E56" s="706">
        <f t="shared" si="7"/>
        <v>747.27722425577213</v>
      </c>
      <c r="F56" s="706">
        <f t="shared" si="7"/>
        <v>7.114436442666829</v>
      </c>
      <c r="G56" s="706">
        <f t="shared" si="7"/>
        <v>1186.0276740349643</v>
      </c>
      <c r="H56" s="706">
        <f t="shared" si="7"/>
        <v>0</v>
      </c>
      <c r="I56" s="706">
        <f t="shared" si="7"/>
        <v>0</v>
      </c>
      <c r="J56" s="706">
        <f t="shared" si="7"/>
        <v>0</v>
      </c>
      <c r="K56" s="706">
        <f t="shared" si="7"/>
        <v>54.686131958503552</v>
      </c>
      <c r="L56" s="706">
        <f t="shared" si="7"/>
        <v>0</v>
      </c>
      <c r="M56" s="706">
        <f t="shared" si="7"/>
        <v>0</v>
      </c>
      <c r="N56" s="706">
        <f t="shared" si="7"/>
        <v>0</v>
      </c>
      <c r="O56" s="706">
        <f t="shared" si="7"/>
        <v>0</v>
      </c>
      <c r="P56" s="706">
        <f t="shared" si="7"/>
        <v>0</v>
      </c>
      <c r="Q56" s="707">
        <f t="shared" si="7"/>
        <v>0</v>
      </c>
      <c r="R56" s="708">
        <f ca="1">SUM(R54:R55)</f>
        <v>2249.5940755569113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14297.922513325064</v>
      </c>
      <c r="D61" s="714">
        <f t="shared" ref="D61:Q61" ca="1" si="8">D46+D52+D56</f>
        <v>322.01966911764708</v>
      </c>
      <c r="E61" s="714">
        <f t="shared" ca="1" si="8"/>
        <v>30801.042666891906</v>
      </c>
      <c r="F61" s="714">
        <f t="shared" si="8"/>
        <v>1885.7465673749541</v>
      </c>
      <c r="G61" s="714">
        <f t="shared" ca="1" si="8"/>
        <v>16321.778833341932</v>
      </c>
      <c r="H61" s="714">
        <f t="shared" si="8"/>
        <v>87763.752977522265</v>
      </c>
      <c r="I61" s="714">
        <f t="shared" si="8"/>
        <v>16152.986530165314</v>
      </c>
      <c r="J61" s="714">
        <f t="shared" si="8"/>
        <v>0</v>
      </c>
      <c r="K61" s="714">
        <f t="shared" si="8"/>
        <v>55.423863755639395</v>
      </c>
      <c r="L61" s="714">
        <f t="shared" si="8"/>
        <v>0</v>
      </c>
      <c r="M61" s="714">
        <f t="shared" ca="1" si="8"/>
        <v>0</v>
      </c>
      <c r="N61" s="714">
        <f t="shared" si="8"/>
        <v>0</v>
      </c>
      <c r="O61" s="714">
        <f t="shared" ca="1" si="8"/>
        <v>0</v>
      </c>
      <c r="P61" s="714">
        <f t="shared" si="8"/>
        <v>0</v>
      </c>
      <c r="Q61" s="714">
        <f t="shared" si="8"/>
        <v>0</v>
      </c>
      <c r="R61" s="714">
        <f ca="1">R46+R52+R56</f>
        <v>167600.67362149473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0.13968918807634587</v>
      </c>
      <c r="D63" s="755">
        <f t="shared" ca="1" si="9"/>
        <v>7.8529411764705875E-2</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24544.885784878508</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10764.089880094754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2733.75</v>
      </c>
      <c r="C76" s="724">
        <f>'lokale energieproductie'!B8*IFERROR(SUM(D76:H76)/SUM(D76:O76),0)</f>
        <v>911.25000000000011</v>
      </c>
      <c r="D76" s="1000">
        <f>'lokale energieproductie'!C8</f>
        <v>0</v>
      </c>
      <c r="E76" s="1001">
        <f>'lokale energieproductie'!D8</f>
        <v>0</v>
      </c>
      <c r="F76" s="1001">
        <f>'lokale energieproductie'!E8</f>
        <v>1072.0588235294117</v>
      </c>
      <c r="G76" s="1001">
        <f>'lokale energieproductie'!F8</f>
        <v>0</v>
      </c>
      <c r="H76" s="1001">
        <f>'lokale energieproductie'!G8</f>
        <v>0</v>
      </c>
      <c r="I76" s="1001">
        <f>'lokale energieproductie'!I8</f>
        <v>3216.1764705882347</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286.23970588235295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38042.725664973259</v>
      </c>
      <c r="C78" s="729">
        <f>SUM(C72:C77)</f>
        <v>911.25000000000011</v>
      </c>
      <c r="D78" s="730">
        <f t="shared" ref="D78:H78" si="10">SUM(D76:D77)</f>
        <v>0</v>
      </c>
      <c r="E78" s="730">
        <f t="shared" si="10"/>
        <v>0</v>
      </c>
      <c r="F78" s="730">
        <f t="shared" si="10"/>
        <v>1072.0588235294117</v>
      </c>
      <c r="G78" s="730">
        <f t="shared" si="10"/>
        <v>0</v>
      </c>
      <c r="H78" s="730">
        <f t="shared" si="10"/>
        <v>0</v>
      </c>
      <c r="I78" s="730">
        <f>SUM(I76:I77)</f>
        <v>3216.1764705882347</v>
      </c>
      <c r="J78" s="730">
        <f>SUM(J76:J77)</f>
        <v>0</v>
      </c>
      <c r="K78" s="730">
        <f t="shared" ref="K78:L78" si="11">SUM(K76:K77)</f>
        <v>0</v>
      </c>
      <c r="L78" s="730">
        <f t="shared" si="11"/>
        <v>0</v>
      </c>
      <c r="M78" s="730">
        <f>SUM(M76:M77)</f>
        <v>0</v>
      </c>
      <c r="N78" s="730">
        <f>SUM(N76:N77)</f>
        <v>0</v>
      </c>
      <c r="O78" s="834">
        <f>SUM(O76:O77)</f>
        <v>0</v>
      </c>
      <c r="P78" s="731">
        <v>0</v>
      </c>
      <c r="Q78" s="731">
        <f>SUM(Q76:Q77)</f>
        <v>286.23970588235295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3075.4687500000009</v>
      </c>
      <c r="C87" s="740">
        <f>'lokale energieproductie'!B17*IFERROR(SUM(D87:H87)/SUM(D87:O87),0)</f>
        <v>1025.1562500000002</v>
      </c>
      <c r="D87" s="751">
        <f>'lokale energieproductie'!C17</f>
        <v>0</v>
      </c>
      <c r="E87" s="751">
        <f>'lokale energieproductie'!D17</f>
        <v>0</v>
      </c>
      <c r="F87" s="751">
        <f>'lokale energieproductie'!E17</f>
        <v>1206.0661764705883</v>
      </c>
      <c r="G87" s="751">
        <f>'lokale energieproductie'!F17</f>
        <v>0</v>
      </c>
      <c r="H87" s="751">
        <f>'lokale energieproductie'!G17</f>
        <v>0</v>
      </c>
      <c r="I87" s="751">
        <f>'lokale energieproductie'!I17</f>
        <v>3618.1985294117649</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322.01966911764708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3075.4687500000009</v>
      </c>
      <c r="C90" s="729">
        <f>SUM(C87:C89)</f>
        <v>1025.1562500000002</v>
      </c>
      <c r="D90" s="729">
        <f t="shared" ref="D90:H90" si="12">SUM(D87:D89)</f>
        <v>0</v>
      </c>
      <c r="E90" s="729">
        <f t="shared" si="12"/>
        <v>0</v>
      </c>
      <c r="F90" s="729">
        <f t="shared" si="12"/>
        <v>1206.0661764705883</v>
      </c>
      <c r="G90" s="729">
        <f t="shared" si="12"/>
        <v>0</v>
      </c>
      <c r="H90" s="729">
        <f t="shared" si="12"/>
        <v>0</v>
      </c>
      <c r="I90" s="729">
        <f>SUM(I87:I89)</f>
        <v>3618.1985294117649</v>
      </c>
      <c r="J90" s="729">
        <f>SUM(J87:J89)</f>
        <v>0</v>
      </c>
      <c r="K90" s="729">
        <f t="shared" ref="K90:L90" si="13">SUM(K87:K89)</f>
        <v>0</v>
      </c>
      <c r="L90" s="729">
        <f t="shared" si="13"/>
        <v>0</v>
      </c>
      <c r="M90" s="729">
        <f>SUM(M87:M89)</f>
        <v>0</v>
      </c>
      <c r="N90" s="729">
        <f>SUM(N87:N89)</f>
        <v>0</v>
      </c>
      <c r="O90" s="729">
        <f>SUM(O87:O89)</f>
        <v>0</v>
      </c>
      <c r="P90" s="729">
        <v>0</v>
      </c>
      <c r="Q90" s="729">
        <f>SUM(Q87:Q89)</f>
        <v>322.01966911764708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24544.885784878508</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10764.089880094754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3645.0000000000005</v>
      </c>
      <c r="C8" s="544">
        <f>B48</f>
        <v>0</v>
      </c>
      <c r="D8" s="1010"/>
      <c r="E8" s="1010">
        <f>E48</f>
        <v>1072.0588235294117</v>
      </c>
      <c r="F8" s="1011"/>
      <c r="G8" s="545"/>
      <c r="H8" s="1010">
        <f>I48</f>
        <v>0</v>
      </c>
      <c r="I8" s="1010">
        <f>G48+F48</f>
        <v>3216.1764705882347</v>
      </c>
      <c r="J8" s="1010">
        <f>H48+D48+C48</f>
        <v>0</v>
      </c>
      <c r="K8" s="1010"/>
      <c r="L8" s="1010"/>
      <c r="M8" s="1010"/>
      <c r="N8" s="546"/>
      <c r="O8" s="547">
        <f>C8*$C$12+D8*$D$12+E8*$E$12+F8*$F$12+G8*$G$12+H8*$H$12+I8*$I$12+J8*$J$12</f>
        <v>286.23970588235295</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38953.975664973259</v>
      </c>
      <c r="C10" s="557">
        <f t="shared" ref="C10:L10" si="0">SUM(C8:C9)</f>
        <v>0</v>
      </c>
      <c r="D10" s="557">
        <f t="shared" si="0"/>
        <v>0</v>
      </c>
      <c r="E10" s="557">
        <f t="shared" si="0"/>
        <v>1072.0588235294117</v>
      </c>
      <c r="F10" s="557">
        <f t="shared" si="0"/>
        <v>0</v>
      </c>
      <c r="G10" s="557">
        <f t="shared" si="0"/>
        <v>0</v>
      </c>
      <c r="H10" s="557">
        <f t="shared" si="0"/>
        <v>0</v>
      </c>
      <c r="I10" s="557">
        <f t="shared" si="0"/>
        <v>3216.1764705882347</v>
      </c>
      <c r="J10" s="557">
        <f t="shared" si="0"/>
        <v>0</v>
      </c>
      <c r="K10" s="557">
        <f t="shared" si="0"/>
        <v>0</v>
      </c>
      <c r="L10" s="557">
        <f t="shared" si="0"/>
        <v>0</v>
      </c>
      <c r="M10" s="1013"/>
      <c r="N10" s="1013"/>
      <c r="O10" s="558">
        <f>SUM(O4:O9)</f>
        <v>286.23970588235295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4100.6250000000009</v>
      </c>
      <c r="C17" s="569">
        <f>B49</f>
        <v>0</v>
      </c>
      <c r="D17" s="570"/>
      <c r="E17" s="570">
        <f>E49</f>
        <v>1206.0661764705883</v>
      </c>
      <c r="F17" s="1016"/>
      <c r="G17" s="571"/>
      <c r="H17" s="569">
        <f>I49</f>
        <v>0</v>
      </c>
      <c r="I17" s="570">
        <f>G49+F49</f>
        <v>3618.1985294117649</v>
      </c>
      <c r="J17" s="570">
        <f>H49+D49+C49</f>
        <v>0</v>
      </c>
      <c r="K17" s="570"/>
      <c r="L17" s="570"/>
      <c r="M17" s="570"/>
      <c r="N17" s="1017"/>
      <c r="O17" s="572">
        <f>C17*$C$22+E17*$E$22+H17*$H$22+I17*$I$22+J17*$J$22+D17*$D$22+F17*$F$22+G17*$G$22+K17*$K$22+L17*$L$22</f>
        <v>322.01966911764708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4100.6250000000009</v>
      </c>
      <c r="C20" s="556">
        <f>SUM(C17:C19)</f>
        <v>0</v>
      </c>
      <c r="D20" s="556">
        <f t="shared" ref="D20:L20" si="1">SUM(D17:D19)</f>
        <v>0</v>
      </c>
      <c r="E20" s="556">
        <f t="shared" si="1"/>
        <v>1206.0661764705883</v>
      </c>
      <c r="F20" s="556">
        <f t="shared" si="1"/>
        <v>0</v>
      </c>
      <c r="G20" s="556">
        <f t="shared" si="1"/>
        <v>0</v>
      </c>
      <c r="H20" s="556">
        <f t="shared" si="1"/>
        <v>0</v>
      </c>
      <c r="I20" s="556">
        <f t="shared" si="1"/>
        <v>3618.1985294117649</v>
      </c>
      <c r="J20" s="556">
        <f t="shared" si="1"/>
        <v>0</v>
      </c>
      <c r="K20" s="556">
        <f t="shared" si="1"/>
        <v>0</v>
      </c>
      <c r="L20" s="556">
        <f t="shared" si="1"/>
        <v>0</v>
      </c>
      <c r="M20" s="556"/>
      <c r="N20" s="556"/>
      <c r="O20" s="575">
        <f>SUM(O17:O19)</f>
        <v>322.01966911764708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71037</v>
      </c>
      <c r="C28" s="770">
        <v>3560</v>
      </c>
      <c r="D28" s="627" t="s">
        <v>887</v>
      </c>
      <c r="E28" s="626" t="s">
        <v>888</v>
      </c>
      <c r="F28" s="626" t="s">
        <v>889</v>
      </c>
      <c r="G28" s="626" t="s">
        <v>890</v>
      </c>
      <c r="H28" s="626" t="s">
        <v>891</v>
      </c>
      <c r="I28" s="626" t="s">
        <v>888</v>
      </c>
      <c r="J28" s="769">
        <v>40575</v>
      </c>
      <c r="K28" s="769">
        <v>40616</v>
      </c>
      <c r="L28" s="626" t="s">
        <v>892</v>
      </c>
      <c r="M28" s="626">
        <v>810</v>
      </c>
      <c r="N28" s="626">
        <v>3645.0000000000005</v>
      </c>
      <c r="O28" s="626">
        <v>4100.6250000000009</v>
      </c>
      <c r="P28" s="626">
        <v>0</v>
      </c>
      <c r="Q28" s="626">
        <v>0</v>
      </c>
      <c r="R28" s="626">
        <v>0</v>
      </c>
      <c r="S28" s="626">
        <v>2278.125</v>
      </c>
      <c r="T28" s="626">
        <v>6834.375</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810</v>
      </c>
      <c r="N29" s="584">
        <f>SUM(N28:N28)</f>
        <v>3645.0000000000005</v>
      </c>
      <c r="O29" s="584">
        <f>SUM(O28:O28)</f>
        <v>4100.6250000000009</v>
      </c>
      <c r="P29" s="584">
        <f>SUM(P28:P28)</f>
        <v>0</v>
      </c>
      <c r="Q29" s="584">
        <f>SUM(Q28:Q28)</f>
        <v>0</v>
      </c>
      <c r="R29" s="584">
        <f>SUM(R28:R28)</f>
        <v>0</v>
      </c>
      <c r="S29" s="584">
        <f>SUM(S28:S28)</f>
        <v>2278.125</v>
      </c>
      <c r="T29" s="584">
        <f>SUM(T28:T28)</f>
        <v>6834.375</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810</v>
      </c>
      <c r="N31" s="584">
        <f ca="1">SUMIF($Z$28:AD28,"tertiair",N28:N28)</f>
        <v>3645.0000000000005</v>
      </c>
      <c r="O31" s="584">
        <f ca="1">SUMIF($Z$28:AE28,"tertiair",O28:O28)</f>
        <v>4100.6250000000009</v>
      </c>
      <c r="P31" s="584">
        <f ca="1">SUMIF($Z$28:AF28,"tertiair",P28:P28)</f>
        <v>0</v>
      </c>
      <c r="Q31" s="584">
        <f ca="1">SUMIF($Z$28:AG28,"tertiair",Q28:Q28)</f>
        <v>0</v>
      </c>
      <c r="R31" s="584">
        <f ca="1">SUMIF($Z$28:AH28,"tertiair",R28:R28)</f>
        <v>0</v>
      </c>
      <c r="S31" s="584">
        <f ca="1">SUMIF($Z$28:AI28,"tertiair",S28:S28)</f>
        <v>2278.125</v>
      </c>
      <c r="T31" s="584">
        <f ca="1">SUMIF($Z$28:AJ28,"tertiair",T28:T28)</f>
        <v>6834.375</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0.52941176470588236</v>
      </c>
      <c r="C45" s="609">
        <f>IF(ISERROR(N29/(O29+N29)),0,N29/(N29+O29))</f>
        <v>0.47058823529411759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1072.0588235294117</v>
      </c>
      <c r="F48" s="618">
        <f t="shared" si="2"/>
        <v>3216.1764705882347</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1206.0661764705883</v>
      </c>
      <c r="F49" s="621">
        <f t="shared" si="3"/>
        <v>3618.1985294117649</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26091.610041617932</v>
      </c>
      <c r="C4" s="451">
        <f>huishoudens!C8</f>
        <v>0</v>
      </c>
      <c r="D4" s="451">
        <f>huishoudens!D8</f>
        <v>29946.942598099999</v>
      </c>
      <c r="E4" s="451">
        <f>huishoudens!E8</f>
        <v>6570.1502566659083</v>
      </c>
      <c r="F4" s="451">
        <f>huishoudens!F8</f>
        <v>50473.808453186772</v>
      </c>
      <c r="G4" s="451">
        <f>huishoudens!G8</f>
        <v>0</v>
      </c>
      <c r="H4" s="451">
        <f>huishoudens!H8</f>
        <v>0</v>
      </c>
      <c r="I4" s="451">
        <f>huishoudens!I8</f>
        <v>0</v>
      </c>
      <c r="J4" s="451">
        <f>huishoudens!J8</f>
        <v>0</v>
      </c>
      <c r="K4" s="451">
        <f>huishoudens!K8</f>
        <v>0</v>
      </c>
      <c r="L4" s="451">
        <f>huishoudens!L8</f>
        <v>0</v>
      </c>
      <c r="M4" s="451">
        <f>huishoudens!M8</f>
        <v>0</v>
      </c>
      <c r="N4" s="451">
        <f>huishoudens!N8</f>
        <v>19808.863127444674</v>
      </c>
      <c r="O4" s="451">
        <f>huishoudens!O8</f>
        <v>414.28333333333336</v>
      </c>
      <c r="P4" s="452">
        <f>huishoudens!P8</f>
        <v>1544.4</v>
      </c>
      <c r="Q4" s="453">
        <f>SUM(B4:P4)</f>
        <v>134850.0578103486</v>
      </c>
    </row>
    <row r="5" spans="1:17">
      <c r="A5" s="450" t="s">
        <v>155</v>
      </c>
      <c r="B5" s="451">
        <f ca="1">tertiair!B16</f>
        <v>23759.624553999998</v>
      </c>
      <c r="C5" s="451">
        <f ca="1">tertiair!C16</f>
        <v>4100.6250000000009</v>
      </c>
      <c r="D5" s="451">
        <f ca="1">tertiair!D16</f>
        <v>19590.110434862003</v>
      </c>
      <c r="E5" s="451">
        <f>tertiair!E16</f>
        <v>219.4980343673738</v>
      </c>
      <c r="F5" s="451">
        <f ca="1">tertiair!F16</f>
        <v>1097.3765554636884</v>
      </c>
      <c r="G5" s="451">
        <f>tertiair!G16</f>
        <v>0</v>
      </c>
      <c r="H5" s="451">
        <f>tertiair!H16</f>
        <v>0</v>
      </c>
      <c r="I5" s="451">
        <f>tertiair!I16</f>
        <v>0</v>
      </c>
      <c r="J5" s="451">
        <f>tertiair!J16</f>
        <v>3.3763759703042143E-2</v>
      </c>
      <c r="K5" s="451">
        <f>tertiair!K16</f>
        <v>0</v>
      </c>
      <c r="L5" s="451">
        <f ca="1">tertiair!L16</f>
        <v>0</v>
      </c>
      <c r="M5" s="451">
        <f>tertiair!M16</f>
        <v>0</v>
      </c>
      <c r="N5" s="451">
        <f ca="1">tertiair!N16</f>
        <v>1345.6060141241669</v>
      </c>
      <c r="O5" s="451">
        <f>tertiair!O16</f>
        <v>1.5633333333333335</v>
      </c>
      <c r="P5" s="452">
        <f>tertiair!P16</f>
        <v>38.133333333333333</v>
      </c>
      <c r="Q5" s="450">
        <f t="shared" ref="Q5:Q14" ca="1" si="0">SUM(B5:P5)</f>
        <v>50152.571023243603</v>
      </c>
    </row>
    <row r="6" spans="1:17">
      <c r="A6" s="450" t="s">
        <v>193</v>
      </c>
      <c r="B6" s="451">
        <f>'openbare verlichting'!B8</f>
        <v>1081.239</v>
      </c>
      <c r="C6" s="451"/>
      <c r="D6" s="451"/>
      <c r="E6" s="451"/>
      <c r="F6" s="451"/>
      <c r="G6" s="451"/>
      <c r="H6" s="451"/>
      <c r="I6" s="451"/>
      <c r="J6" s="451"/>
      <c r="K6" s="451"/>
      <c r="L6" s="451"/>
      <c r="M6" s="451"/>
      <c r="N6" s="451"/>
      <c r="O6" s="451"/>
      <c r="P6" s="452"/>
      <c r="Q6" s="450">
        <f t="shared" si="0"/>
        <v>1081.239</v>
      </c>
    </row>
    <row r="7" spans="1:17">
      <c r="A7" s="450" t="s">
        <v>111</v>
      </c>
      <c r="B7" s="451">
        <f>landbouw!B8</f>
        <v>1066.2767239999998</v>
      </c>
      <c r="C7" s="451">
        <f>landbouw!C8</f>
        <v>0</v>
      </c>
      <c r="D7" s="451">
        <f>landbouw!D8</f>
        <v>1737.5611992860001</v>
      </c>
      <c r="E7" s="451">
        <f>landbouw!E8</f>
        <v>31.341129703378101</v>
      </c>
      <c r="F7" s="451">
        <f>landbouw!F8</f>
        <v>4442.0512136140987</v>
      </c>
      <c r="G7" s="451">
        <f>landbouw!G8</f>
        <v>0</v>
      </c>
      <c r="H7" s="451">
        <f>landbouw!H8</f>
        <v>0</v>
      </c>
      <c r="I7" s="451">
        <f>landbouw!I8</f>
        <v>0</v>
      </c>
      <c r="J7" s="451">
        <f>landbouw!J8</f>
        <v>154.48059875283491</v>
      </c>
      <c r="K7" s="451">
        <f>landbouw!K8</f>
        <v>0</v>
      </c>
      <c r="L7" s="451">
        <f>landbouw!L8</f>
        <v>0</v>
      </c>
      <c r="M7" s="451">
        <f>landbouw!M8</f>
        <v>0</v>
      </c>
      <c r="N7" s="451">
        <f>landbouw!N8</f>
        <v>0</v>
      </c>
      <c r="O7" s="451">
        <f>landbouw!O8</f>
        <v>0</v>
      </c>
      <c r="P7" s="452">
        <f>landbouw!P8</f>
        <v>0</v>
      </c>
      <c r="Q7" s="450">
        <f t="shared" si="0"/>
        <v>7431.7108653563118</v>
      </c>
    </row>
    <row r="8" spans="1:17">
      <c r="A8" s="450" t="s">
        <v>634</v>
      </c>
      <c r="B8" s="451">
        <f>industrie!B18</f>
        <v>49458.952035999995</v>
      </c>
      <c r="C8" s="451">
        <f>industrie!C18</f>
        <v>0</v>
      </c>
      <c r="D8" s="451">
        <f>industrie!D18</f>
        <v>98873.232584477984</v>
      </c>
      <c r="E8" s="451">
        <f>industrie!E18</f>
        <v>736.9176660606081</v>
      </c>
      <c r="F8" s="451">
        <f>industrie!F18</f>
        <v>5117.0215805142116</v>
      </c>
      <c r="G8" s="451">
        <f>industrie!G18</f>
        <v>0</v>
      </c>
      <c r="H8" s="451">
        <f>industrie!H18</f>
        <v>0</v>
      </c>
      <c r="I8" s="451">
        <f>industrie!I18</f>
        <v>0</v>
      </c>
      <c r="J8" s="451">
        <f>industrie!J18</f>
        <v>2.050224367799351</v>
      </c>
      <c r="K8" s="451">
        <f>industrie!K18</f>
        <v>0</v>
      </c>
      <c r="L8" s="451">
        <f>industrie!L18</f>
        <v>0</v>
      </c>
      <c r="M8" s="451">
        <f>industrie!M18</f>
        <v>0</v>
      </c>
      <c r="N8" s="451">
        <f>industrie!N18</f>
        <v>3085.5451476172175</v>
      </c>
      <c r="O8" s="451">
        <f>industrie!O18</f>
        <v>0</v>
      </c>
      <c r="P8" s="452">
        <f>industrie!P18</f>
        <v>0</v>
      </c>
      <c r="Q8" s="450">
        <f t="shared" si="0"/>
        <v>157273.71923903783</v>
      </c>
    </row>
    <row r="9" spans="1:17" s="456" customFormat="1">
      <c r="A9" s="454" t="s">
        <v>560</v>
      </c>
      <c r="B9" s="455">
        <f>transport!B14</f>
        <v>142.00933104179873</v>
      </c>
      <c r="C9" s="455">
        <f>transport!C14</f>
        <v>0</v>
      </c>
      <c r="D9" s="455">
        <f>transport!D14</f>
        <v>370.73142531315568</v>
      </c>
      <c r="E9" s="455">
        <f>transport!E14</f>
        <v>749.34651397345408</v>
      </c>
      <c r="F9" s="455">
        <f>transport!F14</f>
        <v>0</v>
      </c>
      <c r="G9" s="455">
        <f>transport!G14</f>
        <v>326753.28127537668</v>
      </c>
      <c r="H9" s="455">
        <f>transport!H14</f>
        <v>64871.431848053471</v>
      </c>
      <c r="I9" s="455">
        <f>transport!I14</f>
        <v>0</v>
      </c>
      <c r="J9" s="455">
        <f>transport!J14</f>
        <v>0</v>
      </c>
      <c r="K9" s="455">
        <f>transport!K14</f>
        <v>0</v>
      </c>
      <c r="L9" s="455">
        <f>transport!L14</f>
        <v>0</v>
      </c>
      <c r="M9" s="455">
        <f>transport!M14</f>
        <v>21000.528657008846</v>
      </c>
      <c r="N9" s="455">
        <f>transport!N14</f>
        <v>0</v>
      </c>
      <c r="O9" s="455">
        <f>transport!O14</f>
        <v>0</v>
      </c>
      <c r="P9" s="455">
        <f>transport!P14</f>
        <v>0</v>
      </c>
      <c r="Q9" s="454">
        <f>SUM(B9:P9)</f>
        <v>413887.32905076741</v>
      </c>
    </row>
    <row r="10" spans="1:17">
      <c r="A10" s="450" t="s">
        <v>550</v>
      </c>
      <c r="B10" s="451">
        <f>transport!B54</f>
        <v>0</v>
      </c>
      <c r="C10" s="451">
        <f>transport!C54</f>
        <v>0</v>
      </c>
      <c r="D10" s="451">
        <f>transport!D54</f>
        <v>0</v>
      </c>
      <c r="E10" s="451">
        <f>transport!E54</f>
        <v>0</v>
      </c>
      <c r="F10" s="451">
        <f>transport!F54</f>
        <v>0</v>
      </c>
      <c r="G10" s="451">
        <f>transport!G54</f>
        <v>1949.9133969913084</v>
      </c>
      <c r="H10" s="451">
        <f>transport!H54</f>
        <v>0</v>
      </c>
      <c r="I10" s="451">
        <f>transport!I54</f>
        <v>0</v>
      </c>
      <c r="J10" s="451">
        <f>transport!J54</f>
        <v>0</v>
      </c>
      <c r="K10" s="451">
        <f>transport!K54</f>
        <v>0</v>
      </c>
      <c r="L10" s="451">
        <f>transport!L54</f>
        <v>0</v>
      </c>
      <c r="M10" s="451">
        <f>transport!M54</f>
        <v>110.73810721355551</v>
      </c>
      <c r="N10" s="451">
        <f>transport!N54</f>
        <v>0</v>
      </c>
      <c r="O10" s="451">
        <f>transport!O54</f>
        <v>0</v>
      </c>
      <c r="P10" s="452">
        <f>transport!P54</f>
        <v>0</v>
      </c>
      <c r="Q10" s="450">
        <f t="shared" si="0"/>
        <v>2060.6515042048641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755.54365000000007</v>
      </c>
      <c r="C14" s="458"/>
      <c r="D14" s="458">
        <f>'SEAP template'!E25</f>
        <v>1961.8309999999999</v>
      </c>
      <c r="E14" s="458"/>
      <c r="F14" s="458"/>
      <c r="G14" s="458"/>
      <c r="H14" s="458"/>
      <c r="I14" s="458"/>
      <c r="J14" s="458"/>
      <c r="K14" s="458"/>
      <c r="L14" s="458"/>
      <c r="M14" s="458"/>
      <c r="N14" s="458"/>
      <c r="O14" s="458"/>
      <c r="P14" s="459"/>
      <c r="Q14" s="450">
        <f t="shared" si="0"/>
        <v>2717.3746499999997</v>
      </c>
    </row>
    <row r="15" spans="1:17" s="460" customFormat="1">
      <c r="A15" s="1005" t="s">
        <v>554</v>
      </c>
      <c r="B15" s="953">
        <f ca="1">SUM(B4:B14)</f>
        <v>102355.25533665974</v>
      </c>
      <c r="C15" s="953">
        <f t="shared" ref="C15:Q15" ca="1" si="1">SUM(C4:C14)</f>
        <v>4100.6250000000009</v>
      </c>
      <c r="D15" s="953">
        <f t="shared" ca="1" si="1"/>
        <v>152480.40924203914</v>
      </c>
      <c r="E15" s="953">
        <f t="shared" si="1"/>
        <v>8307.2536007707222</v>
      </c>
      <c r="F15" s="953">
        <f t="shared" ca="1" si="1"/>
        <v>61130.257802778768</v>
      </c>
      <c r="G15" s="953">
        <f t="shared" si="1"/>
        <v>328703.194672368</v>
      </c>
      <c r="H15" s="953">
        <f t="shared" si="1"/>
        <v>64871.431848053471</v>
      </c>
      <c r="I15" s="953">
        <f t="shared" si="1"/>
        <v>0</v>
      </c>
      <c r="J15" s="953">
        <f t="shared" si="1"/>
        <v>156.56458688033732</v>
      </c>
      <c r="K15" s="953">
        <f t="shared" si="1"/>
        <v>0</v>
      </c>
      <c r="L15" s="953">
        <f t="shared" ca="1" si="1"/>
        <v>0</v>
      </c>
      <c r="M15" s="953">
        <f t="shared" si="1"/>
        <v>21111.266764222401</v>
      </c>
      <c r="N15" s="953">
        <f t="shared" ca="1" si="1"/>
        <v>24240.01428918606</v>
      </c>
      <c r="O15" s="953">
        <f t="shared" si="1"/>
        <v>415.84666666666669</v>
      </c>
      <c r="P15" s="953">
        <f t="shared" si="1"/>
        <v>1582.5333333333335</v>
      </c>
      <c r="Q15" s="953">
        <f t="shared" ca="1" si="1"/>
        <v>769454.65314295853</v>
      </c>
    </row>
    <row r="17" spans="1:17">
      <c r="A17" s="461" t="s">
        <v>555</v>
      </c>
      <c r="B17" s="760">
        <f ca="1">huishoudens!B10</f>
        <v>0.13968918807634587</v>
      </c>
      <c r="C17" s="760">
        <f ca="1">huishoudens!C10</f>
        <v>7.8529411764705875E-2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3644.7158223182419</v>
      </c>
      <c r="C22" s="451">
        <f t="shared" ref="C22:C32" ca="1" si="3">C4*$C$17</f>
        <v>0</v>
      </c>
      <c r="D22" s="451">
        <f t="shared" ref="D22:D32" si="4">D4*$D$17</f>
        <v>6049.2824048162001</v>
      </c>
      <c r="E22" s="451">
        <f t="shared" ref="E22:E32" si="5">E4*$E$17</f>
        <v>1491.4241082631613</v>
      </c>
      <c r="F22" s="451">
        <f t="shared" ref="F22:F32" si="6">F4*$F$17</f>
        <v>13476.506857000868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24661.929192398471</v>
      </c>
    </row>
    <row r="23" spans="1:17">
      <c r="A23" s="450" t="s">
        <v>155</v>
      </c>
      <c r="B23" s="451">
        <f t="shared" ca="1" si="2"/>
        <v>3318.9626629470708</v>
      </c>
      <c r="C23" s="451">
        <f t="shared" ca="1" si="3"/>
        <v>322.01966911764708</v>
      </c>
      <c r="D23" s="451">
        <f t="shared" ca="1" si="4"/>
        <v>3957.2023078421248</v>
      </c>
      <c r="E23" s="451">
        <f t="shared" si="5"/>
        <v>49.826053801393854</v>
      </c>
      <c r="F23" s="451">
        <f t="shared" ca="1" si="6"/>
        <v>292.9995403088048</v>
      </c>
      <c r="G23" s="451">
        <f t="shared" si="7"/>
        <v>0</v>
      </c>
      <c r="H23" s="451">
        <f t="shared" si="8"/>
        <v>0</v>
      </c>
      <c r="I23" s="451">
        <f t="shared" si="9"/>
        <v>0</v>
      </c>
      <c r="J23" s="451">
        <f t="shared" si="10"/>
        <v>1.1952370934876918E-2</v>
      </c>
      <c r="K23" s="451">
        <f t="shared" si="11"/>
        <v>0</v>
      </c>
      <c r="L23" s="451">
        <f t="shared" ca="1" si="12"/>
        <v>0</v>
      </c>
      <c r="M23" s="451">
        <f t="shared" si="13"/>
        <v>0</v>
      </c>
      <c r="N23" s="451">
        <f t="shared" ca="1" si="14"/>
        <v>0</v>
      </c>
      <c r="O23" s="451">
        <f t="shared" si="15"/>
        <v>0</v>
      </c>
      <c r="P23" s="452">
        <f t="shared" si="16"/>
        <v>0</v>
      </c>
      <c r="Q23" s="450">
        <f t="shared" ref="Q23:Q32" ca="1" si="17">SUM(B23:P23)</f>
        <v>7941.022186387976</v>
      </c>
    </row>
    <row r="24" spans="1:17">
      <c r="A24" s="450" t="s">
        <v>193</v>
      </c>
      <c r="B24" s="451">
        <f t="shared" ca="1" si="2"/>
        <v>151.03739802648013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151.03739802648013</v>
      </c>
    </row>
    <row r="25" spans="1:17">
      <c r="A25" s="450" t="s">
        <v>111</v>
      </c>
      <c r="B25" s="451">
        <f t="shared" ca="1" si="2"/>
        <v>148.94732984026589</v>
      </c>
      <c r="C25" s="451">
        <f t="shared" ca="1" si="3"/>
        <v>0</v>
      </c>
      <c r="D25" s="451">
        <f t="shared" si="4"/>
        <v>350.98736225577204</v>
      </c>
      <c r="E25" s="451">
        <f t="shared" si="5"/>
        <v>7.114436442666829</v>
      </c>
      <c r="F25" s="451">
        <f t="shared" si="6"/>
        <v>1186.0276740349643</v>
      </c>
      <c r="G25" s="451">
        <f t="shared" si="7"/>
        <v>0</v>
      </c>
      <c r="H25" s="451">
        <f t="shared" si="8"/>
        <v>0</v>
      </c>
      <c r="I25" s="451">
        <f t="shared" si="9"/>
        <v>0</v>
      </c>
      <c r="J25" s="451">
        <f t="shared" si="10"/>
        <v>54.686131958503552</v>
      </c>
      <c r="K25" s="451">
        <f t="shared" si="11"/>
        <v>0</v>
      </c>
      <c r="L25" s="451">
        <f t="shared" si="12"/>
        <v>0</v>
      </c>
      <c r="M25" s="451">
        <f t="shared" si="13"/>
        <v>0</v>
      </c>
      <c r="N25" s="451">
        <f t="shared" si="14"/>
        <v>0</v>
      </c>
      <c r="O25" s="451">
        <f t="shared" si="15"/>
        <v>0</v>
      </c>
      <c r="P25" s="452">
        <f t="shared" si="16"/>
        <v>0</v>
      </c>
      <c r="Q25" s="450">
        <f t="shared" ca="1" si="17"/>
        <v>1747.7629345321725</v>
      </c>
    </row>
    <row r="26" spans="1:17">
      <c r="A26" s="450" t="s">
        <v>634</v>
      </c>
      <c r="B26" s="451">
        <f t="shared" ca="1" si="2"/>
        <v>6908.880853015773</v>
      </c>
      <c r="C26" s="451">
        <f t="shared" ca="1" si="3"/>
        <v>0</v>
      </c>
      <c r="D26" s="451">
        <f t="shared" si="4"/>
        <v>19972.392982064554</v>
      </c>
      <c r="E26" s="451">
        <f t="shared" si="5"/>
        <v>167.28031019575803</v>
      </c>
      <c r="F26" s="451">
        <f t="shared" si="6"/>
        <v>1366.2447619972945</v>
      </c>
      <c r="G26" s="451">
        <f t="shared" si="7"/>
        <v>0</v>
      </c>
      <c r="H26" s="451">
        <f t="shared" si="8"/>
        <v>0</v>
      </c>
      <c r="I26" s="451">
        <f t="shared" si="9"/>
        <v>0</v>
      </c>
      <c r="J26" s="451">
        <f t="shared" si="10"/>
        <v>0.72577942620097025</v>
      </c>
      <c r="K26" s="451">
        <f t="shared" si="11"/>
        <v>0</v>
      </c>
      <c r="L26" s="451">
        <f t="shared" si="12"/>
        <v>0</v>
      </c>
      <c r="M26" s="451">
        <f t="shared" si="13"/>
        <v>0</v>
      </c>
      <c r="N26" s="451">
        <f t="shared" si="14"/>
        <v>0</v>
      </c>
      <c r="O26" s="451">
        <f t="shared" si="15"/>
        <v>0</v>
      </c>
      <c r="P26" s="452">
        <f t="shared" si="16"/>
        <v>0</v>
      </c>
      <c r="Q26" s="450">
        <f t="shared" ca="1" si="17"/>
        <v>28415.52468669958</v>
      </c>
    </row>
    <row r="27" spans="1:17" s="456" customFormat="1">
      <c r="A27" s="454" t="s">
        <v>560</v>
      </c>
      <c r="B27" s="754">
        <f t="shared" ca="1" si="2"/>
        <v>19.837168152493884</v>
      </c>
      <c r="C27" s="455">
        <f t="shared" ca="1" si="3"/>
        <v>0</v>
      </c>
      <c r="D27" s="455">
        <f t="shared" si="4"/>
        <v>74.887747913257456</v>
      </c>
      <c r="E27" s="455">
        <f t="shared" si="5"/>
        <v>170.10165867197409</v>
      </c>
      <c r="F27" s="455">
        <f t="shared" si="6"/>
        <v>0</v>
      </c>
      <c r="G27" s="455">
        <f t="shared" si="7"/>
        <v>87243.12610052558</v>
      </c>
      <c r="H27" s="455">
        <f t="shared" si="8"/>
        <v>16152.986530165314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103660.93920542863</v>
      </c>
    </row>
    <row r="28" spans="1:17">
      <c r="A28" s="450" t="s">
        <v>550</v>
      </c>
      <c r="B28" s="451">
        <f t="shared" ca="1" si="2"/>
        <v>0</v>
      </c>
      <c r="C28" s="451">
        <f t="shared" ca="1" si="3"/>
        <v>0</v>
      </c>
      <c r="D28" s="451">
        <f t="shared" si="4"/>
        <v>0</v>
      </c>
      <c r="E28" s="451">
        <f t="shared" si="5"/>
        <v>0</v>
      </c>
      <c r="F28" s="451">
        <f t="shared" si="6"/>
        <v>0</v>
      </c>
      <c r="G28" s="451">
        <f t="shared" si="7"/>
        <v>520.62687699667936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520.62687699667936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105.54127902473884</v>
      </c>
      <c r="C32" s="451">
        <f t="shared" ca="1" si="3"/>
        <v>0</v>
      </c>
      <c r="D32" s="451">
        <f t="shared" si="4"/>
        <v>396.28986200000003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501.83114102473888</v>
      </c>
    </row>
    <row r="33" spans="1:17" s="460" customFormat="1">
      <c r="A33" s="1005" t="s">
        <v>554</v>
      </c>
      <c r="B33" s="953">
        <f ca="1">SUM(B22:B32)</f>
        <v>14297.922513325064</v>
      </c>
      <c r="C33" s="953">
        <f t="shared" ref="C33:Q33" ca="1" si="18">SUM(C22:C32)</f>
        <v>322.01966911764708</v>
      </c>
      <c r="D33" s="953">
        <f t="shared" ca="1" si="18"/>
        <v>30801.042666891906</v>
      </c>
      <c r="E33" s="953">
        <f t="shared" si="18"/>
        <v>1885.7465673749541</v>
      </c>
      <c r="F33" s="953">
        <f t="shared" ca="1" si="18"/>
        <v>16321.77883334193</v>
      </c>
      <c r="G33" s="953">
        <f t="shared" si="18"/>
        <v>87763.752977522265</v>
      </c>
      <c r="H33" s="953">
        <f t="shared" si="18"/>
        <v>16152.986530165314</v>
      </c>
      <c r="I33" s="953">
        <f t="shared" si="18"/>
        <v>0</v>
      </c>
      <c r="J33" s="953">
        <f t="shared" si="18"/>
        <v>55.423863755639402</v>
      </c>
      <c r="K33" s="953">
        <f t="shared" si="18"/>
        <v>0</v>
      </c>
      <c r="L33" s="953">
        <f t="shared" ca="1" si="18"/>
        <v>0</v>
      </c>
      <c r="M33" s="953">
        <f t="shared" si="18"/>
        <v>0</v>
      </c>
      <c r="N33" s="953">
        <f t="shared" ca="1" si="18"/>
        <v>0</v>
      </c>
      <c r="O33" s="953">
        <f t="shared" si="18"/>
        <v>0</v>
      </c>
      <c r="P33" s="953">
        <f t="shared" si="18"/>
        <v>0</v>
      </c>
      <c r="Q33" s="953">
        <f t="shared" ca="1" si="18"/>
        <v>167600.67362149473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24544.885784878508</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10764.089880094754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2733.75</v>
      </c>
      <c r="C8" s="1022">
        <f>'SEAP template'!C76</f>
        <v>911.25000000000011</v>
      </c>
      <c r="D8" s="1022">
        <f>'SEAP template'!D76</f>
        <v>0</v>
      </c>
      <c r="E8" s="1022">
        <f>'SEAP template'!E76</f>
        <v>0</v>
      </c>
      <c r="F8" s="1022">
        <f>'SEAP template'!F76</f>
        <v>1072.0588235294117</v>
      </c>
      <c r="G8" s="1022">
        <f>'SEAP template'!G76</f>
        <v>0</v>
      </c>
      <c r="H8" s="1022">
        <f>'SEAP template'!H76</f>
        <v>0</v>
      </c>
      <c r="I8" s="1022">
        <f>'SEAP template'!I76</f>
        <v>3216.1764705882347</v>
      </c>
      <c r="J8" s="1022">
        <f>'SEAP template'!J76</f>
        <v>0</v>
      </c>
      <c r="K8" s="1022">
        <f>'SEAP template'!K76</f>
        <v>0</v>
      </c>
      <c r="L8" s="1022">
        <f>'SEAP template'!L76</f>
        <v>0</v>
      </c>
      <c r="M8" s="1022">
        <f>'SEAP template'!M76</f>
        <v>0</v>
      </c>
      <c r="N8" s="1022">
        <f>'SEAP template'!N76</f>
        <v>0</v>
      </c>
      <c r="O8" s="1022">
        <f>'SEAP template'!O76</f>
        <v>0</v>
      </c>
      <c r="P8" s="1023">
        <f>'SEAP template'!Q76</f>
        <v>286.23970588235295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38042.725664973259</v>
      </c>
      <c r="C10" s="1026">
        <f>SUM(C4:C9)</f>
        <v>911.25000000000011</v>
      </c>
      <c r="D10" s="1026">
        <f t="shared" ref="D10:H10" si="0">SUM(D8:D9)</f>
        <v>0</v>
      </c>
      <c r="E10" s="1026">
        <f t="shared" si="0"/>
        <v>0</v>
      </c>
      <c r="F10" s="1026">
        <f t="shared" si="0"/>
        <v>1072.0588235294117</v>
      </c>
      <c r="G10" s="1026">
        <f t="shared" si="0"/>
        <v>0</v>
      </c>
      <c r="H10" s="1026">
        <f t="shared" si="0"/>
        <v>0</v>
      </c>
      <c r="I10" s="1026">
        <f>SUM(I8:I9)</f>
        <v>3216.1764705882347</v>
      </c>
      <c r="J10" s="1026">
        <f>SUM(J8:J9)</f>
        <v>0</v>
      </c>
      <c r="K10" s="1026">
        <f t="shared" ref="K10:L10" si="1">SUM(K8:K9)</f>
        <v>0</v>
      </c>
      <c r="L10" s="1026">
        <f t="shared" si="1"/>
        <v>0</v>
      </c>
      <c r="M10" s="1026">
        <f>SUM(M8:M9)</f>
        <v>0</v>
      </c>
      <c r="N10" s="1026">
        <f>SUM(N8:N9)</f>
        <v>0</v>
      </c>
      <c r="O10" s="1026">
        <f>SUM(O8:O9)</f>
        <v>0</v>
      </c>
      <c r="P10" s="1026">
        <f>SUM(P8:P9)</f>
        <v>286.23970588235295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0.13968918807634587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3075.4687500000009</v>
      </c>
      <c r="C17" s="1028">
        <f>'SEAP template'!C87</f>
        <v>1025.1562500000002</v>
      </c>
      <c r="D17" s="1023">
        <f>'SEAP template'!D87</f>
        <v>0</v>
      </c>
      <c r="E17" s="1023">
        <f>'SEAP template'!E87</f>
        <v>0</v>
      </c>
      <c r="F17" s="1023">
        <f>'SEAP template'!F87</f>
        <v>1206.0661764705883</v>
      </c>
      <c r="G17" s="1023">
        <f>'SEAP template'!G87</f>
        <v>0</v>
      </c>
      <c r="H17" s="1023">
        <f>'SEAP template'!H87</f>
        <v>0</v>
      </c>
      <c r="I17" s="1023">
        <f>'SEAP template'!I87</f>
        <v>3618.1985294117649</v>
      </c>
      <c r="J17" s="1023">
        <f>'SEAP template'!J87</f>
        <v>0</v>
      </c>
      <c r="K17" s="1023">
        <f>'SEAP template'!K87</f>
        <v>0</v>
      </c>
      <c r="L17" s="1023">
        <f>'SEAP template'!L87</f>
        <v>0</v>
      </c>
      <c r="M17" s="1023">
        <f>'SEAP template'!M87</f>
        <v>0</v>
      </c>
      <c r="N17" s="1023">
        <f>'SEAP template'!N87</f>
        <v>0</v>
      </c>
      <c r="O17" s="1023">
        <f>'SEAP template'!O87</f>
        <v>0</v>
      </c>
      <c r="P17" s="1023">
        <f>'SEAP template'!Q87</f>
        <v>322.01966911764708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3075.4687500000009</v>
      </c>
      <c r="C20" s="1026">
        <f>SUM(C17:C19)</f>
        <v>1025.1562500000002</v>
      </c>
      <c r="D20" s="1026">
        <f t="shared" ref="D20:H20" si="2">SUM(D17:D19)</f>
        <v>0</v>
      </c>
      <c r="E20" s="1026">
        <f t="shared" si="2"/>
        <v>0</v>
      </c>
      <c r="F20" s="1026">
        <f t="shared" si="2"/>
        <v>1206.0661764705883</v>
      </c>
      <c r="G20" s="1026">
        <f t="shared" si="2"/>
        <v>0</v>
      </c>
      <c r="H20" s="1026">
        <f t="shared" si="2"/>
        <v>0</v>
      </c>
      <c r="I20" s="1026">
        <f>SUM(I17:I19)</f>
        <v>3618.1985294117649</v>
      </c>
      <c r="J20" s="1026">
        <f>SUM(J17:J19)</f>
        <v>0</v>
      </c>
      <c r="K20" s="1026">
        <f t="shared" ref="K20:L20" si="3">SUM(K17:K19)</f>
        <v>0</v>
      </c>
      <c r="L20" s="1026">
        <f t="shared" si="3"/>
        <v>0</v>
      </c>
      <c r="M20" s="1026">
        <f>SUM(M17:M19)</f>
        <v>0</v>
      </c>
      <c r="N20" s="1026">
        <f>SUM(N17:N19)</f>
        <v>0</v>
      </c>
      <c r="O20" s="1026">
        <f>SUM(O17:O19)</f>
        <v>0</v>
      </c>
      <c r="P20" s="1026">
        <f>SUM(P17:P19)</f>
        <v>322.01966911764708</v>
      </c>
    </row>
    <row r="22" spans="1:16">
      <c r="A22" s="461" t="s">
        <v>848</v>
      </c>
      <c r="B22" s="760" t="s">
        <v>842</v>
      </c>
      <c r="C22" s="760">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0.13968918807634587</v>
      </c>
      <c r="C17" s="498">
        <f ca="1">'EF ele_warmte'!B22</f>
        <v>7.8529411764705875E-2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2020-06-20T15:48:18Z</dcterms:modified>
</cp:coreProperties>
</file>