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4" i="18"/>
  <c r="V44" i="18"/>
  <c r="U44" i="18"/>
  <c r="T44" i="18"/>
  <c r="S44" i="18"/>
  <c r="R44" i="18"/>
  <c r="Q44" i="18"/>
  <c r="P44" i="18"/>
  <c r="O44" i="18"/>
  <c r="N44" i="18"/>
  <c r="M44" i="18"/>
  <c r="W43" i="18"/>
  <c r="V43" i="18"/>
  <c r="U43" i="18"/>
  <c r="T43" i="18"/>
  <c r="S43" i="18"/>
  <c r="R43" i="18"/>
  <c r="Q43" i="18"/>
  <c r="P43" i="18"/>
  <c r="O43" i="18"/>
  <c r="N43" i="18"/>
  <c r="M43" i="18"/>
  <c r="W42" i="18"/>
  <c r="V42" i="18"/>
  <c r="U42" i="18"/>
  <c r="T42" i="18"/>
  <c r="S42" i="18"/>
  <c r="R42" i="18"/>
  <c r="Q42" i="18"/>
  <c r="P42" i="18"/>
  <c r="O42" i="18"/>
  <c r="N42" i="18"/>
  <c r="M42" i="18"/>
  <c r="W41" i="18"/>
  <c r="V41" i="18"/>
  <c r="J9" i="18" s="1"/>
  <c r="J77" i="14" s="1"/>
  <c r="J9" i="61" s="1"/>
  <c r="U41" i="18"/>
  <c r="T41" i="18"/>
  <c r="I9" i="18" s="1"/>
  <c r="S41" i="18"/>
  <c r="R41" i="18"/>
  <c r="Q41" i="18"/>
  <c r="P41" i="18"/>
  <c r="C9" i="18" s="1"/>
  <c r="O41" i="18"/>
  <c r="N41" i="18"/>
  <c r="B9" i="18" s="1"/>
  <c r="M41" i="18"/>
  <c r="W37" i="18"/>
  <c r="V37" i="18"/>
  <c r="U37" i="18"/>
  <c r="T37" i="18"/>
  <c r="S37" i="18"/>
  <c r="R37" i="18"/>
  <c r="Q37" i="18"/>
  <c r="P37" i="18"/>
  <c r="O37" i="18"/>
  <c r="N37" i="18"/>
  <c r="M37" i="18"/>
  <c r="W36" i="18"/>
  <c r="V36" i="18"/>
  <c r="U36" i="18"/>
  <c r="T36" i="18"/>
  <c r="S36" i="18"/>
  <c r="F13" i="15" s="1"/>
  <c r="R36" i="18"/>
  <c r="Q36" i="18"/>
  <c r="P36" i="18"/>
  <c r="D13" i="15" s="1"/>
  <c r="O36" i="18"/>
  <c r="C13" i="15" s="1"/>
  <c r="N36" i="18"/>
  <c r="M36" i="18"/>
  <c r="W35" i="18"/>
  <c r="V35" i="18"/>
  <c r="U35" i="18"/>
  <c r="T35" i="18"/>
  <c r="S35" i="18"/>
  <c r="R35" i="18"/>
  <c r="Q35" i="18"/>
  <c r="P35" i="18"/>
  <c r="O35" i="18"/>
  <c r="N35" i="18"/>
  <c r="M35" i="18"/>
  <c r="W34" i="18"/>
  <c r="V34" i="18"/>
  <c r="U34" i="18"/>
  <c r="T34" i="18"/>
  <c r="S34" i="18"/>
  <c r="R34" i="18"/>
  <c r="Q34" i="18"/>
  <c r="P34" i="18"/>
  <c r="O34" i="18"/>
  <c r="B50" i="18" s="1"/>
  <c r="N34" i="18"/>
  <c r="M34"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50" i="18"/>
  <c r="B53" i="18" s="1"/>
  <c r="C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53" i="18"/>
  <c r="H8" i="18" s="1"/>
  <c r="E53" i="18"/>
  <c r="E8" i="18" s="1"/>
  <c r="G53" i="18"/>
  <c r="F53" i="18"/>
  <c r="H53" i="18"/>
  <c r="D53" i="18"/>
  <c r="C53" i="18"/>
  <c r="I54" i="18"/>
  <c r="H17" i="18" s="1"/>
  <c r="E54" i="18"/>
  <c r="E17" i="18" s="1"/>
  <c r="C54" i="18"/>
  <c r="B54" i="18"/>
  <c r="C17" i="18" s="1"/>
  <c r="H54" i="18"/>
  <c r="D54" i="18"/>
  <c r="G54" i="18"/>
  <c r="F54"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O8" i="48"/>
  <c r="O26" i="48" s="1"/>
  <c r="P13" i="14"/>
  <c r="P16" i="14" s="1"/>
  <c r="P27" i="14" s="1"/>
  <c r="Q46" i="14"/>
  <c r="Q61" i="14" s="1"/>
  <c r="Q63"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N52" i="14"/>
  <c r="N61" i="14" s="1"/>
  <c r="N63" i="14" s="1"/>
  <c r="K10" i="14"/>
  <c r="J5" i="48"/>
  <c r="J23" i="48" s="1"/>
  <c r="J20" i="15"/>
  <c r="K40" i="14" s="1"/>
  <c r="I20" i="14"/>
  <c r="I22" i="14" s="1"/>
  <c r="I27"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F16" i="14" l="1"/>
  <c r="F27" i="14" s="1"/>
  <c r="K13" i="14"/>
  <c r="K16" i="14" s="1"/>
  <c r="K27" i="14" s="1"/>
  <c r="J8" i="48"/>
  <c r="J26" i="48" s="1"/>
  <c r="J33" i="48" s="1"/>
  <c r="E8" i="48"/>
  <c r="E26" i="48" s="1"/>
  <c r="E33" i="48" s="1"/>
  <c r="F1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E15" i="48"/>
  <c r="F63" i="14"/>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<sst xmlns="http://schemas.openxmlformats.org/spreadsheetml/2006/main" count="2459" uniqueCount="914">
  <si>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</si>
  <si>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</si>
  <si>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</si>
  <si>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</si>
  <si>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</si>
  <si>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</si>
  <si>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</si>
  <si>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</si>
  <si>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</si>
  <si>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</si>
  <si>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</si>
  <si>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</si>
  <si>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</si>
  <si>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</si>
  <si>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</si>
  <si>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</si>
  <si>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</si>
  <si>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</si>
  <si>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</si>
  <si>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</si>
  <si>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</si>
  <si>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</si>
  <si>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</si>
  <si>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</si>
  <si>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</si>
  <si>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</si>
  <si>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</si>
  <si>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</si>
  <si>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</si>
  <si>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</si>
  <si>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</si>
  <si>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</si>
  <si>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</si>
  <si>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</si>
  <si>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</si>
  <si>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</si>
  <si>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</si>
  <si>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</si>
  <si>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</si>
  <si>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</si>
  <si>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</si>
  <si>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</si>
  <si>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</si>
  <si>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</si>
  <si>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</si>
  <si>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</si>
  <si>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</si>
  <si>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</si>
  <si>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</si>
  <si>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</si>
  <si>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</si>
  <si>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</si>
  <si>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</si>
  <si>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</si>
  <si>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</si>
  <si>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</si>
  <si>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</si>
  <si>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</si>
  <si>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</si>
  <si>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</si>
  <si>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</si>
  <si>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</si>
  <si>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</si>
  <si>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</si>
  <si>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</si>
  <si>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</si>
  <si>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</si>
  <si>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</si>
  <si>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</si>
  <si>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</si>
  <si>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</si>
  <si>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</si>
  <si>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</si>
  <si>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</si>
  <si>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</si>
  <si>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</si>
  <si>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</si>
  <si>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</si>
  <si>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</si>
  <si>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</si>
  <si>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</si>
  <si>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</si>
  <si>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</si>
  <si>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</si>
  <si>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</si>
  <si>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</si>
  <si>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</si>
  <si>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</si>
  <si>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</si>
  <si>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</si>
  <si>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</si>
  <si>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</si>
  <si>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</si>
  <si>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</si>
  <si>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</si>
  <si>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</si>
  <si>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</si>
  <si>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</si>
  <si>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</si>
  <si>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</si>
  <si>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</si>
  <si>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</si>
  <si>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</si>
  <si>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</si>
  <si>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</si>
  <si>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</si>
  <si>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</si>
  <si>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</si>
  <si>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</si>
  <si>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</si>
  <si>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</si>
  <si>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</si>
  <si>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</si>
  <si>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</si>
  <si>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</si>
  <si>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</si>
  <si>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</si>
  <si>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</si>
  <si>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</si>
  <si>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</si>
  <si>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</si>
  <si>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</si>
  <si>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</si>
  <si>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</si>
  <si>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</si>
  <si>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</si>
  <si>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</si>
  <si>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</si>
  <si>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</si>
  <si>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</si>
  <si>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</si>
  <si>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</si>
  <si>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</si>
  <si>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</si>
  <si>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</si>
  <si>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</si>
  <si>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</si>
  <si>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</si>
  <si>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</si>
  <si>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</si>
  <si>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</si>
  <si>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</si>
  <si>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</si>
  <si>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</si>
  <si>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</si>
  <si>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</si>
  <si>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</si>
  <si>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</si>
  <si>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</si>
  <si>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</si>
  <si>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</si>
  <si>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</si>
  <si>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</si>
  <si>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</si>
  <si>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</si>
  <si>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</si>
  <si>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</si>
  <si>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</si>
  <si>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</si>
  <si>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</si>
  <si>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</si>
  <si>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</si>
  <si>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</si>
  <si>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</si>
  <si>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</si>
  <si>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</si>
  <si>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</si>
  <si>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</si>
  <si>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</si>
  <si>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</si>
  <si>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</si>
  <si>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</si>
  <si>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</si>
  <si>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</si>
  <si>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</si>
  <si>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</si>
  <si>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</si>
  <si>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</si>
  <si>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</si>
  <si>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</si>
  <si>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</si>
  <si>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</si>
  <si>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</si>
  <si>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</si>
  <si>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</si>
  <si>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</si>
  <si>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</si>
  <si>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</si>
  <si>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</si>
  <si>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</si>
  <si>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</si>
  <si>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</si>
  <si>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</si>
  <si>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</si>
  <si>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</si>
  <si>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</si>
  <si>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</si>
  <si>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</si>
  <si>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</si>
  <si>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</si>
  <si>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</si>
  <si>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</si>
  <si>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</si>
  <si>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</si>
  <si>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</si>
  <si>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</si>
  <si>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</si>
  <si>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</si>
  <si>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</si>
  <si>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</si>
  <si>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</si>
  <si>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</si>
  <si>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</si>
  <si>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</si>
  <si>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</si>
  <si>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</si>
  <si>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</si>
  <si>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</si>
  <si>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</si>
  <si>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</si>
  <si>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</si>
  <si>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</si>
  <si>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</si>
  <si>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</si>
  <si>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</si>
  <si>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</si>
  <si>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</si>
  <si>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</si>
  <si>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</si>
  <si>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</si>
  <si>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</si>
  <si>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</si>
  <si>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</si>
  <si>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</si>
  <si>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</si>
  <si>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</si>
  <si>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</si>
  <si>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</si>
  <si>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</si>
  <si>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</si>
  <si>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</si>
  <si>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</si>
  <si>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</si>
  <si>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</si>
  <si>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</si>
  <si>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</si>
  <si>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</si>
  <si>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</si>
  <si>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</si>
  <si>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</si>
  <si>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</si>
  <si>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</si>
  <si>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</si>
  <si>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</si>
  <si>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</si>
  <si>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</si>
  <si>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</si>
  <si>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</si>
  <si>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</si>
  <si>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</si>
  <si>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</si>
  <si>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</si>
  <si>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</si>
  <si>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</si>
  <si>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</si>
  <si>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</si>
  <si>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</si>
  <si>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</si>
  <si>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</si>
  <si>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</si>
  <si>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</si>
  <si>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</si>
  <si>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</si>
  <si>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</si>
  <si>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</si>
  <si>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</si>
  <si>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</si>
  <si>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</si>
  <si>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</si>
  <si>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</si>
  <si>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</si>
  <si>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</si>
  <si>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</si>
  <si>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</si>
  <si>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</si>
  <si>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</si>
  <si>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</si>
  <si>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</si>
  <si>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</si>
  <si>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</si>
  <si>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</si>
  <si>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</si>
  <si>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</si>
  <si>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</si>
  <si>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</si>
  <si>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</si>
  <si>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</si>
  <si>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</si>
  <si>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</si>
  <si>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</si>
  <si>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</si>
  <si>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</si>
  <si>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</si>
  <si>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</si>
  <si>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</si>
  <si>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</si>
  <si>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</si>
  <si>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</si>
  <si>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</si>
  <si>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</si>
  <si>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</si>
  <si>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</si>
  <si>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</si>
  <si>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</si>
  <si>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</si>
  <si>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</si>
  <si>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</si>
  <si>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</si>
  <si>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</si>
  <si>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</si>
  <si>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</si>
  <si>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</si>
  <si>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</si>
  <si>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</si>
  <si>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</si>
  <si>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</si>
  <si>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</si>
  <si>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</si>
  <si>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</si>
  <si>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</si>
  <si>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</si>
  <si>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</si>
  <si>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</si>
  <si>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</si>
  <si>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</si>
  <si>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</si>
  <si>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</si>
  <si>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</si>
  <si>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</si>
  <si>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</si>
  <si>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</si>
  <si>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</si>
  <si>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</si>
  <si>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</si>
  <si>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</si>
  <si>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</si>
  <si>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</si>
  <si>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</si>
  <si>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</si>
  <si>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</si>
  <si>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</si>
  <si>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</si>
  <si>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</si>
  <si>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</si>
  <si>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</si>
  <si>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</si>
  <si>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</si>
  <si>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</si>
  <si>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</si>
  <si>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</si>
  <si>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</si>
  <si>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</si>
  <si>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</si>
  <si>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</si>
  <si>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</si>
  <si>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</si>
  <si>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</si>
  <si>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</si>
  <si>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</si>
  <si>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</si>
  <si>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</si>
  <si>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</si>
  <si>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</si>
  <si>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</si>
  <si>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</si>
  <si>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</si>
  <si>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</si>
  <si>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</si>
  <si>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</si>
  <si>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</si>
  <si>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</si>
  <si>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</si>
  <si>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</si>
  <si>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</si>
  <si>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</si>
  <si>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</si>
  <si>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</si>
  <si>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</si>
  <si>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</si>
  <si>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</si>
  <si>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</si>
  <si>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</si>
  <si>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</si>
  <si>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</si>
  <si>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</si>
  <si>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</si>
  <si>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</si>
  <si>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</si>
  <si>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</si>
  <si>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</si>
  <si>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</si>
  <si>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</si>
  <si>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</si>
  <si>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</si>
  <si>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</si>
  <si>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</si>
  <si>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</si>
  <si>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</si>
  <si>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</si>
  <si>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</si>
  <si>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</si>
  <si>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</si>
  <si>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</si>
  <si>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</si>
  <si>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</si>
  <si>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</si>
  <si>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</si>
  <si>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</si>
  <si>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</si>
  <si>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</si>
  <si>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</si>
  <si>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</si>
  <si>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</si>
  <si>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</si>
  <si>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</si>
  <si>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</si>
  <si>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</si>
  <si>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</si>
  <si>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</si>
  <si>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</si>
  <si>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</si>
  <si>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</si>
  <si>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</si>
  <si>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</si>
  <si>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</si>
  <si>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</si>
  <si>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</si>
  <si>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</si>
  <si>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</si>
  <si>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</si>
  <si>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</si>
  <si>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</si>
  <si>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</si>
  <si>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</si>
  <si>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</si>
  <si>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</si>
  <si>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</si>
  <si>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</si>
  <si>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</si>
  <si>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</si>
  <si>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</si>
  <si>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</si>
  <si>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</si>
  <si>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</si>
  <si>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</si>
  <si>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</si>
  <si>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</si>
  <si>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</si>
  <si>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</si>
  <si>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</si>
  <si>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</si>
  <si>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</si>
  <si>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</si>
  <si>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</si>
  <si>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</si>
  <si>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</si>
  <si>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</si>
  <si>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</si>
  <si>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</si>
  <si>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</si>
  <si>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</si>
  <si>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</si>
  <si>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</si>
  <si>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</si>
  <si>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</si>
  <si>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</si>
  <si>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</si>
  <si>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</si>
  <si>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</si>
  <si>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</si>
  <si>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</si>
  <si>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</si>
  <si>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</si>
  <si>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</si>
  <si>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</si>
  <si>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</si>
  <si>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</si>
  <si>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</si>
  <si>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</si>
  <si>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</si>
  <si>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</si>
  <si>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</si>
  <si>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</si>
  <si>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</si>
  <si>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</si>
  <si>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</si>
  <si>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</si>
  <si>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</si>
  <si>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</si>
  <si>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</si>
  <si>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</si>
  <si>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</si>
  <si>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</si>
  <si>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</si>
  <si>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</si>
  <si>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</si>
  <si>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</si>
  <si>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</si>
  <si>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</si>
  <si>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</si>
  <si>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</si>
  <si>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</si>
  <si>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</si>
  <si>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</si>
  <si>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</si>
  <si>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</si>
  <si>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</si>
  <si>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</si>
  <si>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</si>
  <si>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</si>
  <si>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</si>
  <si>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</si>
  <si>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</si>
  <si>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</si>
  <si>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</si>
  <si>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</si>
  <si>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</si>
  <si>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</si>
  <si>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</si>
  <si>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</si>
  <si>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</si>
  <si>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</si>
  <si>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</si>
  <si>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</si>
  <si>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</si>
  <si>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</si>
  <si>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</si>
  <si>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</si>
  <si>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</si>
  <si>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</si>
  <si>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</si>
  <si>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</si>
  <si>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</si>
  <si>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</si>
  <si>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</si>
  <si>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</si>
  <si>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</si>
  <si>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</si>
  <si>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</si>
  <si>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</si>
  <si>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</si>
  <si>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</si>
  <si>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</si>
  <si>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</si>
  <si>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</si>
  <si>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</si>
  <si>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</si>
  <si>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</si>
  <si>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</si>
  <si>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</si>
  <si>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</si>
  <si>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</si>
  <si>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</si>
  <si>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</si>
  <si>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</si>
  <si>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</si>
  <si>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</si>
  <si>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</si>
  <si>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</si>
  <si>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</si>
  <si>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</si>
  <si>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</si>
  <si>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</si>
  <si>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</si>
  <si>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</si>
  <si>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</si>
  <si>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</si>
  <si>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</si>
  <si>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</si>
  <si>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</si>
  <si>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</si>
  <si>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</si>
  <si>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</si>
  <si>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</si>
  <si>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</si>
  <si>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</si>
  <si>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</si>
  <si>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</si>
  <si>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</si>
  <si>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</si>
  <si>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</si>
  <si>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</si>
  <si>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</si>
  <si>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</si>
  <si>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</si>
  <si>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</si>
  <si>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</si>
  <si>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</si>
  <si>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</si>
  <si>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</si>
  <si>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</si>
  <si>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</si>
  <si>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</si>
  <si>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</si>
  <si>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</si>
  <si>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</si>
  <si>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</si>
  <si>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</si>
  <si>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</si>
  <si>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</si>
  <si>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</si>
  <si>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</si>
  <si>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</si>
  <si>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</si>
  <si>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</si>
  <si>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</si>
  <si>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</si>
  <si>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</si>
  <si>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</si>
  <si>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</si>
  <si>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</si>
  <si>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</si>
  <si>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</si>
  <si>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</si>
  <si>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</si>
  <si>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</si>
  <si>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</si>
  <si>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</si>
  <si>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</si>
  <si>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</si>
  <si>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</si>
  <si>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</si>
  <si>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</si>
  <si>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</si>
  <si>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</si>
  <si>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</si>
  <si>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</si>
  <si>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</si>
  <si>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</si>
  <si>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</si>
  <si>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</si>
  <si>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</si>
  <si>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</si>
  <si>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</si>
  <si>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</si>
  <si>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</si>
  <si>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</si>
  <si>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</si>
  <si>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</si>
  <si>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</si>
  <si>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</si>
  <si>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</si>
  <si>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</si>
  <si>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</si>
  <si>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</si>
  <si>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</si>
  <si>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</si>
  <si>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</si>
  <si>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</si>
  <si>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</si>
  <si>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</si>
  <si>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</si>
  <si>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</si>
  <si>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</si>
  <si>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</si>
  <si>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</si>
  <si>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</si>
  <si>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</si>
  <si>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</si>
  <si>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</si>
  <si>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</si>
  <si>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</si>
  <si>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</si>
  <si>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</si>
  <si>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</si>
  <si>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</si>
  <si>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</si>
  <si>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</si>
  <si>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</si>
  <si>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</si>
  <si>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</si>
  <si>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</si>
  <si>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</si>
  <si>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</si>
  <si>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</si>
  <si>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</si>
  <si>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</si>
  <si>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</si>
  <si>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</si>
  <si>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</si>
  <si>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</si>
  <si>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</si>
  <si>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</si>
  <si>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</si>
  <si>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</si>
  <si>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</si>
  <si>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</si>
  <si>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</si>
  <si>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</si>
  <si>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</si>
  <si>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</si>
  <si>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</si>
  <si>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</si>
  <si>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</si>
  <si>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</si>
  <si>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</si>
  <si>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</si>
  <si>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</si>
  <si>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</si>
  <si>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</si>
  <si>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</si>
  <si>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</si>
  <si>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</si>
  <si>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</si>
  <si>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</si>
  <si>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</si>
  <si>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</si>
  <si>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</si>
  <si>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</si>
  <si>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</si>
  <si>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</si>
  <si>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</si>
  <si>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</si>
  <si>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</si>
  <si>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</si>
  <si>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</si>
  <si>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</si>
  <si>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</si>
  <si>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</si>
  <si>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</si>
  <si>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</si>
  <si>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</si>
  <si>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</si>
  <si>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</si>
  <si>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</si>
  <si>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</si>
  <si>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</si>
  <si>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</si>
  <si>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</si>
  <si>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</si>
  <si>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</si>
  <si>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</si>
  <si>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</si>
  <si>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</si>
  <si>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</si>
  <si>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</si>
  <si>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</si>
  <si>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</si>
  <si>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</si>
  <si>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</si>
  <si>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</si>
  <si>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</si>
  <si>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</si>
  <si>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</si>
  <si>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</si>
  <si>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</si>
  <si>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</si>
  <si>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</si>
  <si>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</si>
  <si>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</si>
  <si>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</si>
  <si>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</si>
  <si>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</si>
  <si>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</si>
  <si>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</si>
  <si>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</si>
  <si>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</si>
  <si>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</si>
  <si>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</si>
  <si>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</si>
  <si>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</si>
  <si>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</si>
  <si>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</si>
  <si>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</si>
  <si>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</si>
  <si>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</si>
  <si>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</si>
  <si>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</si>
  <si>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</si>
  <si>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</si>
  <si>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</si>
  <si>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</si>
  <si>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</si>
  <si>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</si>
  <si>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</si>
  <si>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</si>
  <si>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</si>
  <si>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</si>
  <si>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</si>
  <si>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</si>
  <si>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</si>
  <si>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</si>
  <si>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</si>
  <si>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</si>
  <si>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</si>
  <si>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</si>
  <si>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</si>
  <si>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</si>
  <si>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</si>
  <si>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</si>
  <si>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</si>
  <si>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</si>
  <si>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</si>
  <si>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</si>
  <si>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</si>
  <si>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</si>
  <si>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</si>
  <si>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</si>
  <si>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</si>
  <si>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</si>
  <si>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</si>
  <si>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</si>
  <si>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</si>
  <si>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</si>
  <si>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</si>
  <si>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</si>
  <si>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</si>
  <si>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</si>
  <si>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</si>
  <si>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</si>
  <si>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</si>
  <si>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</si>
  <si>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</si>
  <si>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</si>
  <si>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</si>
  <si>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</si>
  <si>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</si>
  <si>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</si>
  <si>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</si>
  <si>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</si>
  <si>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</si>
  <si>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</si>
  <si>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</si>
  <si>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</si>
  <si>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</si>
  <si>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</si>
  <si>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</si>
  <si>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</si>
  <si>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</si>
  <si>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</si>
  <si>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</si>
  <si>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</si>
  <si>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</si>
  <si>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</si>
  <si>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</si>
  <si>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</si>
  <si>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</si>
  <si>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</si>
  <si>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</si>
  <si>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</si>
  <si>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</si>
  <si>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</si>
  <si>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</si>
  <si>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</si>
  <si>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</si>
  <si>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</si>
  <si>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</si>
  <si>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</si>
  <si>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</si>
  <si>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</si>
  <si>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</si>
  <si>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</si>
  <si>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</si>
  <si>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</si>
  <si>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</si>
  <si>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</si>
  <si>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</si>
  <si>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</si>
  <si>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</si>
  <si>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</si>
  <si>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</si>
  <si>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</si>
  <si>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</si>
  <si>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</si>
  <si>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</si>
  <si>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</si>
  <si>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</si>
  <si>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</si>
  <si>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</si>
  <si>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</si>
  <si>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</si>
  <si>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</si>
  <si>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</si>
  <si>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</si>
  <si>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</si>
  <si>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Fluvius</t>
  </si>
  <si>
    <t>referentietaak LNE (2017); Jaarverslag De Lijn</t>
  </si>
  <si>
    <t>vzw Jessa Ziekenhuis</t>
  </si>
  <si>
    <t>Salvatorstraat 20, 3500 Hasselt</t>
  </si>
  <si>
    <t>WKK-0097 vzw Jessa Ziekenhuis (voorheen CAZ Midden-Limburg)</t>
  </si>
  <si>
    <t>interne verbrandingsmotor</t>
  </si>
  <si>
    <t>WKK interne verbrandinsgmotor (gas)</t>
  </si>
  <si>
    <t>Inter-Energa</t>
  </si>
  <si>
    <t>Roebben-Hendrickx</t>
  </si>
  <si>
    <t>Rapertingenstraat 5, 3500 Hasselt</t>
  </si>
  <si>
    <t>WKK-0093 Roebben-hendrickx</t>
  </si>
  <si>
    <t>Limburgs Galvano Technisch Bedrijf nv</t>
  </si>
  <si>
    <t>Albertkanaalstraat 139 , 3511 Kuringen</t>
  </si>
  <si>
    <t>WKK-0345 Limburgs Galvano Technisch Bedrijf</t>
  </si>
  <si>
    <t>Salvatorrusthuis VZW</t>
  </si>
  <si>
    <t>Ekkelgaarden 17 , 3500 Hasselt</t>
  </si>
  <si>
    <t>WKK-0387 Salvatorrusthuis</t>
  </si>
  <si>
    <t>Cordium cvba</t>
  </si>
  <si>
    <t>Gouverneur Roppesingel 133 , 3500 Hasselt</t>
  </si>
  <si>
    <t>WKK-0638 Cordium</t>
  </si>
  <si>
    <t>Broeker Winningstraat 1-0.03 , 3511 Kuringen</t>
  </si>
  <si>
    <t>WKK-0661 Zuidzicht fase 1</t>
  </si>
  <si>
    <t>Scheepvaartlaan 30 , 3500 Hasselt</t>
  </si>
  <si>
    <t>Aquafin NV</t>
  </si>
  <si>
    <t>Dijkstraat 8 , 2630 Aartselaar</t>
  </si>
  <si>
    <t>BGS-0002 RWZI Hasselt</t>
  </si>
  <si>
    <t>biogas - RWZI</t>
  </si>
  <si>
    <t>niet WKK interne verbrandingsmotor (gas)</t>
  </si>
  <si>
    <t>Rode-Rokstraat 200 , 3511 Hasselt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</si>
</sst>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547925.19990725932</c:v>
                </c:pt>
                <c:pt idx="1">
                  <c:v>463417.46118692559</c:v>
                </c:pt>
                <c:pt idx="2">
                  <c:v>5279.5950000000003</c:v>
                </c:pt>
                <c:pt idx="3">
                  <c:v>9799.467817959905</c:v>
                </c:pt>
                <c:pt idx="4">
                  <c:v>196141.56461193573</c:v>
                </c:pt>
                <c:pt idx="5">
                  <c:v>636149.62464276981</c:v>
                </c:pt>
                <c:pt idx="6">
                  <c:v>17069.775531586223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547925.19990725932</c:v>
                </c:pt>
                <c:pt idx="1">
                  <c:v>463417.46118692559</c:v>
                </c:pt>
                <c:pt idx="2">
                  <c:v>5279.5950000000003</c:v>
                </c:pt>
                <c:pt idx="3">
                  <c:v>9799.467817959905</c:v>
                </c:pt>
                <c:pt idx="4">
                  <c:v>196141.56461193573</c:v>
                </c:pt>
                <c:pt idx="5">
                  <c:v>636149.62464276981</c:v>
                </c:pt>
                <c:pt idx="6">
                  <c:v>17069.775531586223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105881.3404551784</c:v>
                </c:pt>
                <c:pt idx="2">
                  <c:v>92936.536038847407</c:v>
                </c:pt>
                <c:pt idx="3">
                  <c:v>1047.339684714771</c:v>
                </c:pt>
                <c:pt idx="4">
                  <c:v>2459.6050789806686</c:v>
                </c:pt>
                <c:pt idx="5">
                  <c:v>40030.209034423431</c:v>
                </c:pt>
                <c:pt idx="6">
                  <c:v>159178.76813618545</c:v>
                </c:pt>
                <c:pt idx="7">
                  <c:v>4312.7059126250733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105881.3404551784</c:v>
                </c:pt>
                <c:pt idx="2">
                  <c:v>92936.536038847407</c:v>
                </c:pt>
                <c:pt idx="3">
                  <c:v>1047.339684714771</c:v>
                </c:pt>
                <c:pt idx="4">
                  <c:v>2459.6050789806686</c:v>
                </c:pt>
                <c:pt idx="5">
                  <c:v>40030.209034423431</c:v>
                </c:pt>
                <c:pt idx="6">
                  <c:v>159178.76813618545</c:v>
                </c:pt>
                <c:pt idx="7">
                  <c:v>4312.7059126250733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651</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71022</v>
      </c>
      <c r="B6" s="390"/>
      <c r="C6" s="391"/>
    </row>
    <row r="7" spans="1:7" s="388" customFormat="1" ht="15.75" customHeight="1">
      <c r="A7" s="392" t="str">
        <f>txtMunicipality</f>
        <v>HASSELT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785</v>
      </c>
      <c r="B10" s="1063"/>
      <c r="C10" s="1064"/>
    </row>
    <row r="11" spans="1:7" s="382" customFormat="1" ht="15.75" thickBot="1">
      <c r="A11" s="405" t="s">
        <v>358</v>
      </c>
      <c r="B11" s="408"/>
      <c r="C11" s="409"/>
      <c r="G11" s="383"/>
    </row>
    <row r="12" spans="1:7">
      <c r="A12" s="44"/>
      <c r="B12" s="43"/>
      <c r="C12" s="96"/>
    </row>
    <row r="13" spans="1:7" s="382" customFormat="1">
      <c r="A13" s="752" t="s">
        <v>617</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723</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574</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577</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604</v>
      </c>
      <c r="B17" s="498">
        <f ca="1">'EF ele_warmte'!B12</f>
        <v>0.1983750050363278</v>
      </c>
      <c r="C17" s="498">
        <f ca="1">'EF ele_warmte'!B22</f>
        <v>0.23764705882352949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577</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595</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604</v>
      </c>
      <c r="B29" s="499">
        <f ca="1">'EF ele_warmte'!B12</f>
        <v>0.1983750050363278</v>
      </c>
      <c r="C29" s="499">
        <f ca="1">'EF ele_warmte'!B22</f>
        <v>0.23764705882352949</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565</v>
      </c>
      <c r="B10" s="501"/>
      <c r="C10" s="141" t="s">
        <v>181</v>
      </c>
      <c r="D10" s="144" t="s">
        <v>390</v>
      </c>
      <c r="I10" s="1187"/>
      <c r="K10" s="58"/>
    </row>
    <row r="11" spans="1:11" s="43" customFormat="1">
      <c r="A11" s="44" t="s">
        <v>566</v>
      </c>
      <c r="B11" s="47"/>
      <c r="D11" s="142" t="s">
        <v>391</v>
      </c>
      <c r="I11" s="1187"/>
      <c r="K11" s="58"/>
    </row>
    <row r="12" spans="1:11" s="43" customFormat="1">
      <c r="A12" s="44" t="s">
        <v>567</v>
      </c>
      <c r="B12" s="47"/>
      <c r="D12" s="142" t="s">
        <v>391</v>
      </c>
      <c r="I12" s="1187"/>
      <c r="K12" s="58"/>
    </row>
    <row r="13" spans="1:11" s="43" customFormat="1">
      <c r="A13" s="44"/>
      <c r="B13" s="451"/>
      <c r="D13" s="96"/>
      <c r="I13" s="1187"/>
    </row>
    <row r="14" spans="1:11" s="43" customFormat="1">
      <c r="A14" s="302" t="s">
        <v>564</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575</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565</v>
      </c>
      <c r="B31" s="501"/>
      <c r="C31" s="141" t="s">
        <v>181</v>
      </c>
      <c r="D31" s="144" t="s">
        <v>390</v>
      </c>
    </row>
    <row r="32" spans="1:11">
      <c r="A32" s="441" t="s">
        <v>566</v>
      </c>
      <c r="B32" s="47"/>
      <c r="C32" s="48"/>
      <c r="D32" s="142" t="s">
        <v>391</v>
      </c>
    </row>
    <row r="33" spans="1:11">
      <c r="A33" s="44"/>
      <c r="B33" s="48"/>
      <c r="C33" s="48"/>
      <c r="D33" s="142"/>
    </row>
    <row r="34" spans="1:11" s="43" customFormat="1">
      <c r="A34" s="302" t="s">
        <v>564</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568</v>
      </c>
      <c r="B50" s="47"/>
      <c r="C50" s="32"/>
      <c r="D50" s="143" t="s">
        <v>392</v>
      </c>
    </row>
    <row r="51" spans="1:4">
      <c r="A51" s="44" t="s">
        <v>569</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570</v>
      </c>
      <c r="B57" s="47"/>
      <c r="C57" s="32"/>
      <c r="D57" s="142" t="s">
        <v>154</v>
      </c>
    </row>
    <row r="58" spans="1:4">
      <c r="A58" s="44" t="s">
        <v>571</v>
      </c>
      <c r="B58" s="47"/>
      <c r="C58" s="32"/>
      <c r="D58" s="142" t="s">
        <v>155</v>
      </c>
    </row>
    <row r="59" spans="1:4">
      <c r="A59" s="44" t="s">
        <v>572</v>
      </c>
      <c r="B59" s="47"/>
      <c r="C59" s="48"/>
      <c r="D59" s="142" t="s">
        <v>388</v>
      </c>
    </row>
    <row r="60" spans="1:4">
      <c r="A60" s="44" t="s">
        <v>573</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590</v>
      </c>
      <c r="B1" s="633"/>
      <c r="C1" s="633"/>
      <c r="D1" s="633"/>
      <c r="E1" s="634"/>
    </row>
    <row r="2" spans="1:5">
      <c r="A2" s="645" t="s">
        <v>393</v>
      </c>
      <c r="B2" s="650" t="s">
        <v>513</v>
      </c>
      <c r="C2" s="646"/>
      <c r="D2" s="646"/>
      <c r="E2" s="647"/>
    </row>
    <row r="3" spans="1:5">
      <c r="A3" s="648"/>
      <c r="B3" s="649"/>
      <c r="C3" s="637"/>
      <c r="D3" s="637"/>
      <c r="E3" s="638"/>
    </row>
    <row r="4" spans="1:5" s="330" customFormat="1" ht="45">
      <c r="A4" s="636" t="s">
        <v>594</v>
      </c>
      <c r="B4" s="644" t="s">
        <v>583</v>
      </c>
      <c r="C4" s="665" t="s">
        <v>605</v>
      </c>
      <c r="D4" s="666" t="s">
        <v>606</v>
      </c>
      <c r="E4" s="667" t="s">
        <v>607</v>
      </c>
    </row>
    <row r="5" spans="1:5">
      <c r="A5" s="639" t="s">
        <v>584</v>
      </c>
      <c r="B5" s="631" t="s">
        <v>585</v>
      </c>
      <c r="C5" s="662">
        <v>3.678273E-2</v>
      </c>
      <c r="D5" s="663">
        <v>0.27778000000000003</v>
      </c>
      <c r="E5" s="655">
        <f>C5*D5</f>
        <v>1.0217506739400001E-2</v>
      </c>
    </row>
    <row r="6" spans="1:5">
      <c r="A6" s="639" t="s">
        <v>584</v>
      </c>
      <c r="B6" s="631" t="s">
        <v>586</v>
      </c>
      <c r="C6" s="662">
        <v>4.2278999999999997E-2</v>
      </c>
      <c r="D6" s="663">
        <v>0.27778000000000003</v>
      </c>
      <c r="E6" s="655">
        <f t="shared" ref="E6:E21" si="0">C6*D6</f>
        <v>1.174426062E-2</v>
      </c>
    </row>
    <row r="7" spans="1:5">
      <c r="A7" s="639" t="s">
        <v>584</v>
      </c>
      <c r="B7" s="631" t="s">
        <v>587</v>
      </c>
      <c r="C7" s="662">
        <v>42.279000000000003</v>
      </c>
      <c r="D7" s="663">
        <v>0.27778000000000003</v>
      </c>
      <c r="E7" s="655">
        <f t="shared" si="0"/>
        <v>11.744260620000002</v>
      </c>
    </row>
    <row r="8" spans="1:5">
      <c r="A8" s="639" t="s">
        <v>588</v>
      </c>
      <c r="B8" s="631" t="s">
        <v>585</v>
      </c>
      <c r="C8" s="662">
        <v>3.8573799999999998E-2</v>
      </c>
      <c r="D8" s="663">
        <v>0.27778000000000003</v>
      </c>
      <c r="E8" s="655">
        <f t="shared" si="0"/>
        <v>1.0715030164E-2</v>
      </c>
    </row>
    <row r="9" spans="1:5">
      <c r="A9" s="639" t="s">
        <v>588</v>
      </c>
      <c r="B9" s="631" t="s">
        <v>586</v>
      </c>
      <c r="C9" s="662">
        <v>4.0604000000000001E-2</v>
      </c>
      <c r="D9" s="663">
        <v>0.27778000000000003</v>
      </c>
      <c r="E9" s="655">
        <f t="shared" si="0"/>
        <v>1.1278979120000001E-2</v>
      </c>
    </row>
    <row r="10" spans="1:5">
      <c r="A10" s="639" t="s">
        <v>588</v>
      </c>
      <c r="B10" s="631" t="s">
        <v>587</v>
      </c>
      <c r="C10" s="662">
        <v>40.603999999999999</v>
      </c>
      <c r="D10" s="663">
        <v>0.27778000000000003</v>
      </c>
      <c r="E10" s="655">
        <f t="shared" si="0"/>
        <v>11.278979120000001</v>
      </c>
    </row>
    <row r="11" spans="1:5">
      <c r="A11" s="639" t="s">
        <v>608</v>
      </c>
      <c r="B11" s="631" t="s">
        <v>585</v>
      </c>
      <c r="C11" s="662">
        <v>2.3511000000000001E-2</v>
      </c>
      <c r="D11" s="663">
        <v>0.27778000000000003</v>
      </c>
      <c r="E11" s="655">
        <f t="shared" si="0"/>
        <v>6.5308855800000004E-3</v>
      </c>
    </row>
    <row r="12" spans="1:5">
      <c r="A12" s="639" t="s">
        <v>608</v>
      </c>
      <c r="B12" s="631" t="s">
        <v>586</v>
      </c>
      <c r="C12" s="662">
        <v>4.6100000000000002E-2</v>
      </c>
      <c r="D12" s="663">
        <v>0.27778000000000003</v>
      </c>
      <c r="E12" s="655">
        <f t="shared" si="0"/>
        <v>1.2805658000000001E-2</v>
      </c>
    </row>
    <row r="13" spans="1:5">
      <c r="A13" s="639" t="s">
        <v>608</v>
      </c>
      <c r="B13" s="631" t="s">
        <v>587</v>
      </c>
      <c r="C13" s="662">
        <v>46.1</v>
      </c>
      <c r="D13" s="663">
        <v>0.27778000000000003</v>
      </c>
      <c r="E13" s="655">
        <f t="shared" si="0"/>
        <v>12.805658000000001</v>
      </c>
    </row>
    <row r="14" spans="1:5">
      <c r="A14" s="639" t="s">
        <v>609</v>
      </c>
      <c r="B14" s="631" t="s">
        <v>585</v>
      </c>
      <c r="C14" s="662">
        <v>2.6525139999999999E-2</v>
      </c>
      <c r="D14" s="663">
        <v>0.27778000000000003</v>
      </c>
      <c r="E14" s="655">
        <f t="shared" si="0"/>
        <v>7.3681533892000009E-3</v>
      </c>
    </row>
    <row r="15" spans="1:5">
      <c r="A15" s="639" t="s">
        <v>609</v>
      </c>
      <c r="B15" s="631" t="s">
        <v>586</v>
      </c>
      <c r="C15" s="662">
        <v>4.5733000000000003E-2</v>
      </c>
      <c r="D15" s="663">
        <v>0.27778000000000003</v>
      </c>
      <c r="E15" s="655">
        <f t="shared" si="0"/>
        <v>1.2703712740000001E-2</v>
      </c>
    </row>
    <row r="16" spans="1:5">
      <c r="A16" s="639" t="s">
        <v>609</v>
      </c>
      <c r="B16" s="631" t="s">
        <v>587</v>
      </c>
      <c r="C16" s="662">
        <v>45.732999999999997</v>
      </c>
      <c r="D16" s="663">
        <v>0.27778000000000003</v>
      </c>
      <c r="E16" s="655">
        <f t="shared" si="0"/>
        <v>12.70371274</v>
      </c>
    </row>
    <row r="17" spans="1:10">
      <c r="A17" s="639" t="s">
        <v>592</v>
      </c>
      <c r="B17" s="631" t="s">
        <v>589</v>
      </c>
      <c r="C17" s="662">
        <v>3.2923000000000001E-2</v>
      </c>
      <c r="D17" s="663">
        <f>0.27778</f>
        <v>0.27778000000000003</v>
      </c>
      <c r="E17" s="655">
        <f t="shared" si="0"/>
        <v>9.1453509400000015E-3</v>
      </c>
    </row>
    <row r="18" spans="1:10">
      <c r="A18" s="639" t="s">
        <v>593</v>
      </c>
      <c r="B18" s="631" t="s">
        <v>589</v>
      </c>
      <c r="C18" s="662">
        <v>3.8852400000000002E-2</v>
      </c>
      <c r="D18" s="663">
        <f>0.27778</f>
        <v>0.27778000000000003</v>
      </c>
      <c r="E18" s="655">
        <f t="shared" si="0"/>
        <v>1.0792419672000002E-2</v>
      </c>
    </row>
    <row r="19" spans="1:10">
      <c r="A19" s="639" t="s">
        <v>596</v>
      </c>
      <c r="B19" s="631" t="s">
        <v>585</v>
      </c>
      <c r="C19" s="662">
        <v>2.4812460000000001E-2</v>
      </c>
      <c r="D19" s="663">
        <v>0.27778000000000003</v>
      </c>
      <c r="E19" s="655">
        <f t="shared" si="0"/>
        <v>6.8924051388000009E-3</v>
      </c>
    </row>
    <row r="20" spans="1:10">
      <c r="A20" s="639" t="s">
        <v>596</v>
      </c>
      <c r="B20" s="631" t="s">
        <v>586</v>
      </c>
      <c r="C20" s="662">
        <v>4.5948999999999997E-2</v>
      </c>
      <c r="D20" s="663">
        <v>0.27778000000000003</v>
      </c>
      <c r="E20" s="655">
        <f t="shared" si="0"/>
        <v>1.276371322E-2</v>
      </c>
    </row>
    <row r="21" spans="1:10">
      <c r="A21" s="639" t="s">
        <v>596</v>
      </c>
      <c r="B21" s="631" t="s">
        <v>587</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591</v>
      </c>
      <c r="B24" s="633"/>
      <c r="C24" s="633"/>
      <c r="D24" s="633"/>
      <c r="E24" s="634"/>
    </row>
    <row r="25" spans="1:10">
      <c r="A25" s="659" t="s">
        <v>393</v>
      </c>
      <c r="B25" s="1053" t="s">
        <v>867</v>
      </c>
      <c r="C25" s="637"/>
      <c r="D25" s="637"/>
      <c r="E25" s="638"/>
    </row>
    <row r="26" spans="1:10">
      <c r="A26" s="44"/>
      <c r="B26" s="43"/>
      <c r="C26" s="43"/>
      <c r="D26" s="43"/>
      <c r="E26" s="96"/>
    </row>
    <row r="27" spans="1:10" s="330" customFormat="1">
      <c r="A27" s="636" t="s">
        <v>594</v>
      </c>
      <c r="B27" s="644" t="s">
        <v>583</v>
      </c>
      <c r="C27" s="652"/>
      <c r="D27" s="651"/>
      <c r="E27" s="667" t="s">
        <v>598</v>
      </c>
    </row>
    <row r="28" spans="1:10">
      <c r="A28" s="639" t="s">
        <v>201</v>
      </c>
      <c r="B28" s="631" t="s">
        <v>585</v>
      </c>
      <c r="C28" s="653"/>
      <c r="D28" s="654"/>
      <c r="E28" s="661">
        <f>E29*0.84</f>
        <v>9.962166666666666E-3</v>
      </c>
      <c r="G28" s="635"/>
      <c r="H28" s="771"/>
      <c r="I28" s="771"/>
      <c r="J28" s="771"/>
    </row>
    <row r="29" spans="1:10">
      <c r="A29" s="639" t="s">
        <v>201</v>
      </c>
      <c r="B29" s="631" t="s">
        <v>586</v>
      </c>
      <c r="C29" s="653"/>
      <c r="D29" s="654"/>
      <c r="E29" s="661">
        <f>0.042695/3.6</f>
        <v>1.1859722222222221E-2</v>
      </c>
      <c r="F29" s="885"/>
      <c r="G29" s="635"/>
      <c r="H29" s="771"/>
      <c r="I29" s="771"/>
      <c r="J29" s="771"/>
    </row>
    <row r="30" spans="1:10">
      <c r="A30" s="639" t="s">
        <v>119</v>
      </c>
      <c r="B30" s="631" t="s">
        <v>585</v>
      </c>
      <c r="C30" s="653"/>
      <c r="D30" s="654"/>
      <c r="E30" s="661">
        <f>E31*0.75</f>
        <v>9.1195833333333337E-3</v>
      </c>
      <c r="H30" s="771"/>
      <c r="I30" s="771"/>
      <c r="J30" s="771"/>
    </row>
    <row r="31" spans="1:10">
      <c r="A31" s="639" t="s">
        <v>119</v>
      </c>
      <c r="B31" s="631" t="s">
        <v>586</v>
      </c>
      <c r="C31" s="653"/>
      <c r="D31" s="654"/>
      <c r="E31" s="661">
        <f>0.043774/3.6</f>
        <v>1.2159444444444445E-2</v>
      </c>
      <c r="H31" s="771"/>
      <c r="I31" s="771"/>
      <c r="J31" s="771"/>
    </row>
    <row r="32" spans="1:10">
      <c r="A32" s="639" t="s">
        <v>596</v>
      </c>
      <c r="B32" s="631" t="s">
        <v>585</v>
      </c>
      <c r="C32" s="653"/>
      <c r="D32" s="654"/>
      <c r="E32" s="661">
        <f>E33*0.52</f>
        <v>6.7259111111111118E-3</v>
      </c>
      <c r="H32" s="771"/>
    </row>
    <row r="33" spans="1:8">
      <c r="A33" s="639" t="s">
        <v>596</v>
      </c>
      <c r="B33" s="631" t="s">
        <v>586</v>
      </c>
      <c r="C33" s="653"/>
      <c r="D33" s="654"/>
      <c r="E33" s="661">
        <f>0.046564/3.6</f>
        <v>1.2934444444444445E-2</v>
      </c>
      <c r="H33" s="771"/>
    </row>
    <row r="34" spans="1:8">
      <c r="A34" s="639" t="s">
        <v>597</v>
      </c>
      <c r="B34" s="631" t="s">
        <v>585</v>
      </c>
      <c r="C34" s="653"/>
      <c r="D34" s="654"/>
      <c r="E34" s="661">
        <f>E35*0.175</f>
        <v>2.3333333333333331E-3</v>
      </c>
      <c r="H34" s="771"/>
    </row>
    <row r="35" spans="1:8">
      <c r="A35" s="639" t="s">
        <v>597</v>
      </c>
      <c r="B35" s="631" t="s">
        <v>586</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610</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726</v>
      </c>
      <c r="C21" s="131" t="s">
        <v>578</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547</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547</v>
      </c>
      <c r="B4" s="330"/>
      <c r="C4" s="330"/>
      <c r="D4" s="330"/>
      <c r="E4" s="330"/>
      <c r="F4" s="330"/>
    </row>
    <row r="5" spans="1:6" ht="22.5">
      <c r="A5" s="1284" t="s">
        <v>548</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34807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628</v>
      </c>
      <c r="D12" s="331"/>
      <c r="E12" s="331"/>
      <c r="F12" s="335"/>
    </row>
    <row r="13" spans="1:6" ht="16.5" thickTop="1" thickBot="1">
      <c r="A13" s="1290" t="s">
        <v>4</v>
      </c>
      <c r="B13" s="1291" t="s">
        <v>5</v>
      </c>
      <c r="C13" s="1291"/>
      <c r="D13" s="1291"/>
      <c r="E13" s="1291"/>
      <c r="F13" s="1292"/>
    </row>
    <row r="14" spans="1:6">
      <c r="A14" s="1293" t="s">
        <v>677</v>
      </c>
      <c r="B14" s="1294">
        <v>3100.65</v>
      </c>
      <c r="C14" s="330"/>
      <c r="D14" s="330"/>
      <c r="E14" s="330"/>
      <c r="F14" s="330"/>
    </row>
    <row r="15" spans="1:6">
      <c r="A15" s="1293" t="s">
        <v>183</v>
      </c>
      <c r="B15" s="1294">
        <v>3920</v>
      </c>
      <c r="C15" s="330"/>
      <c r="D15" s="330"/>
      <c r="E15" s="330"/>
      <c r="F15" s="330"/>
    </row>
    <row r="16" spans="1:6">
      <c r="A16" s="1293" t="s">
        <v>6</v>
      </c>
      <c r="B16" s="1294">
        <v>570</v>
      </c>
      <c r="C16" s="330"/>
      <c r="D16" s="330"/>
      <c r="E16" s="330"/>
      <c r="F16" s="330"/>
    </row>
    <row r="17" spans="1:6">
      <c r="A17" s="1293" t="s">
        <v>7</v>
      </c>
      <c r="B17" s="1294">
        <v>383</v>
      </c>
      <c r="C17" s="330"/>
      <c r="D17" s="330"/>
      <c r="E17" s="330"/>
      <c r="F17" s="330"/>
    </row>
    <row r="18" spans="1:6">
      <c r="A18" s="1293" t="s">
        <v>8</v>
      </c>
      <c r="B18" s="1294">
        <v>627</v>
      </c>
      <c r="C18" s="330"/>
      <c r="D18" s="330"/>
      <c r="E18" s="330"/>
      <c r="F18" s="330"/>
    </row>
    <row r="19" spans="1:6">
      <c r="A19" s="1293" t="s">
        <v>9</v>
      </c>
      <c r="B19" s="1294">
        <v>573</v>
      </c>
      <c r="C19" s="330"/>
      <c r="D19" s="330"/>
      <c r="E19" s="330"/>
      <c r="F19" s="330"/>
    </row>
    <row r="20" spans="1:6">
      <c r="A20" s="1293" t="s">
        <v>10</v>
      </c>
      <c r="B20" s="1294">
        <v>497</v>
      </c>
      <c r="C20" s="330"/>
      <c r="D20" s="330"/>
      <c r="E20" s="330"/>
      <c r="F20" s="330"/>
    </row>
    <row r="21" spans="1:6">
      <c r="A21" s="1293" t="s">
        <v>11</v>
      </c>
      <c r="B21" s="1294">
        <v>1088</v>
      </c>
      <c r="C21" s="330"/>
      <c r="D21" s="330"/>
      <c r="E21" s="330"/>
      <c r="F21" s="330"/>
    </row>
    <row r="22" spans="1:6">
      <c r="A22" s="1293" t="s">
        <v>12</v>
      </c>
      <c r="B22" s="1294">
        <v>4095</v>
      </c>
      <c r="C22" s="330"/>
      <c r="D22" s="330"/>
      <c r="E22" s="330"/>
      <c r="F22" s="330"/>
    </row>
    <row r="23" spans="1:6">
      <c r="A23" s="1293" t="s">
        <v>13</v>
      </c>
      <c r="B23" s="1294">
        <v>47</v>
      </c>
      <c r="C23" s="330"/>
      <c r="D23" s="330"/>
      <c r="E23" s="330"/>
      <c r="F23" s="330"/>
    </row>
    <row r="24" spans="1:6">
      <c r="A24" s="1293" t="s">
        <v>14</v>
      </c>
      <c r="B24" s="1294">
        <v>3</v>
      </c>
      <c r="C24" s="330"/>
      <c r="D24" s="330"/>
      <c r="E24" s="330"/>
      <c r="F24" s="330"/>
    </row>
    <row r="25" spans="1:6">
      <c r="A25" s="1293" t="s">
        <v>15</v>
      </c>
      <c r="B25" s="1294">
        <v>328</v>
      </c>
      <c r="C25" s="330"/>
      <c r="D25" s="330"/>
      <c r="E25" s="330"/>
      <c r="F25" s="330"/>
    </row>
    <row r="26" spans="1:6">
      <c r="A26" s="1293" t="s">
        <v>16</v>
      </c>
      <c r="B26" s="1294">
        <v>775</v>
      </c>
      <c r="C26" s="330"/>
      <c r="D26" s="330"/>
      <c r="E26" s="330"/>
      <c r="F26" s="330"/>
    </row>
    <row r="27" spans="1:6">
      <c r="A27" s="1293" t="s">
        <v>17</v>
      </c>
      <c r="B27" s="1294">
        <v>316</v>
      </c>
      <c r="C27" s="330"/>
      <c r="D27" s="330"/>
      <c r="E27" s="330"/>
      <c r="F27" s="330"/>
    </row>
    <row r="28" spans="1:6" s="43" customFormat="1">
      <c r="A28" s="1295" t="s">
        <v>18</v>
      </c>
      <c r="B28" s="1296">
        <v>50247</v>
      </c>
      <c r="C28" s="336"/>
      <c r="D28" s="336"/>
      <c r="E28" s="336"/>
      <c r="F28" s="336"/>
    </row>
    <row r="29" spans="1:6">
      <c r="A29" s="1295" t="s">
        <v>736</v>
      </c>
      <c r="B29" s="1296">
        <v>445</v>
      </c>
      <c r="C29" s="336"/>
      <c r="D29" s="336"/>
      <c r="E29" s="336"/>
      <c r="F29" s="336"/>
    </row>
    <row r="30" spans="1:6">
      <c r="A30" s="1288" t="s">
        <v>737</v>
      </c>
      <c r="B30" s="1297">
        <v>134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64</v>
      </c>
      <c r="D36" s="1294">
        <v>12645402.995999999</v>
      </c>
      <c r="E36" s="1294">
        <v>254</v>
      </c>
      <c r="F36" s="1294">
        <v>8747329.1610000003</v>
      </c>
    </row>
    <row r="37" spans="1:6">
      <c r="A37" s="1293" t="s">
        <v>24</v>
      </c>
      <c r="B37" s="1293" t="s">
        <v>27</v>
      </c>
      <c r="C37" s="1294">
        <v>0</v>
      </c>
      <c r="D37" s="1294">
        <v>0</v>
      </c>
      <c r="E37" s="1294">
        <v>0</v>
      </c>
      <c r="F37" s="1294">
        <v>0</v>
      </c>
    </row>
    <row r="38" spans="1:6">
      <c r="A38" s="1293" t="s">
        <v>24</v>
      </c>
      <c r="B38" s="1293" t="s">
        <v>28</v>
      </c>
      <c r="C38" s="1294">
        <v>2</v>
      </c>
      <c r="D38" s="1294">
        <v>3323960</v>
      </c>
      <c r="E38" s="1294">
        <v>2</v>
      </c>
      <c r="F38" s="1294">
        <v>530166</v>
      </c>
    </row>
    <row r="39" spans="1:6">
      <c r="A39" s="1293" t="s">
        <v>29</v>
      </c>
      <c r="B39" s="1293" t="s">
        <v>30</v>
      </c>
      <c r="C39" s="1294">
        <v>23366</v>
      </c>
      <c r="D39" s="1294">
        <v>322156268.25</v>
      </c>
      <c r="E39" s="1294">
        <v>35089</v>
      </c>
      <c r="F39" s="1294">
        <v>109962459.683</v>
      </c>
    </row>
    <row r="40" spans="1:6">
      <c r="A40" s="1293" t="s">
        <v>29</v>
      </c>
      <c r="B40" s="1293" t="s">
        <v>28</v>
      </c>
      <c r="C40" s="1294">
        <v>1</v>
      </c>
      <c r="D40" s="1294">
        <v>61567</v>
      </c>
      <c r="E40" s="1294">
        <v>0</v>
      </c>
      <c r="F40" s="1294">
        <v>0</v>
      </c>
    </row>
    <row r="41" spans="1:6">
      <c r="A41" s="1293" t="s">
        <v>31</v>
      </c>
      <c r="B41" s="1293" t="s">
        <v>32</v>
      </c>
      <c r="C41" s="1294">
        <v>370</v>
      </c>
      <c r="D41" s="1294">
        <v>29894749.190000001</v>
      </c>
      <c r="E41" s="1294">
        <v>703</v>
      </c>
      <c r="F41" s="1294">
        <v>25075994.859999999</v>
      </c>
    </row>
    <row r="42" spans="1:6">
      <c r="A42" s="1293" t="s">
        <v>31</v>
      </c>
      <c r="B42" s="1293" t="s">
        <v>33</v>
      </c>
      <c r="C42" s="1294">
        <v>5</v>
      </c>
      <c r="D42" s="1294">
        <v>508231</v>
      </c>
      <c r="E42" s="1294">
        <v>7</v>
      </c>
      <c r="F42" s="1294">
        <v>1641004</v>
      </c>
    </row>
    <row r="43" spans="1:6">
      <c r="A43" s="1293" t="s">
        <v>31</v>
      </c>
      <c r="B43" s="1293" t="s">
        <v>34</v>
      </c>
      <c r="C43" s="1294">
        <v>0</v>
      </c>
      <c r="D43" s="1294">
        <v>0</v>
      </c>
      <c r="E43" s="1294">
        <v>0</v>
      </c>
      <c r="F43" s="1294">
        <v>0</v>
      </c>
    </row>
    <row r="44" spans="1:6">
      <c r="A44" s="1293" t="s">
        <v>31</v>
      </c>
      <c r="B44" s="1293" t="s">
        <v>35</v>
      </c>
      <c r="C44" s="1294">
        <v>34</v>
      </c>
      <c r="D44" s="1294">
        <v>4379430.7719999999</v>
      </c>
      <c r="E44" s="1294">
        <v>107</v>
      </c>
      <c r="F44" s="1294">
        <v>4045476.4449999998</v>
      </c>
    </row>
    <row r="45" spans="1:6">
      <c r="A45" s="1293" t="s">
        <v>31</v>
      </c>
      <c r="B45" s="1293" t="s">
        <v>36</v>
      </c>
      <c r="C45" s="1294">
        <v>7</v>
      </c>
      <c r="D45" s="1294">
        <v>63383030</v>
      </c>
      <c r="E45" s="1294">
        <v>16</v>
      </c>
      <c r="F45" s="1294">
        <v>12602013</v>
      </c>
    </row>
    <row r="46" spans="1:6">
      <c r="A46" s="1293" t="s">
        <v>31</v>
      </c>
      <c r="B46" s="1293" t="s">
        <v>37</v>
      </c>
      <c r="C46" s="1294">
        <v>0</v>
      </c>
      <c r="D46" s="1294">
        <v>0</v>
      </c>
      <c r="E46" s="1294">
        <v>0</v>
      </c>
      <c r="F46" s="1294">
        <v>0</v>
      </c>
    </row>
    <row r="47" spans="1:6">
      <c r="A47" s="1293" t="s">
        <v>31</v>
      </c>
      <c r="B47" s="1293" t="s">
        <v>38</v>
      </c>
      <c r="C47" s="1294">
        <v>19</v>
      </c>
      <c r="D47" s="1294">
        <v>1246153.128</v>
      </c>
      <c r="E47" s="1294">
        <v>23</v>
      </c>
      <c r="F47" s="1294">
        <v>1472229</v>
      </c>
    </row>
    <row r="48" spans="1:6">
      <c r="A48" s="1293" t="s">
        <v>31</v>
      </c>
      <c r="B48" s="1293" t="s">
        <v>28</v>
      </c>
      <c r="C48" s="1294">
        <v>1</v>
      </c>
      <c r="D48" s="1294">
        <v>28731</v>
      </c>
      <c r="E48" s="1294">
        <v>2</v>
      </c>
      <c r="F48" s="1294">
        <v>86022</v>
      </c>
    </row>
    <row r="49" spans="1:6">
      <c r="A49" s="1293" t="s">
        <v>31</v>
      </c>
      <c r="B49" s="1293" t="s">
        <v>39</v>
      </c>
      <c r="C49" s="1294">
        <v>13</v>
      </c>
      <c r="D49" s="1294">
        <v>314607</v>
      </c>
      <c r="E49" s="1294">
        <v>20</v>
      </c>
      <c r="F49" s="1294">
        <v>169873.55</v>
      </c>
    </row>
    <row r="50" spans="1:6">
      <c r="A50" s="1293" t="s">
        <v>31</v>
      </c>
      <c r="B50" s="1293" t="s">
        <v>40</v>
      </c>
      <c r="C50" s="1294">
        <v>43</v>
      </c>
      <c r="D50" s="1294">
        <v>10669044.529999999</v>
      </c>
      <c r="E50" s="1294">
        <v>63</v>
      </c>
      <c r="F50" s="1294">
        <v>11800773.463</v>
      </c>
    </row>
    <row r="51" spans="1:6">
      <c r="A51" s="1293" t="s">
        <v>41</v>
      </c>
      <c r="B51" s="1293" t="s">
        <v>42</v>
      </c>
      <c r="C51" s="1294">
        <v>14</v>
      </c>
      <c r="D51" s="1294">
        <v>1059766</v>
      </c>
      <c r="E51" s="1294">
        <v>103</v>
      </c>
      <c r="F51" s="1294">
        <v>1656029.706</v>
      </c>
    </row>
    <row r="52" spans="1:6">
      <c r="A52" s="1293" t="s">
        <v>41</v>
      </c>
      <c r="B52" s="1293" t="s">
        <v>28</v>
      </c>
      <c r="C52" s="1294">
        <v>0</v>
      </c>
      <c r="D52" s="1294">
        <v>0</v>
      </c>
      <c r="E52" s="1294">
        <v>0</v>
      </c>
      <c r="F52" s="1294">
        <v>0</v>
      </c>
    </row>
    <row r="53" spans="1:6">
      <c r="A53" s="1293" t="s">
        <v>43</v>
      </c>
      <c r="B53" s="1293" t="s">
        <v>44</v>
      </c>
      <c r="C53" s="1294">
        <v>440</v>
      </c>
      <c r="D53" s="1294">
        <v>21708259.901999999</v>
      </c>
      <c r="E53" s="1294">
        <v>1155</v>
      </c>
      <c r="F53" s="1294">
        <v>8675144.0580000002</v>
      </c>
    </row>
    <row r="54" spans="1:6">
      <c r="A54" s="1293" t="s">
        <v>45</v>
      </c>
      <c r="B54" s="1293" t="s">
        <v>46</v>
      </c>
      <c r="C54" s="1294">
        <v>0</v>
      </c>
      <c r="D54" s="1294">
        <v>0</v>
      </c>
      <c r="E54" s="1294">
        <v>3</v>
      </c>
      <c r="F54" s="1294">
        <v>5279595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317</v>
      </c>
      <c r="D57" s="1294">
        <v>19562204.493999999</v>
      </c>
      <c r="E57" s="1294">
        <v>574</v>
      </c>
      <c r="F57" s="1294">
        <v>17037781.528999999</v>
      </c>
    </row>
    <row r="58" spans="1:6">
      <c r="A58" s="1293" t="s">
        <v>48</v>
      </c>
      <c r="B58" s="1293" t="s">
        <v>50</v>
      </c>
      <c r="C58" s="1294">
        <v>292</v>
      </c>
      <c r="D58" s="1294">
        <v>41769390.700999998</v>
      </c>
      <c r="E58" s="1294">
        <v>434</v>
      </c>
      <c r="F58" s="1294">
        <v>18091102.739</v>
      </c>
    </row>
    <row r="59" spans="1:6">
      <c r="A59" s="1293" t="s">
        <v>48</v>
      </c>
      <c r="B59" s="1293" t="s">
        <v>51</v>
      </c>
      <c r="C59" s="1294">
        <v>784</v>
      </c>
      <c r="D59" s="1294">
        <v>41671272.210000001</v>
      </c>
      <c r="E59" s="1294">
        <v>1434</v>
      </c>
      <c r="F59" s="1294">
        <v>63750856.927000001</v>
      </c>
    </row>
    <row r="60" spans="1:6">
      <c r="A60" s="1293" t="s">
        <v>48</v>
      </c>
      <c r="B60" s="1293" t="s">
        <v>52</v>
      </c>
      <c r="C60" s="1294">
        <v>367</v>
      </c>
      <c r="D60" s="1294">
        <v>23849109.412999999</v>
      </c>
      <c r="E60" s="1294">
        <v>501</v>
      </c>
      <c r="F60" s="1294">
        <v>20219359.460999999</v>
      </c>
    </row>
    <row r="61" spans="1:6">
      <c r="A61" s="1293" t="s">
        <v>48</v>
      </c>
      <c r="B61" s="1293" t="s">
        <v>53</v>
      </c>
      <c r="C61" s="1294">
        <v>1149</v>
      </c>
      <c r="D61" s="1294">
        <v>74127320.353</v>
      </c>
      <c r="E61" s="1294">
        <v>2154</v>
      </c>
      <c r="F61" s="1294">
        <v>69847180.996999994</v>
      </c>
    </row>
    <row r="62" spans="1:6">
      <c r="A62" s="1293" t="s">
        <v>48</v>
      </c>
      <c r="B62" s="1293" t="s">
        <v>54</v>
      </c>
      <c r="C62" s="1294">
        <v>135</v>
      </c>
      <c r="D62" s="1294">
        <v>35836349.505999997</v>
      </c>
      <c r="E62" s="1294">
        <v>126</v>
      </c>
      <c r="F62" s="1294">
        <v>11556576.244999999</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1</v>
      </c>
      <c r="D65" s="1294">
        <v>16876</v>
      </c>
      <c r="E65" s="1294">
        <v>2</v>
      </c>
      <c r="F65" s="1294">
        <v>45103.862999999998</v>
      </c>
    </row>
    <row r="66" spans="1:6">
      <c r="A66" s="1293" t="s">
        <v>55</v>
      </c>
      <c r="B66" s="1293" t="s">
        <v>57</v>
      </c>
      <c r="C66" s="1294">
        <v>3</v>
      </c>
      <c r="D66" s="1294">
        <v>1728585.59</v>
      </c>
      <c r="E66" s="1294">
        <v>88</v>
      </c>
      <c r="F66" s="1294">
        <v>3591374.2439999999</v>
      </c>
    </row>
    <row r="67" spans="1:6">
      <c r="A67" s="1295" t="s">
        <v>55</v>
      </c>
      <c r="B67" s="1295" t="s">
        <v>58</v>
      </c>
      <c r="C67" s="1294">
        <v>0</v>
      </c>
      <c r="D67" s="1294">
        <v>0</v>
      </c>
      <c r="E67" s="1294">
        <v>0</v>
      </c>
      <c r="F67" s="1294">
        <v>0</v>
      </c>
    </row>
    <row r="68" spans="1:6">
      <c r="A68" s="1288" t="s">
        <v>55</v>
      </c>
      <c r="B68" s="1288" t="s">
        <v>59</v>
      </c>
      <c r="C68" s="1297">
        <v>15</v>
      </c>
      <c r="D68" s="1297">
        <v>1784691.051</v>
      </c>
      <c r="E68" s="1297">
        <v>40</v>
      </c>
      <c r="F68" s="1297">
        <v>1096680.5859999999</v>
      </c>
    </row>
    <row r="69" spans="1:6" ht="15.75" thickBot="1">
      <c r="A69" s="334"/>
      <c r="B69" s="330"/>
      <c r="C69" s="330"/>
      <c r="D69" s="330"/>
      <c r="E69" s="330"/>
      <c r="F69" s="330"/>
    </row>
    <row r="70" spans="1:6" ht="19.5">
      <c r="A70" s="1285" t="s">
        <v>60</v>
      </c>
      <c r="B70" s="331" t="s">
        <v>403</v>
      </c>
      <c r="C70" s="331" t="s">
        <v>691</v>
      </c>
      <c r="D70" s="331"/>
      <c r="E70" s="331"/>
      <c r="F70" s="335"/>
    </row>
    <row r="71" spans="1:6" ht="20.25" thickBot="1">
      <c r="A71" s="1304"/>
      <c r="B71" s="337"/>
      <c r="C71" s="337"/>
      <c r="D71" s="338" t="s">
        <v>441</v>
      </c>
      <c r="E71" s="337"/>
      <c r="F71" s="339"/>
    </row>
    <row r="72" spans="1:6" ht="16.5" thickTop="1" thickBot="1">
      <c r="A72" s="1290" t="s">
        <v>61</v>
      </c>
      <c r="B72" s="1291" t="s">
        <v>62</v>
      </c>
      <c r="C72" s="1305" t="s">
        <v>675</v>
      </c>
      <c r="D72" s="1306"/>
      <c r="E72" s="1306"/>
      <c r="F72" s="1292"/>
    </row>
    <row r="73" spans="1:6">
      <c r="A73" s="1293" t="s">
        <v>63</v>
      </c>
      <c r="B73" s="1293" t="s">
        <v>657</v>
      </c>
      <c r="C73" s="1307" t="s">
        <v>659</v>
      </c>
      <c r="D73" s="1308">
        <v>386456377</v>
      </c>
      <c r="E73" s="449"/>
      <c r="F73" s="330"/>
    </row>
    <row r="74" spans="1:6">
      <c r="A74" s="1293" t="s">
        <v>63</v>
      </c>
      <c r="B74" s="1293" t="s">
        <v>658</v>
      </c>
      <c r="C74" s="1307" t="s">
        <v>660</v>
      </c>
      <c r="D74" s="1308">
        <v>27545822.5</v>
      </c>
      <c r="E74" s="449"/>
      <c r="F74" s="330"/>
    </row>
    <row r="75" spans="1:6">
      <c r="A75" s="1293" t="s">
        <v>64</v>
      </c>
      <c r="B75" s="1293" t="s">
        <v>657</v>
      </c>
      <c r="C75" s="1307" t="s">
        <v>661</v>
      </c>
      <c r="D75" s="1308">
        <v>107510524</v>
      </c>
      <c r="E75" s="449"/>
      <c r="F75" s="330"/>
    </row>
    <row r="76" spans="1:6">
      <c r="A76" s="1293" t="s">
        <v>64</v>
      </c>
      <c r="B76" s="1293" t="s">
        <v>658</v>
      </c>
      <c r="C76" s="1307" t="s">
        <v>662</v>
      </c>
      <c r="D76" s="1308">
        <v>443515.5</v>
      </c>
      <c r="E76" s="449"/>
      <c r="F76" s="330"/>
    </row>
    <row r="77" spans="1:6">
      <c r="A77" s="1293" t="s">
        <v>65</v>
      </c>
      <c r="B77" s="1293" t="s">
        <v>657</v>
      </c>
      <c r="C77" s="1307" t="s">
        <v>663</v>
      </c>
      <c r="D77" s="1308">
        <v>236145299</v>
      </c>
      <c r="E77" s="449"/>
      <c r="F77" s="330"/>
    </row>
    <row r="78" spans="1:6">
      <c r="A78" s="1288" t="s">
        <v>65</v>
      </c>
      <c r="B78" s="1288" t="s">
        <v>658</v>
      </c>
      <c r="C78" s="1288" t="s">
        <v>664</v>
      </c>
      <c r="D78" s="1309">
        <v>24363427</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4655469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549</v>
      </c>
      <c r="B89" s="1294">
        <v>0</v>
      </c>
      <c r="C89" s="330"/>
      <c r="D89" s="330"/>
      <c r="E89" s="330"/>
      <c r="F89" s="330"/>
    </row>
    <row r="90" spans="1:6">
      <c r="A90" s="1293" t="s">
        <v>550</v>
      </c>
      <c r="B90" s="1294">
        <v>14813.053877189835</v>
      </c>
      <c r="C90" s="330"/>
      <c r="D90" s="330"/>
      <c r="E90" s="330"/>
      <c r="F90" s="330"/>
    </row>
    <row r="91" spans="1:6">
      <c r="A91" s="1293" t="s">
        <v>67</v>
      </c>
      <c r="B91" s="1294">
        <v>14983.123430949518</v>
      </c>
      <c r="C91" s="330"/>
      <c r="D91" s="330"/>
      <c r="E91" s="330"/>
      <c r="F91" s="330"/>
    </row>
    <row r="92" spans="1:6">
      <c r="A92" s="1288" t="s">
        <v>68</v>
      </c>
      <c r="B92" s="1289">
        <v>10264.209218352724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12607</v>
      </c>
      <c r="C97" s="330"/>
      <c r="D97" s="330"/>
      <c r="E97" s="330"/>
      <c r="F97" s="330"/>
    </row>
    <row r="98" spans="1:6">
      <c r="A98" s="1293" t="s">
        <v>71</v>
      </c>
      <c r="B98" s="1294">
        <v>2</v>
      </c>
      <c r="C98" s="330"/>
      <c r="D98" s="330"/>
      <c r="E98" s="330"/>
      <c r="F98" s="330"/>
    </row>
    <row r="99" spans="1:6">
      <c r="A99" s="1293" t="s">
        <v>72</v>
      </c>
      <c r="B99" s="1294">
        <v>137</v>
      </c>
      <c r="C99" s="330"/>
      <c r="D99" s="330"/>
      <c r="E99" s="330"/>
      <c r="F99" s="330"/>
    </row>
    <row r="100" spans="1:6">
      <c r="A100" s="1293" t="s">
        <v>73</v>
      </c>
      <c r="B100" s="1294">
        <v>1808</v>
      </c>
      <c r="C100" s="330"/>
      <c r="D100" s="330"/>
      <c r="E100" s="330"/>
      <c r="F100" s="330"/>
    </row>
    <row r="101" spans="1:6">
      <c r="A101" s="1293" t="s">
        <v>74</v>
      </c>
      <c r="B101" s="1294">
        <v>132</v>
      </c>
      <c r="C101" s="330"/>
      <c r="D101" s="330"/>
      <c r="E101" s="330"/>
      <c r="F101" s="330"/>
    </row>
    <row r="102" spans="1:6">
      <c r="A102" s="1293" t="s">
        <v>75</v>
      </c>
      <c r="B102" s="1294">
        <v>416</v>
      </c>
      <c r="C102" s="330"/>
      <c r="D102" s="330"/>
      <c r="E102" s="330"/>
      <c r="F102" s="330"/>
    </row>
    <row r="103" spans="1:6">
      <c r="A103" s="1293" t="s">
        <v>76</v>
      </c>
      <c r="B103" s="1294">
        <v>298</v>
      </c>
      <c r="C103" s="330"/>
      <c r="D103" s="330"/>
      <c r="E103" s="330"/>
      <c r="F103" s="330"/>
    </row>
    <row r="104" spans="1:6">
      <c r="A104" s="1293" t="s">
        <v>77</v>
      </c>
      <c r="B104" s="1294">
        <v>12509</v>
      </c>
      <c r="C104" s="330"/>
      <c r="D104" s="330"/>
      <c r="E104" s="330"/>
      <c r="F104" s="330"/>
    </row>
    <row r="105" spans="1:6">
      <c r="A105" s="1288" t="s">
        <v>78</v>
      </c>
      <c r="B105" s="1297">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646</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647</v>
      </c>
      <c r="B110" s="1294">
        <v>0</v>
      </c>
      <c r="C110" s="330"/>
      <c r="D110" s="330"/>
      <c r="E110" s="330"/>
      <c r="F110" s="330"/>
    </row>
    <row r="111" spans="1:6">
      <c r="A111" s="1314" t="s">
        <v>648</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2</v>
      </c>
      <c r="C121" s="1294">
        <v>0</v>
      </c>
      <c r="D121" s="330"/>
      <c r="E121" s="330"/>
      <c r="F121" s="330"/>
    </row>
    <row r="122" spans="1:6">
      <c r="A122" s="1293" t="s">
        <v>86</v>
      </c>
      <c r="B122" s="1294">
        <v>0</v>
      </c>
      <c r="C122" s="1294">
        <v>0</v>
      </c>
      <c r="D122" s="330"/>
      <c r="E122" s="330"/>
      <c r="F122" s="330"/>
    </row>
    <row r="123" spans="1:6">
      <c r="A123" s="1293" t="s">
        <v>87</v>
      </c>
      <c r="B123" s="1294">
        <v>110</v>
      </c>
      <c r="C123" s="1294">
        <v>154</v>
      </c>
      <c r="D123" s="330"/>
      <c r="E123" s="330"/>
      <c r="F123" s="330"/>
    </row>
    <row r="124" spans="1:6" s="43" customFormat="1">
      <c r="A124" s="1295" t="s">
        <v>88</v>
      </c>
      <c r="B124" s="1316">
        <v>4</v>
      </c>
      <c r="C124" s="1316">
        <v>7</v>
      </c>
      <c r="D124" s="336"/>
      <c r="E124" s="336"/>
      <c r="F124" s="336"/>
    </row>
    <row r="125" spans="1:6">
      <c r="A125" s="1288" t="s">
        <v>884</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562</v>
      </c>
      <c r="C129" s="330"/>
      <c r="D129" s="330"/>
      <c r="E129" s="330"/>
      <c r="F129" s="330"/>
    </row>
    <row r="130" spans="1:6">
      <c r="A130" s="1293" t="s">
        <v>294</v>
      </c>
      <c r="B130" s="1294">
        <v>8</v>
      </c>
      <c r="C130" s="330"/>
      <c r="D130" s="330"/>
      <c r="E130" s="330"/>
      <c r="F130" s="330"/>
    </row>
    <row r="131" spans="1:6">
      <c r="A131" s="1293" t="s">
        <v>295</v>
      </c>
      <c r="B131" s="1294">
        <v>10</v>
      </c>
      <c r="C131" s="330"/>
      <c r="D131" s="330"/>
      <c r="E131" s="330"/>
      <c r="F131" s="330"/>
    </row>
    <row r="132" spans="1:6">
      <c r="A132" s="1288" t="s">
        <v>296</v>
      </c>
      <c r="B132" s="1289">
        <v>99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727</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727</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728</v>
      </c>
      <c r="B44" s="506"/>
      <c r="E44" s="635"/>
      <c r="F44" s="635"/>
    </row>
    <row r="45" spans="1:14">
      <c r="A45" s="44"/>
      <c r="B45" s="506"/>
      <c r="E45" s="635"/>
      <c r="F45" s="635"/>
    </row>
    <row r="46" spans="1:14" ht="18">
      <c r="A46" s="137" t="s">
        <v>189</v>
      </c>
      <c r="B46" s="507" t="s">
        <v>576</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627</v>
      </c>
      <c r="B1" s="520"/>
      <c r="C1" s="521"/>
    </row>
    <row r="2" spans="1:3" s="330" customFormat="1">
      <c r="A2" s="370"/>
      <c r="B2" s="486"/>
      <c r="C2" s="523"/>
    </row>
    <row r="3" spans="1:3" s="330" customFormat="1">
      <c r="A3" s="368"/>
      <c r="B3" s="524">
        <v>2016</v>
      </c>
      <c r="C3" s="371" t="s">
        <v>181</v>
      </c>
    </row>
    <row r="4" spans="1:3">
      <c r="A4" s="120" t="s">
        <v>300</v>
      </c>
      <c r="B4" s="525">
        <v>4382.187123964326</v>
      </c>
      <c r="C4" s="139" t="s">
        <v>729</v>
      </c>
    </row>
    <row r="5" spans="1:3" ht="15.75" thickBot="1">
      <c r="A5" s="900" t="s">
        <v>626</v>
      </c>
      <c r="B5" s="908">
        <v>673536</v>
      </c>
      <c r="C5" s="909" t="s">
        <v>676</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656</v>
      </c>
      <c r="B6" s="414" t="s">
        <v>725</v>
      </c>
      <c r="C6" s="415" t="s">
        <v>357</v>
      </c>
    </row>
    <row r="7" spans="1:3" s="330" customFormat="1">
      <c r="A7" s="895" t="s">
        <v>724</v>
      </c>
      <c r="B7" s="416" t="s">
        <v>603</v>
      </c>
      <c r="C7" s="417" t="s">
        <v>602</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401716.67175570241</v>
      </c>
      <c r="C3" s="43" t="s">
        <v>169</v>
      </c>
      <c r="D3" s="43"/>
      <c r="E3" s="154"/>
      <c r="F3" s="43"/>
      <c r="G3" s="43"/>
      <c r="H3" s="43"/>
      <c r="I3" s="43"/>
      <c r="J3" s="43"/>
      <c r="K3" s="96"/>
    </row>
    <row r="4" spans="1:11">
      <c r="A4" s="358" t="s">
        <v>170</v>
      </c>
      <c r="B4" s="49">
        <f>IF(ISERROR('SEAP template'!B78+'SEAP template'!C78),0,'SEAP template'!B78+'SEAP template'!C78)</f>
        <v>43580.286526492077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716</v>
      </c>
      <c r="G6" s="43" t="s">
        <v>721</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542.40564705882366</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0.1983750050363278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774.86521008403395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3260.5714285714289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0.23764705882352949</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675</v>
      </c>
      <c r="B1" s="863" t="s">
        <v>307</v>
      </c>
      <c r="C1" s="863" t="s">
        <v>311</v>
      </c>
      <c r="D1" s="863" t="s">
        <v>312</v>
      </c>
      <c r="E1" s="863" t="s">
        <v>313</v>
      </c>
      <c r="F1" s="863" t="s">
        <v>314</v>
      </c>
      <c r="H1" s="1061" t="s">
        <v>877</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673</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673</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673</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673</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657</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657</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657</v>
      </c>
      <c r="C9" s="1052" t="s">
        <v>63</v>
      </c>
      <c r="D9" s="1052" t="s">
        <v>649</v>
      </c>
      <c r="E9" s="1052" t="s">
        <v>649</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657</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657</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657</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657</v>
      </c>
      <c r="C13" s="1052" t="s">
        <v>63</v>
      </c>
      <c r="D13" s="1052" t="s">
        <v>678</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657</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657</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657</v>
      </c>
      <c r="C16" s="1052" t="s">
        <v>64</v>
      </c>
      <c r="D16" s="1052" t="s">
        <v>649</v>
      </c>
      <c r="E16" s="1052" t="s">
        <v>649</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657</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657</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657</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657</v>
      </c>
      <c r="C20" s="1052" t="s">
        <v>64</v>
      </c>
      <c r="D20" s="1052" t="s">
        <v>678</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657</v>
      </c>
      <c r="C21" s="1052" t="s">
        <v>674</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657</v>
      </c>
      <c r="C22" s="1052" t="s">
        <v>674</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657</v>
      </c>
      <c r="C23" s="1052" t="s">
        <v>674</v>
      </c>
      <c r="D23" s="1052" t="s">
        <v>649</v>
      </c>
      <c r="E23" s="1052" t="s">
        <v>649</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657</v>
      </c>
      <c r="C24" s="1052" t="s">
        <v>674</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657</v>
      </c>
      <c r="C25" s="1052" t="s">
        <v>674</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657</v>
      </c>
      <c r="C26" s="1052" t="s">
        <v>674</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657</v>
      </c>
      <c r="C27" s="1052" t="s">
        <v>674</v>
      </c>
      <c r="D27" s="1052" t="s">
        <v>678</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658</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658</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658</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658</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658</v>
      </c>
      <c r="C32" s="1052" t="s">
        <v>674</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658</v>
      </c>
      <c r="C33" s="1052" t="s">
        <v>674</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740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655</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5279.5950000000003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5279.5950000000003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0.1983750050363278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1047.339684714771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109962.45968299999</v>
      </c>
      <c r="C5" s="17">
        <f>IF(ISERROR('Eigen informatie GS &amp; warmtenet'!B57),0,'Eigen informatie GS &amp; warmtenet'!B57)</f>
        <v>0</v>
      </c>
      <c r="D5" s="30">
        <f>(SUM(HH_hh_gas_kWh,HH_rest_gas_kWh)/1000)*0.902</f>
        <v>290640.48739550001</v>
      </c>
      <c r="E5" s="17">
        <f>B46*B57</f>
        <v>29304.221030257697</v>
      </c>
      <c r="F5" s="17">
        <f>B51*B62</f>
        <v>58928.176583978442</v>
      </c>
      <c r="G5" s="18"/>
      <c r="H5" s="17"/>
      <c r="I5" s="17"/>
      <c r="J5" s="17">
        <f>B50*B61+C50*C61</f>
        <v>0</v>
      </c>
      <c r="K5" s="17"/>
      <c r="L5" s="17"/>
      <c r="M5" s="17"/>
      <c r="N5" s="17">
        <f>B48*B59+C48*C59</f>
        <v>38915.241783573598</v>
      </c>
      <c r="O5" s="17">
        <f>B69*B70*B71</f>
        <v>1130.29</v>
      </c>
      <c r="P5" s="17">
        <f>B77*B78*B79/1000-B77*B78*B79/1000/B80</f>
        <v>4061.2</v>
      </c>
    </row>
    <row r="6" spans="1:16">
      <c r="A6" s="16" t="s">
        <v>622</v>
      </c>
      <c r="B6" s="762">
        <f>kWh_PV_kleiner_dan_10kW</f>
        <v>14983.123430949518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124945.58311394951</v>
      </c>
      <c r="C8" s="21">
        <f>C5</f>
        <v>0</v>
      </c>
      <c r="D8" s="21">
        <f>D5</f>
        <v>290640.48739550001</v>
      </c>
      <c r="E8" s="21">
        <f>E5</f>
        <v>29304.221030257697</v>
      </c>
      <c r="F8" s="21">
        <f>F5</f>
        <v>58928.176583978442</v>
      </c>
      <c r="G8" s="21"/>
      <c r="H8" s="21"/>
      <c r="I8" s="21"/>
      <c r="J8" s="21">
        <f>J5</f>
        <v>0</v>
      </c>
      <c r="K8" s="21"/>
      <c r="L8" s="21">
        <f>L5</f>
        <v>0</v>
      </c>
      <c r="M8" s="21">
        <f>M5</f>
        <v>0</v>
      </c>
      <c r="N8" s="21">
        <f>N5</f>
        <v>38915.241783573598</v>
      </c>
      <c r="O8" s="21">
        <f>O5</f>
        <v>1130.29</v>
      </c>
      <c r="P8" s="21">
        <f>P5</f>
        <v>4061.2</v>
      </c>
    </row>
    <row r="9" spans="1:16">
      <c r="B9" s="19"/>
      <c r="C9" s="19"/>
      <c r="D9" s="258"/>
      <c r="E9" s="19"/>
      <c r="F9" s="19"/>
      <c r="G9" s="19"/>
      <c r="H9" s="19"/>
      <c r="I9" s="19"/>
      <c r="J9" s="19"/>
      <c r="K9" s="19"/>
      <c r="L9" s="19"/>
      <c r="M9" s="19"/>
      <c r="N9" s="19"/>
      <c r="O9" s="19"/>
      <c r="P9" s="19"/>
    </row>
    <row r="10" spans="1:16">
      <c r="A10" s="24" t="s">
        <v>213</v>
      </c>
      <c r="B10" s="25">
        <f ca="1">'EF ele_warmte'!B12</f>
        <v>0.1983750050363278</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24786.080679496648</v>
      </c>
      <c r="C12" s="23">
        <f ca="1">C10*C8</f>
        <v>0</v>
      </c>
      <c r="D12" s="23">
        <f>D8*D10</f>
        <v>58709.378453891004</v>
      </c>
      <c r="E12" s="23">
        <f>E10*E8</f>
        <v>6652.0581738684978</v>
      </c>
      <c r="F12" s="23">
        <f>F10*F8</f>
        <v>15733.823147922245</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12607</v>
      </c>
      <c r="C18" s="166" t="s">
        <v>110</v>
      </c>
      <c r="D18" s="228"/>
      <c r="E18" s="15"/>
    </row>
    <row r="19" spans="1:7">
      <c r="A19" s="171" t="s">
        <v>71</v>
      </c>
      <c r="B19" s="37">
        <f>aantalw2001_ander</f>
        <v>2</v>
      </c>
      <c r="C19" s="166" t="s">
        <v>110</v>
      </c>
      <c r="D19" s="229"/>
      <c r="E19" s="15"/>
    </row>
    <row r="20" spans="1:7">
      <c r="A20" s="171" t="s">
        <v>72</v>
      </c>
      <c r="B20" s="37">
        <f>aantalw2001_propaan</f>
        <v>137</v>
      </c>
      <c r="C20" s="167">
        <f>IF(ISERROR(B20/SUM($B$20,$B$21,$B$22)*100),0,B20/SUM($B$20,$B$21,$B$22)*100)</f>
        <v>6.5960519980741452</v>
      </c>
      <c r="D20" s="229"/>
      <c r="E20" s="15"/>
    </row>
    <row r="21" spans="1:7">
      <c r="A21" s="171" t="s">
        <v>73</v>
      </c>
      <c r="B21" s="37">
        <f>aantalw2001_elektriciteit</f>
        <v>1808</v>
      </c>
      <c r="C21" s="167">
        <f>IF(ISERROR(B21/SUM($B$20,$B$21,$B$22)*100),0,B21/SUM($B$20,$B$21,$B$22)*100)</f>
        <v>87.048627828598939</v>
      </c>
      <c r="D21" s="229"/>
      <c r="E21" s="15"/>
    </row>
    <row r="22" spans="1:7">
      <c r="A22" s="171" t="s">
        <v>74</v>
      </c>
      <c r="B22" s="37">
        <f>aantalw2001_hout</f>
        <v>132</v>
      </c>
      <c r="C22" s="167">
        <f>IF(ISERROR(B22/SUM($B$20,$B$21,$B$22)*100),0,B22/SUM($B$20,$B$21,$B$22)*100)</f>
        <v>6.3553201733269145</v>
      </c>
      <c r="D22" s="229"/>
      <c r="E22" s="15"/>
    </row>
    <row r="23" spans="1:7">
      <c r="A23" s="171" t="s">
        <v>75</v>
      </c>
      <c r="B23" s="37">
        <f>aantalw2001_niet_gespec</f>
        <v>416</v>
      </c>
      <c r="C23" s="166" t="s">
        <v>110</v>
      </c>
      <c r="D23" s="228"/>
      <c r="E23" s="15"/>
    </row>
    <row r="24" spans="1:7">
      <c r="A24" s="171" t="s">
        <v>76</v>
      </c>
      <c r="B24" s="37">
        <f>aantalw2001_steenkool</f>
        <v>298</v>
      </c>
      <c r="C24" s="166" t="s">
        <v>110</v>
      </c>
      <c r="D24" s="229"/>
      <c r="E24" s="15"/>
    </row>
    <row r="25" spans="1:7">
      <c r="A25" s="171" t="s">
        <v>77</v>
      </c>
      <c r="B25" s="37">
        <f>aantalw2001_stookolie</f>
        <v>12509</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782</v>
      </c>
      <c r="B28" s="37">
        <f>aantalHuishoudens</f>
        <v>34807</v>
      </c>
      <c r="C28" s="36"/>
      <c r="D28" s="228"/>
    </row>
    <row r="29" spans="1:7" s="15" customFormat="1">
      <c r="A29" s="230" t="s">
        <v>783</v>
      </c>
      <c r="B29" s="37">
        <f>SUM(HH_hh_gas_aantal,HH_rest_gas_aantal)</f>
        <v>23367</v>
      </c>
      <c r="C29" s="36"/>
      <c r="D29" s="228"/>
    </row>
    <row r="30" spans="1:7" s="15" customFormat="1">
      <c r="A30" s="231"/>
      <c r="B30" s="29"/>
      <c r="C30" s="36"/>
      <c r="D30" s="232"/>
    </row>
    <row r="31" spans="1:7">
      <c r="A31" s="172" t="s">
        <v>784</v>
      </c>
      <c r="B31" s="168" t="s">
        <v>215</v>
      </c>
      <c r="C31" s="165" t="s">
        <v>216</v>
      </c>
      <c r="D31" s="174"/>
      <c r="G31" s="15"/>
    </row>
    <row r="32" spans="1:7">
      <c r="A32" s="171" t="s">
        <v>70</v>
      </c>
      <c r="B32" s="37">
        <f>B29</f>
        <v>23367</v>
      </c>
      <c r="C32" s="167">
        <f>IF(ISERROR(B32/SUM($B$32,$B$34,$B$35,$B$36,$B$38,$B$39)*100),0,B32/SUM($B$32,$B$34,$B$35,$B$36,$B$38,$B$39)*100)</f>
        <v>67.546395328669703</v>
      </c>
      <c r="D32" s="233"/>
      <c r="G32" s="15"/>
    </row>
    <row r="33" spans="1:7">
      <c r="A33" s="171" t="s">
        <v>71</v>
      </c>
      <c r="B33" s="34" t="s">
        <v>110</v>
      </c>
      <c r="C33" s="167"/>
      <c r="D33" s="233"/>
      <c r="G33" s="15"/>
    </row>
    <row r="34" spans="1:7">
      <c r="A34" s="171" t="s">
        <v>72</v>
      </c>
      <c r="B34" s="33">
        <f>IF((($B$28-$B$32-$B$39-$B$77-$B$38)*C20/100)&lt;0,0,($B$28-$B$32-$B$39-$B$77-$B$38)*C20/100)</f>
        <v>554.20028887818967</v>
      </c>
      <c r="C34" s="167">
        <f>IF(ISERROR(B34/SUM($B$32,$B$34,$B$35,$B$36,$B$38,$B$39)*100),0,B34/SUM($B$32,$B$34,$B$35,$B$36,$B$38,$B$39)*100)</f>
        <v>1.6020127446325652</v>
      </c>
      <c r="D34" s="233"/>
      <c r="G34" s="15"/>
    </row>
    <row r="35" spans="1:7">
      <c r="A35" s="171" t="s">
        <v>73</v>
      </c>
      <c r="B35" s="33">
        <f>IF((($B$28-$B$32-$B$39-$B$77-$B$38)*C21/100)&lt;0,0,($B$28-$B$32-$B$39-$B$77-$B$38)*C21/100)</f>
        <v>7313.8257101588824</v>
      </c>
      <c r="C35" s="167">
        <f>IF(ISERROR(B35/SUM($B$32,$B$34,$B$35,$B$36,$B$38,$B$39)*100),0,B35/SUM($B$32,$B$34,$B$35,$B$36,$B$38,$B$39)*100)</f>
        <v>21.141890819676483</v>
      </c>
      <c r="D35" s="233"/>
      <c r="G35" s="15"/>
    </row>
    <row r="36" spans="1:7">
      <c r="A36" s="171" t="s">
        <v>74</v>
      </c>
      <c r="B36" s="33">
        <f>IF((($B$28-$B$32-$B$39-$B$77-$B$38)*C22/100)&lt;0,0,($B$28-$B$32-$B$39-$B$77-$B$38)*C22/100)</f>
        <v>533.97400096292733</v>
      </c>
      <c r="C36" s="167">
        <f>IF(ISERROR(B36/SUM($B$32,$B$34,$B$35,$B$36,$B$38,$B$39)*100),0,B36/SUM($B$32,$B$34,$B$35,$B$36,$B$38,$B$39)*100)</f>
        <v>1.5435451262153188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2825</v>
      </c>
      <c r="C39" s="167">
        <f>IF(ISERROR(B39/SUM($B$32,$B$34,$B$35,$B$36,$B$38,$B$39)*100),0,B39/SUM($B$32,$B$34,$B$35,$B$36,$B$38,$B$39)*100)</f>
        <v>8.1661559808059199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779</v>
      </c>
      <c r="C43" s="169" t="s">
        <v>780</v>
      </c>
      <c r="D43" s="174"/>
    </row>
    <row r="44" spans="1:7">
      <c r="A44" s="171" t="s">
        <v>70</v>
      </c>
      <c r="B44" s="33">
        <f t="shared" ref="B44:B52" si="0">B32</f>
        <v>23367</v>
      </c>
      <c r="C44" s="34" t="s">
        <v>110</v>
      </c>
      <c r="D44" s="174"/>
    </row>
    <row r="45" spans="1:7">
      <c r="A45" s="171" t="s">
        <v>71</v>
      </c>
      <c r="B45" s="33" t="str">
        <f t="shared" si="0"/>
        <v>-</v>
      </c>
      <c r="C45" s="34" t="s">
        <v>110</v>
      </c>
      <c r="D45" s="174"/>
    </row>
    <row r="46" spans="1:7">
      <c r="A46" s="171" t="s">
        <v>72</v>
      </c>
      <c r="B46" s="33">
        <f t="shared" si="0"/>
        <v>554.20028887818967</v>
      </c>
      <c r="C46" s="34" t="s">
        <v>110</v>
      </c>
      <c r="D46" s="174"/>
    </row>
    <row r="47" spans="1:7">
      <c r="A47" s="171" t="s">
        <v>73</v>
      </c>
      <c r="B47" s="33">
        <f t="shared" si="0"/>
        <v>7313.8257101588824</v>
      </c>
      <c r="C47" s="34" t="s">
        <v>110</v>
      </c>
      <c r="D47" s="174"/>
    </row>
    <row r="48" spans="1:7">
      <c r="A48" s="171" t="s">
        <v>74</v>
      </c>
      <c r="B48" s="33">
        <f t="shared" si="0"/>
        <v>533.97400096292733</v>
      </c>
      <c r="C48" s="33">
        <f>B48*10</f>
        <v>5339.7400096292731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2825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738</v>
      </c>
      <c r="C54" s="165" t="s">
        <v>739</v>
      </c>
      <c r="D54" s="299" t="s">
        <v>878</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723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200502.85789799999</v>
      </c>
      <c r="C5" s="17">
        <f>IF(ISERROR('Eigen informatie GS &amp; warmtenet'!B58),0,'Eigen informatie GS &amp; warmtenet'!B58)</f>
        <v>0</v>
      </c>
      <c r="D5" s="30">
        <f>SUM(D6:D12)</f>
        <v>213607.71330265401</v>
      </c>
      <c r="E5" s="17">
        <f>SUM(E6:E12)</f>
        <v>2798.0225881226615</v>
      </c>
      <c r="F5" s="17">
        <f>SUM(F6:F12)</f>
        <v>34505.804180229803</v>
      </c>
      <c r="G5" s="18"/>
      <c r="H5" s="17"/>
      <c r="I5" s="17"/>
      <c r="J5" s="17">
        <f>SUM(J6:J12)</f>
        <v>0.36982345073509576</v>
      </c>
      <c r="K5" s="17"/>
      <c r="L5" s="17"/>
      <c r="M5" s="17"/>
      <c r="N5" s="17">
        <f>SUM(N6:N12)</f>
        <v>14941.343870658904</v>
      </c>
      <c r="O5" s="17">
        <f>B38*B39*B40</f>
        <v>12.506666666666668</v>
      </c>
      <c r="P5" s="17">
        <f>B46*B47*B48/1000-B46*B47*B48/1000/B49</f>
        <v>228.8</v>
      </c>
      <c r="R5" s="32"/>
    </row>
    <row r="6" spans="1:18">
      <c r="A6" s="32" t="s">
        <v>53</v>
      </c>
      <c r="B6" s="37">
        <f>B26</f>
        <v>69847.180996999989</v>
      </c>
      <c r="C6" s="33"/>
      <c r="D6" s="37">
        <f>IF(ISERROR(TER_kantoor_gas_kWh/1000),0,TER_kantoor_gas_kWh/1000)*0.902</f>
        <v>66862.842958406007</v>
      </c>
      <c r="E6" s="33">
        <f>$C$26*'E Balans VL '!I12/100/3.6*1000000</f>
        <v>0.43777889968073974</v>
      </c>
      <c r="F6" s="33">
        <f>$C$26*('E Balans VL '!L12+'E Balans VL '!N12)/100/3.6*1000000</f>
        <v>10496.079587469509</v>
      </c>
      <c r="G6" s="34"/>
      <c r="H6" s="33"/>
      <c r="I6" s="33"/>
      <c r="J6" s="33">
        <f>$C$26*('E Balans VL '!D12+'E Balans VL '!E12)/100/3.6*1000000</f>
        <v>0</v>
      </c>
      <c r="K6" s="33"/>
      <c r="L6" s="33"/>
      <c r="M6" s="33"/>
      <c r="N6" s="33">
        <f>$C$26*'E Balans VL '!Y12/100/3.6*1000000</f>
        <v>66.798472642539195</v>
      </c>
      <c r="O6" s="33"/>
      <c r="P6" s="33"/>
      <c r="R6" s="32"/>
    </row>
    <row r="7" spans="1:18">
      <c r="A7" s="32" t="s">
        <v>52</v>
      </c>
      <c r="B7" s="37">
        <f t="shared" ref="B7:B12" si="0">B27</f>
        <v>20219.359461</v>
      </c>
      <c r="C7" s="33"/>
      <c r="D7" s="37">
        <f>IF(ISERROR(TER_horeca_gas_kWh/1000),0,TER_horeca_gas_kWh/1000)*0.902</f>
        <v>21511.896690525999</v>
      </c>
      <c r="E7" s="33">
        <f>$C$27*'E Balans VL '!I9/100/3.6*1000000</f>
        <v>289.53785957916006</v>
      </c>
      <c r="F7" s="33">
        <f>$C$27*('E Balans VL '!L9+'E Balans VL '!N9)/100/3.6*1000000</f>
        <v>2560.4377679289883</v>
      </c>
      <c r="G7" s="34"/>
      <c r="H7" s="33"/>
      <c r="I7" s="33"/>
      <c r="J7" s="33">
        <f>$C$27*('E Balans VL '!D9+'E Balans VL '!E9)/100/3.6*1000000</f>
        <v>0</v>
      </c>
      <c r="K7" s="33"/>
      <c r="L7" s="33"/>
      <c r="M7" s="33"/>
      <c r="N7" s="33">
        <f>$C$27*'E Balans VL '!Y9/100/3.6*1000000</f>
        <v>5.8126200464285889</v>
      </c>
      <c r="O7" s="33"/>
      <c r="P7" s="33"/>
      <c r="R7" s="32"/>
    </row>
    <row r="8" spans="1:18">
      <c r="A8" s="6" t="s">
        <v>51</v>
      </c>
      <c r="B8" s="37">
        <f t="shared" si="0"/>
        <v>63750.856927000001</v>
      </c>
      <c r="C8" s="33"/>
      <c r="D8" s="37">
        <f>IF(ISERROR(TER_handel_gas_kWh/1000),0,TER_handel_gas_kWh/1000)*0.902</f>
        <v>37587.487533420004</v>
      </c>
      <c r="E8" s="33">
        <f>$C$28*'E Balans VL '!I13/100/3.6*1000000</f>
        <v>2312.235719338817</v>
      </c>
      <c r="F8" s="33">
        <f>$C$28*('E Balans VL '!L13+'E Balans VL '!N13)/100/3.6*1000000</f>
        <v>12279.060562607368</v>
      </c>
      <c r="G8" s="34"/>
      <c r="H8" s="33"/>
      <c r="I8" s="33"/>
      <c r="J8" s="33">
        <f>$C$28*('E Balans VL '!D13+'E Balans VL '!E13)/100/3.6*1000000</f>
        <v>0</v>
      </c>
      <c r="K8" s="33"/>
      <c r="L8" s="33"/>
      <c r="M8" s="33"/>
      <c r="N8" s="33">
        <f>$C$28*'E Balans VL '!Y13/100/3.6*1000000</f>
        <v>88.309605261882055</v>
      </c>
      <c r="O8" s="33"/>
      <c r="P8" s="33"/>
      <c r="R8" s="32"/>
    </row>
    <row r="9" spans="1:18">
      <c r="A9" s="32" t="s">
        <v>50</v>
      </c>
      <c r="B9" s="37">
        <f t="shared" si="0"/>
        <v>18091.102739000002</v>
      </c>
      <c r="C9" s="33"/>
      <c r="D9" s="37">
        <f>IF(ISERROR(TER_gezond_gas_kWh/1000),0,TER_gezond_gas_kWh/1000)*0.902</f>
        <v>37675.990412301995</v>
      </c>
      <c r="E9" s="33">
        <f>$C$29*'E Balans VL '!I10/100/3.6*1000000</f>
        <v>1.1326816488318538</v>
      </c>
      <c r="F9" s="33">
        <f>$C$29*('E Balans VL '!L10+'E Balans VL '!N10)/100/3.6*1000000</f>
        <v>2687.4883940405425</v>
      </c>
      <c r="G9" s="34"/>
      <c r="H9" s="33"/>
      <c r="I9" s="33"/>
      <c r="J9" s="33">
        <f>$C$29*('E Balans VL '!D10+'E Balans VL '!E10)/100/3.6*1000000</f>
        <v>0</v>
      </c>
      <c r="K9" s="33"/>
      <c r="L9" s="33"/>
      <c r="M9" s="33"/>
      <c r="N9" s="33">
        <f>$C$29*'E Balans VL '!Y10/100/3.6*1000000</f>
        <v>279.83492280904846</v>
      </c>
      <c r="O9" s="33"/>
      <c r="P9" s="33"/>
      <c r="R9" s="32"/>
    </row>
    <row r="10" spans="1:18">
      <c r="A10" s="32" t="s">
        <v>49</v>
      </c>
      <c r="B10" s="37">
        <f t="shared" si="0"/>
        <v>17037.781529</v>
      </c>
      <c r="C10" s="33"/>
      <c r="D10" s="37">
        <f>IF(ISERROR(TER_ander_gas_kWh/1000),0,TER_ander_gas_kWh/1000)*0.902</f>
        <v>17645.108453588</v>
      </c>
      <c r="E10" s="33">
        <f>$C$30*'E Balans VL '!I14/100/3.6*1000000</f>
        <v>20.308426755129911</v>
      </c>
      <c r="F10" s="33">
        <f>$C$30*('E Balans VL '!L14+'E Balans VL '!N14)/100/3.6*1000000</f>
        <v>4457.8410882614398</v>
      </c>
      <c r="G10" s="34"/>
      <c r="H10" s="33"/>
      <c r="I10" s="33"/>
      <c r="J10" s="33">
        <f>$C$30*('E Balans VL '!D14+'E Balans VL '!E14)/100/3.6*1000000</f>
        <v>0.36982345073509576</v>
      </c>
      <c r="K10" s="33"/>
      <c r="L10" s="33"/>
      <c r="M10" s="33"/>
      <c r="N10" s="33">
        <f>$C$30*'E Balans VL '!Y14/100/3.6*1000000</f>
        <v>14468.067165781191</v>
      </c>
      <c r="O10" s="33"/>
      <c r="P10" s="33"/>
      <c r="R10" s="32"/>
    </row>
    <row r="11" spans="1:18">
      <c r="A11" s="32" t="s">
        <v>54</v>
      </c>
      <c r="B11" s="37">
        <f t="shared" si="0"/>
        <v>11556.576244999998</v>
      </c>
      <c r="C11" s="33"/>
      <c r="D11" s="37">
        <f>IF(ISERROR(TER_onderwijs_gas_kWh/1000),0,TER_onderwijs_gas_kWh/1000)*0.902</f>
        <v>32324.387254411999</v>
      </c>
      <c r="E11" s="33">
        <f>$C$31*'E Balans VL '!I11/100/3.6*1000000</f>
        <v>174.37012190104247</v>
      </c>
      <c r="F11" s="33">
        <f>$C$31*('E Balans VL '!L11+'E Balans VL '!N11)/100/3.6*1000000</f>
        <v>2024.8967799219504</v>
      </c>
      <c r="G11" s="34"/>
      <c r="H11" s="33"/>
      <c r="I11" s="33"/>
      <c r="J11" s="33">
        <f>$C$31*('E Balans VL '!D11+'E Balans VL '!E11)/100/3.6*1000000</f>
        <v>0</v>
      </c>
      <c r="K11" s="33"/>
      <c r="L11" s="33"/>
      <c r="M11" s="33"/>
      <c r="N11" s="33">
        <f>$C$31*'E Balans VL '!Y11/100/3.6*1000000</f>
        <v>32.521084117813515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energieproductie'!N43+'lokale energieproductie'!N36</f>
        <v>3294.9</v>
      </c>
      <c r="C13" s="247">
        <f ca="1">'lokale energieproductie'!O43+'lokale energieproductie'!O36</f>
        <v>2939.1428571428573</v>
      </c>
      <c r="D13" s="308">
        <f ca="1">('lokale energieproductie'!P36+'lokale energieproductie'!P43)*(-1)</f>
        <v>-5878.2857142857156</v>
      </c>
      <c r="E13" s="248"/>
      <c r="F13" s="308">
        <f ca="1">('lokale energieproductie'!S36+'lokale energieproductie'!S43)*(-1)</f>
        <v>0</v>
      </c>
      <c r="G13" s="249"/>
      <c r="H13" s="248"/>
      <c r="I13" s="248"/>
      <c r="J13" s="248"/>
      <c r="K13" s="248"/>
      <c r="L13" s="308">
        <f ca="1">('lokale energieproductie'!U36+'lokale energieproductie'!T36+'lokale energieproductie'!U43+'lokale energieproductie'!T43)*(-1)</f>
        <v>0</v>
      </c>
      <c r="M13" s="248"/>
      <c r="N13" s="308">
        <f ca="1">('lokale energieproductie'!Q36+'lokale energieproductie'!R36+'lokale energieproductie'!V36+'lokale energieproductie'!Q43+'lokale energieproductie'!R43+'lokale energieproductie'!V43)*(-1)</f>
        <v>-3535.7142857142858</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203797.75789799998</v>
      </c>
      <c r="C16" s="21">
        <f t="shared" ca="1" si="1"/>
        <v>2939.1428571428573</v>
      </c>
      <c r="D16" s="21">
        <f t="shared" ca="1" si="1"/>
        <v>207729.4275883683</v>
      </c>
      <c r="E16" s="21">
        <f t="shared" si="1"/>
        <v>2798.0225881226615</v>
      </c>
      <c r="F16" s="21">
        <f t="shared" ca="1" si="1"/>
        <v>34505.804180229803</v>
      </c>
      <c r="G16" s="21">
        <f t="shared" si="1"/>
        <v>0</v>
      </c>
      <c r="H16" s="21">
        <f t="shared" si="1"/>
        <v>0</v>
      </c>
      <c r="I16" s="21">
        <f t="shared" si="1"/>
        <v>0</v>
      </c>
      <c r="J16" s="21">
        <f t="shared" si="1"/>
        <v>0.36982345073509576</v>
      </c>
      <c r="K16" s="21">
        <f t="shared" si="1"/>
        <v>0</v>
      </c>
      <c r="L16" s="21">
        <f t="shared" ca="1" si="1"/>
        <v>0</v>
      </c>
      <c r="M16" s="21">
        <f t="shared" si="1"/>
        <v>0</v>
      </c>
      <c r="N16" s="21">
        <f t="shared" ca="1" si="1"/>
        <v>11405.629584944618</v>
      </c>
      <c r="O16" s="21">
        <f>O5</f>
        <v>12.506666666666668</v>
      </c>
      <c r="P16" s="21">
        <f>P5</f>
        <v>228.8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0.1983750050363278</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40428.381249408056</v>
      </c>
      <c r="C20" s="23">
        <f t="shared" ref="C20:P20" ca="1" si="2">C16*C18</f>
        <v>698.4786554621852</v>
      </c>
      <c r="D20" s="23">
        <f t="shared" ca="1" si="2"/>
        <v>41961.344372850399</v>
      </c>
      <c r="E20" s="23">
        <f t="shared" si="2"/>
        <v>635.15112750384424</v>
      </c>
      <c r="F20" s="23">
        <f t="shared" ca="1" si="2"/>
        <v>9213.0497161213571</v>
      </c>
      <c r="G20" s="23">
        <f t="shared" si="2"/>
        <v>0</v>
      </c>
      <c r="H20" s="23">
        <f t="shared" si="2"/>
        <v>0</v>
      </c>
      <c r="I20" s="23">
        <f t="shared" si="2"/>
        <v>0</v>
      </c>
      <c r="J20" s="23">
        <f t="shared" si="2"/>
        <v>0.13091750156022389</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69847.180996999989</v>
      </c>
      <c r="C26" s="39">
        <f>IF(ISERROR(B26*3.6/1000000/'E Balans VL '!Z12*100),0,B26*3.6/1000000/'E Balans VL '!Z12*100)</f>
        <v>1.4764587594043719</v>
      </c>
      <c r="D26" s="237" t="s">
        <v>746</v>
      </c>
      <c r="F26" s="6"/>
    </row>
    <row r="27" spans="1:18">
      <c r="A27" s="231" t="s">
        <v>52</v>
      </c>
      <c r="B27" s="33">
        <f>IF(ISERROR(TER_horeca_ele_kWh/1000),0,TER_horeca_ele_kWh/1000)</f>
        <v>20219.359461</v>
      </c>
      <c r="C27" s="39">
        <f>IF(ISERROR(B27*3.6/1000000/'E Balans VL '!Z9*100),0,B27*3.6/1000000/'E Balans VL '!Z9*100)</f>
        <v>1.5938845701706252</v>
      </c>
      <c r="D27" s="237" t="s">
        <v>746</v>
      </c>
      <c r="F27" s="6"/>
    </row>
    <row r="28" spans="1:18">
      <c r="A28" s="171" t="s">
        <v>51</v>
      </c>
      <c r="B28" s="33">
        <f>IF(ISERROR(TER_handel_ele_kWh/1000),0,TER_handel_ele_kWh/1000)</f>
        <v>63750.856927000001</v>
      </c>
      <c r="C28" s="39">
        <f>IF(ISERROR(B28*3.6/1000000/'E Balans VL '!Z13*100),0,B28*3.6/1000000/'E Balans VL '!Z13*100)</f>
        <v>1.850307450347197</v>
      </c>
      <c r="D28" s="237" t="s">
        <v>746</v>
      </c>
      <c r="F28" s="6"/>
    </row>
    <row r="29" spans="1:18">
      <c r="A29" s="231" t="s">
        <v>50</v>
      </c>
      <c r="B29" s="33">
        <f>IF(ISERROR(TER_gezond_ele_kWh/1000),0,TER_gezond_ele_kWh/1000)</f>
        <v>18091.102739000002</v>
      </c>
      <c r="C29" s="39">
        <f>IF(ISERROR(B29*3.6/1000000/'E Balans VL '!Z10*100),0,B29*3.6/1000000/'E Balans VL '!Z10*100)</f>
        <v>1.9052901821650092</v>
      </c>
      <c r="D29" s="237" t="s">
        <v>746</v>
      </c>
      <c r="F29" s="6"/>
    </row>
    <row r="30" spans="1:18">
      <c r="A30" s="231" t="s">
        <v>49</v>
      </c>
      <c r="B30" s="33">
        <f>IF(ISERROR(TER_ander_ele_kWh/1000),0,TER_ander_ele_kWh/1000)</f>
        <v>17037.781529</v>
      </c>
      <c r="C30" s="39">
        <f>IF(ISERROR(B30*3.6/1000000/'E Balans VL '!Z14*100),0,B30*3.6/1000000/'E Balans VL '!Z14*100)</f>
        <v>1.2567104661667798</v>
      </c>
      <c r="D30" s="237" t="s">
        <v>746</v>
      </c>
      <c r="F30" s="6"/>
    </row>
    <row r="31" spans="1:18">
      <c r="A31" s="231" t="s">
        <v>54</v>
      </c>
      <c r="B31" s="33">
        <f>IF(ISERROR(TER_onderwijs_ele_kWh/1000),0,TER_onderwijs_ele_kWh/1000)</f>
        <v>11556.576244999998</v>
      </c>
      <c r="C31" s="39">
        <f>IF(ISERROR(B31*3.6/1000000/'E Balans VL '!Z11*100),0,B31*3.6/1000000/'E Balans VL '!Z11*100)</f>
        <v>2.8700392235455556</v>
      </c>
      <c r="D31" s="237" t="s">
        <v>746</v>
      </c>
    </row>
    <row r="32" spans="1:18">
      <c r="A32" s="231" t="s">
        <v>259</v>
      </c>
      <c r="B32" s="33">
        <f>IF(ISERROR(TER_rest_ele_kWh/1000),0,TER_rest_ele_kWh/1000)</f>
        <v>0</v>
      </c>
      <c r="C32" s="39">
        <f>IF(ISERROR(B32*3.6/1000000/'E Balans VL '!Z8*100),0,B32*3.6/1000000/'E Balans VL '!Z8*100)</f>
        <v>0</v>
      </c>
      <c r="D32" s="237" t="s">
        <v>746</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8</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56893.38631799999</v>
      </c>
      <c r="C5" s="17">
        <f>IF(ISERROR('Eigen informatie GS &amp; warmtenet'!B59),0,'Eigen informatie GS &amp; warmtenet'!B59)</f>
        <v>0</v>
      </c>
      <c r="D5" s="30">
        <f>SUM(D6:D15)</f>
        <v>99602.426911240007</v>
      </c>
      <c r="E5" s="17">
        <f>SUM(E6:E15)</f>
        <v>7769.02363704037</v>
      </c>
      <c r="F5" s="17">
        <f>SUM(F6:F15)</f>
        <v>25700.525373136777</v>
      </c>
      <c r="G5" s="18"/>
      <c r="H5" s="17"/>
      <c r="I5" s="17"/>
      <c r="J5" s="17">
        <f>SUM(J6:J15)</f>
        <v>21.244556080187763</v>
      </c>
      <c r="K5" s="17"/>
      <c r="L5" s="17"/>
      <c r="M5" s="17"/>
      <c r="N5" s="17">
        <f>SUM(N6:N15)</f>
        <v>6251.3863878669617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4045.4764449999998</v>
      </c>
      <c r="C8" s="33"/>
      <c r="D8" s="37">
        <f>IF( ISERROR(IND_metaal_Gas_kWH/1000),0,IND_metaal_Gas_kWH/1000)*0.902</f>
        <v>3950.2465563440001</v>
      </c>
      <c r="E8" s="33">
        <f>C30*'E Balans VL '!I18/100/3.6*1000000</f>
        <v>37.194248753467221</v>
      </c>
      <c r="F8" s="33">
        <f>C30*'E Balans VL '!L18/100/3.6*1000000+C30*'E Balans VL '!N18/100/3.6*1000000</f>
        <v>379.3310029964552</v>
      </c>
      <c r="G8" s="34"/>
      <c r="H8" s="33"/>
      <c r="I8" s="33"/>
      <c r="J8" s="40">
        <f>C30*'E Balans VL '!D18/100/3.6*1000000+C30*'E Balans VL '!E18/100/3.6*1000000</f>
        <v>0</v>
      </c>
      <c r="K8" s="33"/>
      <c r="L8" s="33"/>
      <c r="M8" s="33"/>
      <c r="N8" s="33">
        <f>C30*'E Balans VL '!Y18/100/3.6*1000000</f>
        <v>57.715406919280881</v>
      </c>
      <c r="O8" s="33"/>
      <c r="P8" s="33"/>
      <c r="R8" s="32"/>
    </row>
    <row r="9" spans="1:18">
      <c r="A9" s="6" t="s">
        <v>32</v>
      </c>
      <c r="B9" s="37">
        <f t="shared" si="0"/>
        <v>25075.994859999999</v>
      </c>
      <c r="C9" s="33"/>
      <c r="D9" s="37">
        <f>IF( ISERROR(IND_andere_gas_kWh/1000),0,IND_andere_gas_kWh/1000)*0.902</f>
        <v>26965.063769380002</v>
      </c>
      <c r="E9" s="33">
        <f>C31*'E Balans VL '!I19/100/3.6*1000000</f>
        <v>7330.2014696183642</v>
      </c>
      <c r="F9" s="33">
        <f>C31*'E Balans VL '!L19/100/3.6*1000000+C31*'E Balans VL '!N19/100/3.6*1000000</f>
        <v>20150.459948414213</v>
      </c>
      <c r="G9" s="34"/>
      <c r="H9" s="33"/>
      <c r="I9" s="33"/>
      <c r="J9" s="40">
        <f>C31*'E Balans VL '!D19/100/3.6*1000000+C31*'E Balans VL '!E19/100/3.6*1000000</f>
        <v>0</v>
      </c>
      <c r="K9" s="33"/>
      <c r="L9" s="33"/>
      <c r="M9" s="33"/>
      <c r="N9" s="33">
        <f>C31*'E Balans VL '!Y19/100/3.6*1000000</f>
        <v>1966.9269793827932</v>
      </c>
      <c r="O9" s="33"/>
      <c r="P9" s="33"/>
      <c r="R9" s="32"/>
    </row>
    <row r="10" spans="1:18">
      <c r="A10" s="6" t="s">
        <v>40</v>
      </c>
      <c r="B10" s="37">
        <f t="shared" si="0"/>
        <v>11800.773463</v>
      </c>
      <c r="C10" s="33"/>
      <c r="D10" s="37">
        <f>IF( ISERROR(IND_voed_gas_kWh/1000),0,IND_voed_gas_kWh/1000)*0.902</f>
        <v>9623.4781660600001</v>
      </c>
      <c r="E10" s="33">
        <f>C32*'E Balans VL '!I20/100/3.6*1000000</f>
        <v>24.964719234136151</v>
      </c>
      <c r="F10" s="33">
        <f>C32*'E Balans VL '!L20/100/3.6*1000000+C32*'E Balans VL '!N20/100/3.6*1000000</f>
        <v>750.30523091415023</v>
      </c>
      <c r="G10" s="34"/>
      <c r="H10" s="33"/>
      <c r="I10" s="33"/>
      <c r="J10" s="40">
        <f>C32*'E Balans VL '!D20/100/3.6*1000000+C32*'E Balans VL '!E20/100/3.6*1000000</f>
        <v>0</v>
      </c>
      <c r="K10" s="33"/>
      <c r="L10" s="33"/>
      <c r="M10" s="33"/>
      <c r="N10" s="33">
        <f>C32*'E Balans VL '!Y20/100/3.6*1000000</f>
        <v>814.36982182501004</v>
      </c>
      <c r="O10" s="33"/>
      <c r="P10" s="33"/>
      <c r="R10" s="32"/>
    </row>
    <row r="11" spans="1:18">
      <c r="A11" s="6" t="s">
        <v>39</v>
      </c>
      <c r="B11" s="37">
        <f t="shared" si="0"/>
        <v>169.87354999999999</v>
      </c>
      <c r="C11" s="33"/>
      <c r="D11" s="37">
        <f>IF( ISERROR(IND_textiel_gas_kWh/1000),0,IND_textiel_gas_kWh/1000)*0.902</f>
        <v>283.77551400000004</v>
      </c>
      <c r="E11" s="33">
        <f>C33*'E Balans VL '!I21/100/3.6*1000000</f>
        <v>0.50450979758442149</v>
      </c>
      <c r="F11" s="33">
        <f>C33*'E Balans VL '!L21/100/3.6*1000000+C33*'E Balans VL '!N21/100/3.6*1000000</f>
        <v>17.161892278251148</v>
      </c>
      <c r="G11" s="34"/>
      <c r="H11" s="33"/>
      <c r="I11" s="33"/>
      <c r="J11" s="40">
        <f>C33*'E Balans VL '!D21/100/3.6*1000000+C33*'E Balans VL '!E21/100/3.6*1000000</f>
        <v>0</v>
      </c>
      <c r="K11" s="33"/>
      <c r="L11" s="33"/>
      <c r="M11" s="33"/>
      <c r="N11" s="33">
        <f>C33*'E Balans VL '!Y21/100/3.6*1000000</f>
        <v>9.3690684091759717</v>
      </c>
      <c r="O11" s="33"/>
      <c r="P11" s="33"/>
      <c r="R11" s="32"/>
    </row>
    <row r="12" spans="1:18">
      <c r="A12" s="6" t="s">
        <v>36</v>
      </c>
      <c r="B12" s="37">
        <f t="shared" si="0"/>
        <v>12602.013000000001</v>
      </c>
      <c r="C12" s="33"/>
      <c r="D12" s="37">
        <f>IF( ISERROR(IND_min_gas_kWh/1000),0,IND_min_gas_kWh/1000)*0.902</f>
        <v>57171.493060000001</v>
      </c>
      <c r="E12" s="33">
        <f>C34*'E Balans VL '!I22/100/3.6*1000000</f>
        <v>365.28046601309114</v>
      </c>
      <c r="F12" s="33">
        <f>C34*'E Balans VL '!L22/100/3.6*1000000+C34*'E Balans VL '!N22/100/3.6*1000000</f>
        <v>4332.7144753207149</v>
      </c>
      <c r="G12" s="34"/>
      <c r="H12" s="33"/>
      <c r="I12" s="33"/>
      <c r="J12" s="40">
        <f>C34*'E Balans VL '!D22/100/3.6*1000000+C34*'E Balans VL '!E22/100/3.6*1000000</f>
        <v>20.70890491897196</v>
      </c>
      <c r="K12" s="33"/>
      <c r="L12" s="33"/>
      <c r="M12" s="33"/>
      <c r="N12" s="33">
        <f>C34*'E Balans VL '!Y22/100/3.6*1000000</f>
        <v>2758.7877382504016</v>
      </c>
      <c r="O12" s="33"/>
      <c r="P12" s="33"/>
      <c r="R12" s="32"/>
    </row>
    <row r="13" spans="1:18">
      <c r="A13" s="6" t="s">
        <v>38</v>
      </c>
      <c r="B13" s="37">
        <f t="shared" si="0"/>
        <v>1472.229</v>
      </c>
      <c r="C13" s="33"/>
      <c r="D13" s="37">
        <f>IF( ISERROR(IND_papier_gas_kWh/1000),0,IND_papier_gas_kWh/1000)*0.902</f>
        <v>1124.030121456</v>
      </c>
      <c r="E13" s="33">
        <f>C35*'E Balans VL '!I23/100/3.6*1000000</f>
        <v>2.0887562548414658</v>
      </c>
      <c r="F13" s="33">
        <f>C35*'E Balans VL '!L23/100/3.6*1000000+C35*'E Balans VL '!N23/100/3.6*1000000</f>
        <v>35.942645827966338</v>
      </c>
      <c r="G13" s="34"/>
      <c r="H13" s="33"/>
      <c r="I13" s="33"/>
      <c r="J13" s="40">
        <f>C35*'E Balans VL '!D23/100/3.6*1000000+C35*'E Balans VL '!E23/100/3.6*1000000</f>
        <v>0.22769403697813734</v>
      </c>
      <c r="K13" s="33"/>
      <c r="L13" s="33"/>
      <c r="M13" s="33"/>
      <c r="N13" s="33">
        <f>C35*'E Balans VL '!Y23/100/3.6*1000000</f>
        <v>601.5314235110842</v>
      </c>
      <c r="O13" s="33"/>
      <c r="P13" s="33"/>
      <c r="R13" s="32"/>
    </row>
    <row r="14" spans="1:18">
      <c r="A14" s="6" t="s">
        <v>33</v>
      </c>
      <c r="B14" s="37">
        <f t="shared" si="0"/>
        <v>1641.0039999999999</v>
      </c>
      <c r="C14" s="33"/>
      <c r="D14" s="37">
        <f>IF( ISERROR(IND_chemie_gas_kWh/1000),0,IND_chemie_gas_kWh/1000)*0.902</f>
        <v>458.42436200000003</v>
      </c>
      <c r="E14" s="33">
        <f>C36*'E Balans VL '!I24/100/3.6*1000000</f>
        <v>4.0396816694933539</v>
      </c>
      <c r="F14" s="33">
        <f>C36*'E Balans VL '!L24/100/3.6*1000000+C36*'E Balans VL '!N24/100/3.6*1000000</f>
        <v>17.571793867457718</v>
      </c>
      <c r="G14" s="34"/>
      <c r="H14" s="33"/>
      <c r="I14" s="33"/>
      <c r="J14" s="40">
        <f>C36*'E Balans VL '!D24/100/3.6*1000000+C36*'E Balans VL '!E24/100/3.6*1000000</f>
        <v>0</v>
      </c>
      <c r="K14" s="33"/>
      <c r="L14" s="33"/>
      <c r="M14" s="33"/>
      <c r="N14" s="33">
        <f>C36*'E Balans VL '!Y24/100/3.6*1000000</f>
        <v>36.647670176473568</v>
      </c>
      <c r="O14" s="33"/>
      <c r="P14" s="33"/>
      <c r="R14" s="32"/>
    </row>
    <row r="15" spans="1:18">
      <c r="A15" s="6" t="s">
        <v>269</v>
      </c>
      <c r="B15" s="37">
        <f t="shared" si="0"/>
        <v>86.022000000000006</v>
      </c>
      <c r="C15" s="33"/>
      <c r="D15" s="37">
        <f>IF( ISERROR(IND_rest_gas_kWh/1000),0,IND_rest_gas_kWh/1000)*0.902</f>
        <v>25.915362000000002</v>
      </c>
      <c r="E15" s="33">
        <f>C37*'E Balans VL '!I15/100/3.6*1000000</f>
        <v>4.7497856993910483</v>
      </c>
      <c r="F15" s="33">
        <f>C37*'E Balans VL '!L15/100/3.6*1000000+C37*'E Balans VL '!N15/100/3.6*1000000</f>
        <v>17.038383517571674</v>
      </c>
      <c r="G15" s="34"/>
      <c r="H15" s="33"/>
      <c r="I15" s="33"/>
      <c r="J15" s="40">
        <f>C37*'E Balans VL '!D15/100/3.6*1000000+C37*'E Balans VL '!E15/100/3.6*1000000</f>
        <v>0.30795712423766841</v>
      </c>
      <c r="K15" s="33"/>
      <c r="L15" s="33"/>
      <c r="M15" s="33"/>
      <c r="N15" s="33">
        <f>C37*'E Balans VL '!Y15/100/3.6*1000000</f>
        <v>6.0382793927416438</v>
      </c>
      <c r="O15" s="33"/>
      <c r="P15" s="33"/>
      <c r="R15" s="32"/>
    </row>
    <row r="16" spans="1:18">
      <c r="A16" s="16" t="s">
        <v>487</v>
      </c>
      <c r="B16" s="247">
        <f>'lokale energieproductie'!N42+'lokale energieproductie'!N35</f>
        <v>225</v>
      </c>
      <c r="C16" s="247">
        <f>'lokale energieproductie'!O42+'lokale energieproductie'!O35</f>
        <v>321.42857142857144</v>
      </c>
      <c r="D16" s="308">
        <f>('lokale energieproductie'!P35+'lokale energieproductie'!P42)*(-1)</f>
        <v>-642.85714285714289</v>
      </c>
      <c r="E16" s="248"/>
      <c r="F16" s="308">
        <f>('lokale energieproductie'!S35+'lokale energieproductie'!S42)*(-1)</f>
        <v>0</v>
      </c>
      <c r="G16" s="249"/>
      <c r="H16" s="248"/>
      <c r="I16" s="248"/>
      <c r="J16" s="248"/>
      <c r="K16" s="248"/>
      <c r="L16" s="308">
        <f>('lokale energieproductie'!T35+'lokale energieproductie'!U35+'lokale energieproductie'!T42+'lokale energieproductie'!U42)*(-1)</f>
        <v>0</v>
      </c>
      <c r="M16" s="248"/>
      <c r="N16" s="308">
        <f>('lokale energieproductie'!Q35+'lokale energieproductie'!R35+'lokale energieproductie'!V35+'lokale energieproductie'!Q42+'lokale energieproductie'!R42+'lokale energieproductie'!V42)*(-1)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57118.38631799999</v>
      </c>
      <c r="C18" s="21">
        <f>C5+C16</f>
        <v>321.42857142857144</v>
      </c>
      <c r="D18" s="21">
        <f>MAX((D5+D16),0)</f>
        <v>98959.569768382862</v>
      </c>
      <c r="E18" s="21">
        <f>MAX((E5+E16),0)</f>
        <v>7769.02363704037</v>
      </c>
      <c r="F18" s="21">
        <f>MAX((F5+F16),0)</f>
        <v>25700.525373136777</v>
      </c>
      <c r="G18" s="21"/>
      <c r="H18" s="21"/>
      <c r="I18" s="21"/>
      <c r="J18" s="21">
        <f>MAX((J5+J16),0)</f>
        <v>21.244556080187763</v>
      </c>
      <c r="K18" s="21"/>
      <c r="L18" s="21">
        <f>MAX((L5+L16),0)</f>
        <v>0</v>
      </c>
      <c r="M18" s="21"/>
      <c r="N18" s="21">
        <f>MAX((N5+N16),0)</f>
        <v>6251.3863878669617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0.1983750050363278</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11330.860173500165</v>
      </c>
      <c r="C22" s="23">
        <f ca="1">C18*C20</f>
        <v>76.386554621848774</v>
      </c>
      <c r="D22" s="23">
        <f>D18*D20</f>
        <v>19989.833093213339</v>
      </c>
      <c r="E22" s="23">
        <f>E18*E20</f>
        <v>1763.568365608164</v>
      </c>
      <c r="F22" s="23">
        <f>F18*F20</f>
        <v>6862.0402746275204</v>
      </c>
      <c r="G22" s="23"/>
      <c r="H22" s="23"/>
      <c r="I22" s="23"/>
      <c r="J22" s="23">
        <f>J18*J20</f>
        <v>7.5205728523864677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746</v>
      </c>
    </row>
    <row r="29" spans="1:18">
      <c r="A29" s="171" t="s">
        <v>37</v>
      </c>
      <c r="B29" s="37">
        <f>IF( ISERROR(IND_nonf_ele_kWh/1000),0,IND_nonf_ele_kWh/1000)</f>
        <v>0</v>
      </c>
      <c r="C29" s="39">
        <f>IF(ISERROR(B29*3.6/1000000/'E Balans VL '!Z17*100),0,B29*3.6/1000000/'E Balans VL '!Z17*100)</f>
        <v>0</v>
      </c>
      <c r="D29" s="237" t="s">
        <v>746</v>
      </c>
    </row>
    <row r="30" spans="1:18">
      <c r="A30" s="171" t="s">
        <v>35</v>
      </c>
      <c r="B30" s="37">
        <f>IF( ISERROR(IND_metaal_ele_kWh/1000),0,IND_metaal_ele_kWh/1000)</f>
        <v>4045.4764449999998</v>
      </c>
      <c r="C30" s="39">
        <f>IF(ISERROR(B30*3.6/1000000/'E Balans VL '!Z18*100),0,B30*3.6/1000000/'E Balans VL '!Z18*100)</f>
        <v>0.22926752341821768</v>
      </c>
      <c r="D30" s="237" t="s">
        <v>746</v>
      </c>
    </row>
    <row r="31" spans="1:18">
      <c r="A31" s="6" t="s">
        <v>32</v>
      </c>
      <c r="B31" s="37">
        <f>IF( ISERROR(IND_ander_ele_kWh/1000),0,IND_ander_ele_kWh/1000)</f>
        <v>25075.994859999999</v>
      </c>
      <c r="C31" s="39">
        <f>IF(ISERROR(B31*3.6/1000000/'E Balans VL '!Z19*100),0,B31*3.6/1000000/'E Balans VL '!Z19*100)</f>
        <v>1.1373427122243076</v>
      </c>
      <c r="D31" s="237" t="s">
        <v>746</v>
      </c>
    </row>
    <row r="32" spans="1:18">
      <c r="A32" s="171" t="s">
        <v>40</v>
      </c>
      <c r="B32" s="37">
        <f>IF( ISERROR(IND_voed_ele_kWh/1000),0,IND_voed_ele_kWh/1000)</f>
        <v>11800.773463</v>
      </c>
      <c r="C32" s="39">
        <f>IF(ISERROR(B32*3.6/1000000/'E Balans VL '!Z20*100),0,B32*3.6/1000000/'E Balans VL '!Z20*100)</f>
        <v>0.36505149419881916</v>
      </c>
      <c r="D32" s="237" t="s">
        <v>746</v>
      </c>
    </row>
    <row r="33" spans="1:5">
      <c r="A33" s="171" t="s">
        <v>39</v>
      </c>
      <c r="B33" s="37">
        <f>IF( ISERROR(IND_textiel_ele_kWh/1000),0,IND_textiel_ele_kWh/1000)</f>
        <v>169.87354999999999</v>
      </c>
      <c r="C33" s="39">
        <f>IF(ISERROR(B33*3.6/1000000/'E Balans VL '!Z21*100),0,B33*3.6/1000000/'E Balans VL '!Z21*100)</f>
        <v>2.2149622679342274E-2</v>
      </c>
      <c r="D33" s="237" t="s">
        <v>746</v>
      </c>
    </row>
    <row r="34" spans="1:5">
      <c r="A34" s="171" t="s">
        <v>36</v>
      </c>
      <c r="B34" s="37">
        <f>IF( ISERROR(IND_min_ele_kWh/1000),0,IND_min_ele_kWh/1000)</f>
        <v>12602.013000000001</v>
      </c>
      <c r="C34" s="39">
        <f>IF(ISERROR(B34*3.6/1000000/'E Balans VL '!Z22*100),0,B34*3.6/1000000/'E Balans VL '!Z22*100)</f>
        <v>2.2667089604226014</v>
      </c>
      <c r="D34" s="237" t="s">
        <v>746</v>
      </c>
    </row>
    <row r="35" spans="1:5">
      <c r="A35" s="171" t="s">
        <v>38</v>
      </c>
      <c r="B35" s="37">
        <f>IF( ISERROR(IND_papier_ele_kWh/1000),0,IND_papier_ele_kWh/1000)</f>
        <v>1472.229</v>
      </c>
      <c r="C35" s="39">
        <f>IF(ISERROR(B35*3.6/1000000/'E Balans VL '!Z22*100),0,B35*3.6/1000000/'E Balans VL '!Z22*100)</f>
        <v>0.26480806408420671</v>
      </c>
      <c r="D35" s="237" t="s">
        <v>746</v>
      </c>
    </row>
    <row r="36" spans="1:5">
      <c r="A36" s="171" t="s">
        <v>33</v>
      </c>
      <c r="B36" s="37">
        <f>IF( ISERROR(IND_chemie_ele_kWh/1000),0,IND_chemie_ele_kWh/1000)</f>
        <v>1641.0039999999999</v>
      </c>
      <c r="C36" s="39">
        <f>IF(ISERROR(B36*3.6/1000000/'E Balans VL '!Z24*100),0,B36*3.6/1000000/'E Balans VL '!Z24*100)</f>
        <v>5.0040816784236886E-2</v>
      </c>
      <c r="D36" s="237" t="s">
        <v>746</v>
      </c>
    </row>
    <row r="37" spans="1:5">
      <c r="A37" s="171" t="s">
        <v>269</v>
      </c>
      <c r="B37" s="37">
        <f>IF( ISERROR(IND_rest_ele_kWh/1000),0,IND_rest_ele_kWh/1000)</f>
        <v>86.022000000000006</v>
      </c>
      <c r="C37" s="39">
        <f>IF(ISERROR(B37*3.6/1000000/'E Balans VL '!Z15*100),0,B37*3.6/1000000/'E Balans VL '!Z15*100)</f>
        <v>6.818299950633541E-4</v>
      </c>
      <c r="D37" s="237" t="s">
        <v>746</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1656.029706</v>
      </c>
      <c r="C5" s="17">
        <f>'Eigen informatie GS &amp; warmtenet'!B60</f>
        <v>0</v>
      </c>
      <c r="D5" s="30">
        <f>IF(ISERROR(SUM(LB_lb_gas_kWh,LB_rest_gas_kWh)/1000),0,SUM(LB_lb_gas_kWh,LB_rest_gas_kWh)/1000)*0.902</f>
        <v>955.90893200000005</v>
      </c>
      <c r="E5" s="17">
        <f>B17*'E Balans VL '!I25/3.6*1000000/100</f>
        <v>48.675771157875445</v>
      </c>
      <c r="F5" s="17">
        <f>B17*('E Balans VL '!L25/3.6*1000000+'E Balans VL '!N25/3.6*1000000)/100</f>
        <v>6898.9302680476594</v>
      </c>
      <c r="G5" s="18"/>
      <c r="H5" s="17"/>
      <c r="I5" s="17"/>
      <c r="J5" s="17">
        <f>('E Balans VL '!D25+'E Balans VL '!E25)/3.6*1000000*landbouw!B17/100</f>
        <v>239.92314075437062</v>
      </c>
      <c r="K5" s="17"/>
      <c r="L5" s="17">
        <f>L6*(-1)</f>
        <v>0</v>
      </c>
      <c r="M5" s="17"/>
      <c r="N5" s="17">
        <f>N6*(-1)</f>
        <v>0</v>
      </c>
      <c r="O5" s="17"/>
      <c r="P5" s="17"/>
      <c r="R5" s="32"/>
    </row>
    <row r="6" spans="1:18">
      <c r="A6" s="16" t="s">
        <v>487</v>
      </c>
      <c r="B6" s="17" t="s">
        <v>210</v>
      </c>
      <c r="C6" s="17">
        <f>'lokale energieproductie'!O44+'lokale energieproductie'!O37</f>
        <v>0</v>
      </c>
      <c r="D6" s="308">
        <f>('lokale energieproductie'!P37+'lokale energieproductie'!P44)*(-1)</f>
        <v>0</v>
      </c>
      <c r="E6" s="248"/>
      <c r="F6" s="308">
        <f>('lokale energieproductie'!S37+'lokale energieproductie'!S44)*(-1)</f>
        <v>0</v>
      </c>
      <c r="G6" s="249"/>
      <c r="H6" s="248"/>
      <c r="I6" s="248"/>
      <c r="J6" s="248"/>
      <c r="K6" s="248"/>
      <c r="L6" s="308">
        <f>('lokale energieproductie'!T37+'lokale energieproductie'!U37+'lokale energieproductie'!T44+'lokale energieproductie'!U44)*(-1)</f>
        <v>0</v>
      </c>
      <c r="M6" s="248"/>
      <c r="N6" s="308">
        <f>('lokale energieproductie'!V37+'lokale energieproductie'!R37+'lokale energieproductie'!Q37+'lokale energieproductie'!Q44+'lokale energieproductie'!R44+'lokale energieproductie'!V44)*(-1)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1656.029706</v>
      </c>
      <c r="C8" s="21">
        <f>C5+C6</f>
        <v>0</v>
      </c>
      <c r="D8" s="21">
        <f>MAX((D5+D6),0)</f>
        <v>955.90893200000005</v>
      </c>
      <c r="E8" s="21">
        <f>MAX((E5+E6),0)</f>
        <v>48.675771157875445</v>
      </c>
      <c r="F8" s="21">
        <f>MAX((F5+F6),0)</f>
        <v>6898.9302680476594</v>
      </c>
      <c r="G8" s="21"/>
      <c r="H8" s="21"/>
      <c r="I8" s="21"/>
      <c r="J8" s="21">
        <f>MAX((J5+J6),0)</f>
        <v>239.92314075437062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0.1983750050363278</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328.51490126805845</v>
      </c>
      <c r="C12" s="23">
        <f ca="1">C8*C10</f>
        <v>0</v>
      </c>
      <c r="D12" s="23">
        <f>D8*D10</f>
        <v>193.09360426400002</v>
      </c>
      <c r="E12" s="23">
        <f>E8*E10</f>
        <v>11.049400052837726</v>
      </c>
      <c r="F12" s="23">
        <f>F8*F10</f>
        <v>1842.0143815687252</v>
      </c>
      <c r="G12" s="23"/>
      <c r="H12" s="23"/>
      <c r="I12" s="23"/>
      <c r="J12" s="23">
        <f>J8*J10</f>
        <v>84.932791827047197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0.23499581091615188</v>
      </c>
      <c r="C17" s="237" t="s">
        <v>743</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233.6980100908828</v>
      </c>
      <c r="C26" s="247">
        <f>B26*'GWP N2O_CH4'!B5</f>
        <v>4907.6582119085388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72.281136434199212</v>
      </c>
      <c r="C27" s="247">
        <f>B27*'GWP N2O_CH4'!B5</f>
        <v>1517.9038651181834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6.1500758746853457</v>
      </c>
      <c r="C28" s="247">
        <f>B28*'GWP N2O_CH4'!B4</f>
        <v>1906.5235211524571</v>
      </c>
      <c r="D28" s="50"/>
    </row>
    <row r="29" spans="1:4">
      <c r="A29" s="41" t="s">
        <v>276</v>
      </c>
      <c r="B29" s="247">
        <f>B34*'ha_N2O bodem landbouw'!B4</f>
        <v>20.173574249809942</v>
      </c>
      <c r="C29" s="247">
        <f>B29*'GWP N2O_CH4'!B4</f>
        <v>6253.8080174410816</v>
      </c>
      <c r="D29" s="50"/>
    </row>
    <row r="31" spans="1:4">
      <c r="A31" s="193" t="s">
        <v>494</v>
      </c>
      <c r="B31" s="203"/>
      <c r="C31" s="225"/>
    </row>
    <row r="32" spans="1:4">
      <c r="A32" s="236"/>
      <c r="B32" s="32"/>
      <c r="C32" s="237"/>
    </row>
    <row r="33" spans="1:5">
      <c r="A33" s="238"/>
      <c r="B33" s="224" t="s">
        <v>625</v>
      </c>
      <c r="C33" s="239" t="s">
        <v>181</v>
      </c>
    </row>
    <row r="34" spans="1:5">
      <c r="A34" s="257" t="s">
        <v>111</v>
      </c>
      <c r="B34" s="35">
        <f>IF(ISERROR(aantalCultuurgronden/'ha_N2O bodem landbouw'!B5),0,aantalCultuurgronden/'ha_N2O bodem landbouw'!B5)</f>
        <v>4.6035401225769674E-3</v>
      </c>
      <c r="C34" s="910" t="s">
        <v>781</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8.7903238231057997E-4</v>
      </c>
      <c r="C5" s="437" t="s">
        <v>210</v>
      </c>
      <c r="D5" s="422">
        <f>SUM(D6:D11)</f>
        <v>2.3994990786936369E-3</v>
      </c>
      <c r="E5" s="422">
        <f>SUM(E6:E11)</f>
        <v>4.3708773433147685E-3</v>
      </c>
      <c r="F5" s="435" t="s">
        <v>210</v>
      </c>
      <c r="G5" s="422">
        <f>SUM(G6:G11)</f>
        <v>1.7568382110356455</v>
      </c>
      <c r="H5" s="422">
        <f>SUM(H6:H11)</f>
        <v>0.41090962618334842</v>
      </c>
      <c r="I5" s="437" t="s">
        <v>210</v>
      </c>
      <c r="J5" s="437" t="s">
        <v>210</v>
      </c>
      <c r="K5" s="437" t="s">
        <v>210</v>
      </c>
      <c r="L5" s="437" t="s">
        <v>210</v>
      </c>
      <c r="M5" s="422">
        <f>SUM(M6:M11)</f>
        <v>0.11474140269065841</v>
      </c>
      <c r="N5" s="437" t="s">
        <v>210</v>
      </c>
      <c r="O5" s="437" t="s">
        <v>210</v>
      </c>
      <c r="P5" s="438" t="s">
        <v>210</v>
      </c>
    </row>
    <row r="6" spans="1:18">
      <c r="A6" s="261" t="s">
        <v>659</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4.6528145911467532E-4</v>
      </c>
      <c r="C6" s="423"/>
      <c r="D6" s="865">
        <f>vkm_GW_PW*SUMIFS(TableVerdeelsleutelVkm[CNG],TableVerdeelsleutelVkm[Voertuigtype],"Lichte voertuigen")*SUMIFS(TableECFTransport[EnergieConsumptieFactor (PJ per km)],TableECFTransport[Index],CONCATENATE($A6,"_CNG_CNG"))</f>
        <v>1.1530810627498704E-3</v>
      </c>
      <c r="E6" s="865">
        <f>vkm_GW_PW*SUMIFS(TableVerdeelsleutelVkm[LPG],TableVerdeelsleutelVkm[Voertuigtype],"Lichte voertuigen")*SUMIFS(TableECFTransport[EnergieConsumptieFactor (PJ per km)],TableECFTransport[Index],CONCATENATE($A6,"_LPG_LPG"))</f>
        <v>1.9795522444692594E-3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0.60656355468016421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0.19591328946535896</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4.1206601580024552E-2</v>
      </c>
      <c r="N6" s="423"/>
      <c r="O6" s="423"/>
      <c r="P6" s="424"/>
    </row>
    <row r="7" spans="1:18">
      <c r="A7" s="261" t="s">
        <v>660</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0.25878963821419443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4.3290799152110695E-6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1.5119928504185138E-2</v>
      </c>
      <c r="N7" s="423"/>
      <c r="O7" s="423"/>
      <c r="P7" s="424"/>
      <c r="R7" s="862"/>
    </row>
    <row r="8" spans="1:18">
      <c r="A8" s="261" t="s">
        <v>661</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1.294393273187036E-4</v>
      </c>
      <c r="C8" s="423"/>
      <c r="D8" s="425">
        <f>vkm_NGW_PW*SUMIFS(TableVerdeelsleutelVkm[CNG],TableVerdeelsleutelVkm[Voertuigtype],"Lichte voertuigen")*SUMIFS(TableECFTransport[EnergieConsumptieFactor (PJ per km)],TableECFTransport[Index],CONCATENATE($A8,"_CNG_CNG"))</f>
        <v>5.4219161390653121E-4</v>
      </c>
      <c r="E8" s="425">
        <f>vkm_NGW_PW*SUMIFS(TableVerdeelsleutelVkm[LPG],TableVerdeelsleutelVkm[Voertuigtype],"Lichte voertuigen")*SUMIFS(TableECFTransport[EnergieConsumptieFactor (PJ per km)],TableECFTransport[Index],CONCATENATE($A8,"_LPG_LPG"))</f>
        <v>8.8394795414113616E-4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0.25477477999060033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9.0094468235968297E-2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1.7537797855532739E-2</v>
      </c>
      <c r="N8" s="423"/>
      <c r="O8" s="423"/>
      <c r="P8" s="424"/>
      <c r="R8" s="862"/>
    </row>
    <row r="9" spans="1:18">
      <c r="A9" s="261" t="s">
        <v>662</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5.360884434061625E-3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1.1047143363198982E-7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3.1321326601035172E-4</v>
      </c>
      <c r="N9" s="423"/>
      <c r="O9" s="423"/>
      <c r="P9" s="424"/>
      <c r="R9" s="862"/>
    </row>
    <row r="10" spans="1:18">
      <c r="A10" s="261" t="s">
        <v>663</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2.8431159587720108E-4</v>
      </c>
      <c r="C10" s="423"/>
      <c r="D10" s="425">
        <f>vkm_SW_PW*SUMIFS(TableVerdeelsleutelVkm[CNG],TableVerdeelsleutelVkm[Voertuigtype],"Lichte voertuigen")*SUMIFS(TableECFTransport[EnergieConsumptieFactor (PJ per km)],TableECFTransport[Index],CONCATENATE($A10,"_CNG_CNG"))</f>
        <v>7.0422640203723506E-4</v>
      </c>
      <c r="E10" s="425">
        <f>vkm_SW_PW*SUMIFS(TableVerdeelsleutelVkm[LPG],TableVerdeelsleutelVkm[Voertuigtype],"Lichte voertuigen")*SUMIFS(TableECFTransport[EnergieConsumptieFactor (PJ per km)],TableECFTransport[Index],CONCATENATE($A10,"_LPG_LPG"))</f>
        <v>1.5073771447043729E-3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0.41321523808062965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0.12489354182026867</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2.7819247481686321E-2</v>
      </c>
      <c r="N10" s="423"/>
      <c r="O10" s="423"/>
      <c r="P10" s="424"/>
      <c r="R10" s="862"/>
    </row>
    <row r="11" spans="1:18">
      <c r="A11" s="4" t="s">
        <v>664</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0.21813411563599538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3.887110403687536E-6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1.2744614003219313E-2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244.17566175293888</v>
      </c>
      <c r="C14" s="21"/>
      <c r="D14" s="21">
        <f t="shared" ref="D14:M14" si="0">((D5)*10^9/3600)+D12</f>
        <v>666.52752185934366</v>
      </c>
      <c r="E14" s="21">
        <f t="shared" si="0"/>
        <v>1214.1325953652135</v>
      </c>
      <c r="F14" s="21"/>
      <c r="G14" s="21">
        <f t="shared" si="0"/>
        <v>488010.61417656817</v>
      </c>
      <c r="H14" s="21">
        <f t="shared" si="0"/>
        <v>114141.56282870789</v>
      </c>
      <c r="I14" s="21"/>
      <c r="J14" s="21"/>
      <c r="K14" s="21"/>
      <c r="L14" s="21"/>
      <c r="M14" s="21">
        <f t="shared" si="0"/>
        <v>31872.611858516222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0.1983750050363278</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48.438348129987922</v>
      </c>
      <c r="C18" s="23"/>
      <c r="D18" s="23">
        <f t="shared" ref="D18:M18" si="1">D14*D16</f>
        <v>134.63855941558742</v>
      </c>
      <c r="E18" s="23">
        <f t="shared" si="1"/>
        <v>275.60809914790349</v>
      </c>
      <c r="F18" s="23"/>
      <c r="G18" s="23">
        <f t="shared" si="1"/>
        <v>130298.8339851437</v>
      </c>
      <c r="H18" s="23">
        <f t="shared" si="1"/>
        <v>28421.249144348265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665</v>
      </c>
      <c r="D23" s="897" t="s">
        <v>666</v>
      </c>
      <c r="E23" s="897" t="s">
        <v>667</v>
      </c>
      <c r="F23" s="897" t="s">
        <v>649</v>
      </c>
      <c r="G23" s="897" t="s">
        <v>668</v>
      </c>
      <c r="H23" s="897" t="s">
        <v>669</v>
      </c>
      <c r="I23" s="897" t="s">
        <v>118</v>
      </c>
      <c r="J23" s="897" t="s">
        <v>670</v>
      </c>
      <c r="K23" s="897" t="s">
        <v>671</v>
      </c>
      <c r="L23" s="898" t="s">
        <v>672</v>
      </c>
      <c r="M23" s="129" t="s">
        <v>181</v>
      </c>
      <c r="N23" s="268" t="s">
        <v>315</v>
      </c>
    </row>
    <row r="24" spans="1:18">
      <c r="A24" s="32" t="s">
        <v>657</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869</v>
      </c>
      <c r="N24" s="864">
        <f>SUM(B24:K24)</f>
        <v>1.001416434</v>
      </c>
      <c r="O24" s="862" t="s">
        <v>650</v>
      </c>
    </row>
    <row r="25" spans="1:18">
      <c r="A25" s="32" t="s">
        <v>658</v>
      </c>
      <c r="B25" s="1043"/>
      <c r="C25" s="1042">
        <v>0.99997514499999995</v>
      </c>
      <c r="D25" s="1043"/>
      <c r="E25" s="1043"/>
      <c r="F25" s="1042"/>
      <c r="G25" s="1043"/>
      <c r="H25" s="1043"/>
      <c r="I25" s="1043"/>
      <c r="J25" s="1043">
        <v>2.4854700000000001E-5</v>
      </c>
      <c r="K25" s="1043"/>
      <c r="M25" s="1049" t="s">
        <v>869</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871</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5.8148843765731317E-2</v>
      </c>
      <c r="H50" s="319">
        <f t="shared" si="2"/>
        <v>0</v>
      </c>
      <c r="I50" s="319">
        <f t="shared" si="2"/>
        <v>0</v>
      </c>
      <c r="J50" s="319">
        <f t="shared" si="2"/>
        <v>0</v>
      </c>
      <c r="K50" s="319">
        <f t="shared" si="2"/>
        <v>0</v>
      </c>
      <c r="L50" s="319">
        <f t="shared" si="2"/>
        <v>0</v>
      </c>
      <c r="M50" s="319">
        <f t="shared" si="2"/>
        <v>3.3023481479790792E-3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5.8148843765731317E-2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3.3023481479790792E-3</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16152.456601592034</v>
      </c>
      <c r="H54" s="21">
        <f t="shared" si="3"/>
        <v>0</v>
      </c>
      <c r="I54" s="21">
        <f t="shared" si="3"/>
        <v>0</v>
      </c>
      <c r="J54" s="21">
        <f t="shared" si="3"/>
        <v>0</v>
      </c>
      <c r="K54" s="21">
        <f t="shared" si="3"/>
        <v>0</v>
      </c>
      <c r="L54" s="21">
        <f t="shared" si="3"/>
        <v>0</v>
      </c>
      <c r="M54" s="21">
        <f t="shared" si="3"/>
        <v>917.31892999418869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0.1983750050363278</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4312.7059126250733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560</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750</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561</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209077.35289799998</v>
      </c>
      <c r="D10" s="979">
        <f ca="1">tertiair!C16</f>
        <v>2939.1428571428573</v>
      </c>
      <c r="E10" s="979">
        <f ca="1">tertiair!D16</f>
        <v>207729.4275883683</v>
      </c>
      <c r="F10" s="979">
        <f>tertiair!E16</f>
        <v>2798.0225881226615</v>
      </c>
      <c r="G10" s="979">
        <f ca="1">tertiair!F16</f>
        <v>34505.804180229803</v>
      </c>
      <c r="H10" s="979">
        <f>tertiair!G16</f>
        <v>0</v>
      </c>
      <c r="I10" s="979">
        <f>tertiair!H16</f>
        <v>0</v>
      </c>
      <c r="J10" s="979">
        <f>tertiair!I16</f>
        <v>0</v>
      </c>
      <c r="K10" s="979">
        <f>tertiair!J16</f>
        <v>0.36982345073509576</v>
      </c>
      <c r="L10" s="979">
        <f>tertiair!K16</f>
        <v>0</v>
      </c>
      <c r="M10" s="979">
        <f ca="1">tertiair!L16</f>
        <v>0</v>
      </c>
      <c r="N10" s="979">
        <f>tertiair!M16</f>
        <v>0</v>
      </c>
      <c r="O10" s="979">
        <f ca="1">tertiair!N16</f>
        <v>11405.629584944618</v>
      </c>
      <c r="P10" s="979">
        <f>tertiair!O16</f>
        <v>12.506666666666668</v>
      </c>
      <c r="Q10" s="980">
        <f>tertiair!P16</f>
        <v>228.8</v>
      </c>
      <c r="R10" s="674">
        <f ca="1">SUM(C10:Q10)</f>
        <v>468697.05618692562</v>
      </c>
      <c r="S10" s="67"/>
    </row>
    <row r="11" spans="1:19" s="447" customFormat="1">
      <c r="A11" s="783" t="s">
        <v>224</v>
      </c>
      <c r="B11" s="788"/>
      <c r="C11" s="979">
        <f>huishoudens!B8</f>
        <v>124945.58311394951</v>
      </c>
      <c r="D11" s="979">
        <f>huishoudens!C8</f>
        <v>0</v>
      </c>
      <c r="E11" s="979">
        <f>huishoudens!D8</f>
        <v>290640.48739550001</v>
      </c>
      <c r="F11" s="979">
        <f>huishoudens!E8</f>
        <v>29304.221030257697</v>
      </c>
      <c r="G11" s="979">
        <f>huishoudens!F8</f>
        <v>58928.176583978442</v>
      </c>
      <c r="H11" s="979">
        <f>huishoudens!G8</f>
        <v>0</v>
      </c>
      <c r="I11" s="979">
        <f>huishoudens!H8</f>
        <v>0</v>
      </c>
      <c r="J11" s="979">
        <f>huishoudens!I8</f>
        <v>0</v>
      </c>
      <c r="K11" s="979">
        <f>huishoudens!J8</f>
        <v>0</v>
      </c>
      <c r="L11" s="979">
        <f>huishoudens!K8</f>
        <v>0</v>
      </c>
      <c r="M11" s="979">
        <f>huishoudens!L8</f>
        <v>0</v>
      </c>
      <c r="N11" s="979">
        <f>huishoudens!M8</f>
        <v>0</v>
      </c>
      <c r="O11" s="979">
        <f>huishoudens!N8</f>
        <v>38915.241783573598</v>
      </c>
      <c r="P11" s="979">
        <f>huishoudens!O8</f>
        <v>1130.29</v>
      </c>
      <c r="Q11" s="980">
        <f>huishoudens!P8</f>
        <v>4061.2</v>
      </c>
      <c r="R11" s="674">
        <f>SUM(C11:Q11)</f>
        <v>547925.19990725932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639</v>
      </c>
      <c r="B13" s="792" t="s">
        <v>637</v>
      </c>
      <c r="C13" s="979">
        <f>industrie!B18</f>
        <v>57118.38631799999</v>
      </c>
      <c r="D13" s="979">
        <f>industrie!C18</f>
        <v>321.42857142857144</v>
      </c>
      <c r="E13" s="979">
        <f>industrie!D18</f>
        <v>98959.569768382862</v>
      </c>
      <c r="F13" s="979">
        <f>industrie!E18</f>
        <v>7769.02363704037</v>
      </c>
      <c r="G13" s="979">
        <f>industrie!F18</f>
        <v>25700.525373136777</v>
      </c>
      <c r="H13" s="979">
        <f>industrie!G18</f>
        <v>0</v>
      </c>
      <c r="I13" s="979">
        <f>industrie!H18</f>
        <v>0</v>
      </c>
      <c r="J13" s="979">
        <f>industrie!I18</f>
        <v>0</v>
      </c>
      <c r="K13" s="979">
        <f>industrie!J18</f>
        <v>21.244556080187763</v>
      </c>
      <c r="L13" s="979">
        <f>industrie!K18</f>
        <v>0</v>
      </c>
      <c r="M13" s="979">
        <f>industrie!L18</f>
        <v>0</v>
      </c>
      <c r="N13" s="979">
        <f>industrie!M18</f>
        <v>0</v>
      </c>
      <c r="O13" s="979">
        <f>industrie!N18</f>
        <v>6251.3863878669617</v>
      </c>
      <c r="P13" s="979">
        <f>industrie!O18</f>
        <v>0</v>
      </c>
      <c r="Q13" s="980">
        <f>industrie!P18</f>
        <v>0</v>
      </c>
      <c r="R13" s="674">
        <f>SUM(C13:Q13)</f>
        <v>196141.56461193573</v>
      </c>
      <c r="S13" s="67"/>
    </row>
    <row r="14" spans="1:19" s="447" customFormat="1">
      <c r="A14" s="783"/>
      <c r="B14" s="792" t="s">
        <v>638</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823</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391141.32232994947</v>
      </c>
      <c r="D16" s="706">
        <f t="shared" ref="D16:R16" ca="1" si="0">SUM(D9:D15)</f>
        <v>3260.5714285714289</v>
      </c>
      <c r="E16" s="706">
        <f t="shared" ca="1" si="0"/>
        <v>597329.48475225118</v>
      </c>
      <c r="F16" s="706">
        <f t="shared" si="0"/>
        <v>39871.267255420731</v>
      </c>
      <c r="G16" s="706">
        <f t="shared" ca="1" si="0"/>
        <v>119134.50613734502</v>
      </c>
      <c r="H16" s="706">
        <f t="shared" si="0"/>
        <v>0</v>
      </c>
      <c r="I16" s="706">
        <f t="shared" si="0"/>
        <v>0</v>
      </c>
      <c r="J16" s="706">
        <f t="shared" si="0"/>
        <v>0</v>
      </c>
      <c r="K16" s="706">
        <f t="shared" si="0"/>
        <v>21.614379530922861</v>
      </c>
      <c r="L16" s="706">
        <f t="shared" si="0"/>
        <v>0</v>
      </c>
      <c r="M16" s="706">
        <f t="shared" ca="1" si="0"/>
        <v>0</v>
      </c>
      <c r="N16" s="706">
        <f t="shared" si="0"/>
        <v>0</v>
      </c>
      <c r="O16" s="706">
        <f t="shared" ca="1" si="0"/>
        <v>56572.257756385181</v>
      </c>
      <c r="P16" s="706">
        <f t="shared" si="0"/>
        <v>1142.7966666666666</v>
      </c>
      <c r="Q16" s="706">
        <f t="shared" si="0"/>
        <v>4290</v>
      </c>
      <c r="R16" s="706">
        <f t="shared" ca="1" si="0"/>
        <v>1212763.8207061207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16152.456601592034</v>
      </c>
      <c r="I19" s="979">
        <f>transport!H54</f>
        <v>0</v>
      </c>
      <c r="J19" s="979">
        <f>transport!I54</f>
        <v>0</v>
      </c>
      <c r="K19" s="979">
        <f>transport!J54</f>
        <v>0</v>
      </c>
      <c r="L19" s="979">
        <f>transport!K54</f>
        <v>0</v>
      </c>
      <c r="M19" s="979">
        <f>transport!L54</f>
        <v>0</v>
      </c>
      <c r="N19" s="979">
        <f>transport!M54</f>
        <v>917.31892999418869</v>
      </c>
      <c r="O19" s="979">
        <f>transport!N54</f>
        <v>0</v>
      </c>
      <c r="P19" s="979">
        <f>transport!O54</f>
        <v>0</v>
      </c>
      <c r="Q19" s="980">
        <f>transport!P54</f>
        <v>0</v>
      </c>
      <c r="R19" s="674">
        <f>SUM(C19:Q19)</f>
        <v>17069.775531586223</v>
      </c>
      <c r="S19" s="67"/>
    </row>
    <row r="20" spans="1:19" s="447" customFormat="1">
      <c r="A20" s="783" t="s">
        <v>306</v>
      </c>
      <c r="B20" s="788"/>
      <c r="C20" s="979">
        <f>transport!B14</f>
        <v>244.17566175293888</v>
      </c>
      <c r="D20" s="979">
        <f>transport!C14</f>
        <v>0</v>
      </c>
      <c r="E20" s="979">
        <f>transport!D14</f>
        <v>666.52752185934366</v>
      </c>
      <c r="F20" s="979">
        <f>transport!E14</f>
        <v>1214.1325953652135</v>
      </c>
      <c r="G20" s="979">
        <f>transport!F14</f>
        <v>0</v>
      </c>
      <c r="H20" s="979">
        <f>transport!G14</f>
        <v>488010.61417656817</v>
      </c>
      <c r="I20" s="979">
        <f>transport!H14</f>
        <v>114141.56282870789</v>
      </c>
      <c r="J20" s="979">
        <f>transport!I14</f>
        <v>0</v>
      </c>
      <c r="K20" s="979">
        <f>transport!J14</f>
        <v>0</v>
      </c>
      <c r="L20" s="979">
        <f>transport!K14</f>
        <v>0</v>
      </c>
      <c r="M20" s="979">
        <f>transport!L14</f>
        <v>0</v>
      </c>
      <c r="N20" s="979">
        <f>transport!M14</f>
        <v>31872.611858516222</v>
      </c>
      <c r="O20" s="979">
        <f>transport!N14</f>
        <v>0</v>
      </c>
      <c r="P20" s="979">
        <f>transport!O14</f>
        <v>0</v>
      </c>
      <c r="Q20" s="980">
        <f>transport!P14</f>
        <v>0</v>
      </c>
      <c r="R20" s="674">
        <f>SUM(C20:Q20)</f>
        <v>636149.62464276981</v>
      </c>
      <c r="S20" s="67"/>
    </row>
    <row r="21" spans="1:19" s="447" customFormat="1" ht="15" thickBot="1">
      <c r="A21" s="805" t="s">
        <v>824</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244.17566175293888</v>
      </c>
      <c r="D22" s="786">
        <f t="shared" ref="D22:R22" si="1">SUM(D18:D21)</f>
        <v>0</v>
      </c>
      <c r="E22" s="786">
        <f t="shared" si="1"/>
        <v>666.52752185934366</v>
      </c>
      <c r="F22" s="786">
        <f t="shared" si="1"/>
        <v>1214.1325953652135</v>
      </c>
      <c r="G22" s="786">
        <f t="shared" si="1"/>
        <v>0</v>
      </c>
      <c r="H22" s="786">
        <f t="shared" si="1"/>
        <v>504163.07077816018</v>
      </c>
      <c r="I22" s="786">
        <f t="shared" si="1"/>
        <v>114141.56282870789</v>
      </c>
      <c r="J22" s="786">
        <f t="shared" si="1"/>
        <v>0</v>
      </c>
      <c r="K22" s="786">
        <f t="shared" si="1"/>
        <v>0</v>
      </c>
      <c r="L22" s="786">
        <f t="shared" si="1"/>
        <v>0</v>
      </c>
      <c r="M22" s="786">
        <f t="shared" si="1"/>
        <v>0</v>
      </c>
      <c r="N22" s="786">
        <f t="shared" si="1"/>
        <v>32789.930788510414</v>
      </c>
      <c r="O22" s="786">
        <f t="shared" si="1"/>
        <v>0</v>
      </c>
      <c r="P22" s="786">
        <f t="shared" si="1"/>
        <v>0</v>
      </c>
      <c r="Q22" s="786">
        <f t="shared" si="1"/>
        <v>0</v>
      </c>
      <c r="R22" s="786">
        <f t="shared" si="1"/>
        <v>653219.40017435607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634</v>
      </c>
      <c r="B24" s="788"/>
      <c r="C24" s="979">
        <f>+landbouw!B8</f>
        <v>1656.029706</v>
      </c>
      <c r="D24" s="979">
        <f>+landbouw!C8</f>
        <v>0</v>
      </c>
      <c r="E24" s="979">
        <f>+landbouw!D8</f>
        <v>955.90893200000005</v>
      </c>
      <c r="F24" s="979">
        <f>+landbouw!E8</f>
        <v>48.675771157875445</v>
      </c>
      <c r="G24" s="979">
        <f>+landbouw!F8</f>
        <v>6898.9302680476594</v>
      </c>
      <c r="H24" s="979">
        <f>+landbouw!G8</f>
        <v>0</v>
      </c>
      <c r="I24" s="979">
        <f>+landbouw!H8</f>
        <v>0</v>
      </c>
      <c r="J24" s="979">
        <f>+landbouw!I8</f>
        <v>0</v>
      </c>
      <c r="K24" s="979">
        <f>+landbouw!J8</f>
        <v>239.92314075437062</v>
      </c>
      <c r="L24" s="979">
        <f>+landbouw!K8</f>
        <v>0</v>
      </c>
      <c r="M24" s="979">
        <f>+landbouw!L8</f>
        <v>0</v>
      </c>
      <c r="N24" s="979">
        <f>+landbouw!M8</f>
        <v>0</v>
      </c>
      <c r="O24" s="979">
        <f>+landbouw!N8</f>
        <v>0</v>
      </c>
      <c r="P24" s="979">
        <f>+landbouw!O8</f>
        <v>0</v>
      </c>
      <c r="Q24" s="980">
        <f>+landbouw!P8</f>
        <v>0</v>
      </c>
      <c r="R24" s="674">
        <f>SUM(C24:Q24)</f>
        <v>9799.467817959905</v>
      </c>
      <c r="S24" s="67"/>
    </row>
    <row r="25" spans="1:19" s="447" customFormat="1" ht="15" thickBot="1">
      <c r="A25" s="805" t="s">
        <v>825</v>
      </c>
      <c r="B25" s="982"/>
      <c r="C25" s="983">
        <f>IF(Onbekend_ele_kWh="---",0,Onbekend_ele_kWh)/1000+IF(REST_rest_ele_kWh="---",0,REST_rest_ele_kWh)/1000</f>
        <v>8675.1440579999999</v>
      </c>
      <c r="D25" s="983"/>
      <c r="E25" s="983">
        <f>IF(onbekend_gas_kWh="---",0,onbekend_gas_kWh)/1000+IF(REST_rest_gas_kWh="---",0,REST_rest_gas_kWh)/1000</f>
        <v>21708.259901999998</v>
      </c>
      <c r="F25" s="983"/>
      <c r="G25" s="983"/>
      <c r="H25" s="983"/>
      <c r="I25" s="983"/>
      <c r="J25" s="983"/>
      <c r="K25" s="983"/>
      <c r="L25" s="983"/>
      <c r="M25" s="983"/>
      <c r="N25" s="983"/>
      <c r="O25" s="983"/>
      <c r="P25" s="983"/>
      <c r="Q25" s="984"/>
      <c r="R25" s="674">
        <f>SUM(C25:Q25)</f>
        <v>30383.403959999996</v>
      </c>
      <c r="S25" s="67"/>
    </row>
    <row r="26" spans="1:19" s="447" customFormat="1" ht="15.75" thickBot="1">
      <c r="A26" s="679" t="s">
        <v>826</v>
      </c>
      <c r="B26" s="791"/>
      <c r="C26" s="786">
        <f>SUM(C24:C25)</f>
        <v>10331.173763999999</v>
      </c>
      <c r="D26" s="786">
        <f t="shared" ref="D26:R26" si="2">SUM(D24:D25)</f>
        <v>0</v>
      </c>
      <c r="E26" s="786">
        <f t="shared" si="2"/>
        <v>22664.168833999996</v>
      </c>
      <c r="F26" s="786">
        <f t="shared" si="2"/>
        <v>48.675771157875445</v>
      </c>
      <c r="G26" s="786">
        <f t="shared" si="2"/>
        <v>6898.9302680476594</v>
      </c>
      <c r="H26" s="786">
        <f t="shared" si="2"/>
        <v>0</v>
      </c>
      <c r="I26" s="786">
        <f t="shared" si="2"/>
        <v>0</v>
      </c>
      <c r="J26" s="786">
        <f t="shared" si="2"/>
        <v>0</v>
      </c>
      <c r="K26" s="786">
        <f t="shared" si="2"/>
        <v>239.92314075437062</v>
      </c>
      <c r="L26" s="786">
        <f t="shared" si="2"/>
        <v>0</v>
      </c>
      <c r="M26" s="786">
        <f t="shared" si="2"/>
        <v>0</v>
      </c>
      <c r="N26" s="786">
        <f t="shared" si="2"/>
        <v>0</v>
      </c>
      <c r="O26" s="786">
        <f t="shared" si="2"/>
        <v>0</v>
      </c>
      <c r="P26" s="786">
        <f t="shared" si="2"/>
        <v>0</v>
      </c>
      <c r="Q26" s="786">
        <f t="shared" si="2"/>
        <v>0</v>
      </c>
      <c r="R26" s="786">
        <f t="shared" si="2"/>
        <v>40182.871777959903</v>
      </c>
      <c r="S26" s="67"/>
    </row>
    <row r="27" spans="1:19" s="447" customFormat="1" ht="17.25" thickTop="1" thickBot="1">
      <c r="A27" s="680" t="s">
        <v>115</v>
      </c>
      <c r="B27" s="779"/>
      <c r="C27" s="681">
        <f ca="1">C22+C16+C26</f>
        <v>401716.67175570241</v>
      </c>
      <c r="D27" s="681">
        <f t="shared" ref="D27:R27" ca="1" si="3">D22+D16+D26</f>
        <v>3260.5714285714289</v>
      </c>
      <c r="E27" s="681">
        <f t="shared" ca="1" si="3"/>
        <v>620660.18110811058</v>
      </c>
      <c r="F27" s="681">
        <f t="shared" si="3"/>
        <v>41134.075621943819</v>
      </c>
      <c r="G27" s="681">
        <f t="shared" ca="1" si="3"/>
        <v>126033.43640539267</v>
      </c>
      <c r="H27" s="681">
        <f t="shared" si="3"/>
        <v>504163.07077816018</v>
      </c>
      <c r="I27" s="681">
        <f t="shared" si="3"/>
        <v>114141.56282870789</v>
      </c>
      <c r="J27" s="681">
        <f t="shared" si="3"/>
        <v>0</v>
      </c>
      <c r="K27" s="681">
        <f t="shared" si="3"/>
        <v>261.53752028529345</v>
      </c>
      <c r="L27" s="681">
        <f t="shared" si="3"/>
        <v>0</v>
      </c>
      <c r="M27" s="681">
        <f t="shared" ca="1" si="3"/>
        <v>0</v>
      </c>
      <c r="N27" s="681">
        <f t="shared" si="3"/>
        <v>32789.930788510414</v>
      </c>
      <c r="O27" s="681">
        <f t="shared" ca="1" si="3"/>
        <v>56572.257756385181</v>
      </c>
      <c r="P27" s="681">
        <f t="shared" si="3"/>
        <v>1142.7966666666666</v>
      </c>
      <c r="Q27" s="681">
        <f t="shared" si="3"/>
        <v>4290</v>
      </c>
      <c r="R27" s="681">
        <f t="shared" ca="1" si="3"/>
        <v>1906166.0926584366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41475.72093412283</v>
      </c>
      <c r="D40" s="979">
        <f ca="1">tertiair!C20</f>
        <v>698.4786554621852</v>
      </c>
      <c r="E40" s="979">
        <f ca="1">tertiair!D20</f>
        <v>41961.344372850399</v>
      </c>
      <c r="F40" s="979">
        <f>tertiair!E20</f>
        <v>635.15112750384424</v>
      </c>
      <c r="G40" s="979">
        <f ca="1">tertiair!F20</f>
        <v>9213.0497161213571</v>
      </c>
      <c r="H40" s="979">
        <f>tertiair!G20</f>
        <v>0</v>
      </c>
      <c r="I40" s="979">
        <f>tertiair!H20</f>
        <v>0</v>
      </c>
      <c r="J40" s="979">
        <f>tertiair!I20</f>
        <v>0</v>
      </c>
      <c r="K40" s="979">
        <f>tertiair!J20</f>
        <v>0.13091750156022389</v>
      </c>
      <c r="L40" s="979">
        <f>tertiair!K20</f>
        <v>0</v>
      </c>
      <c r="M40" s="979">
        <f ca="1">tertiair!L20</f>
        <v>0</v>
      </c>
      <c r="N40" s="979">
        <f>tertiair!M20</f>
        <v>0</v>
      </c>
      <c r="O40" s="979">
        <f ca="1">tertiair!N20</f>
        <v>0</v>
      </c>
      <c r="P40" s="979">
        <f>tertiair!O20</f>
        <v>0</v>
      </c>
      <c r="Q40" s="748">
        <f>tertiair!P20</f>
        <v>0</v>
      </c>
      <c r="R40" s="824">
        <f t="shared" ca="1" si="4"/>
        <v>93983.875723562189</v>
      </c>
    </row>
    <row r="41" spans="1:18">
      <c r="A41" s="796" t="s">
        <v>224</v>
      </c>
      <c r="B41" s="803"/>
      <c r="C41" s="979">
        <f ca="1">huishoudens!B12</f>
        <v>24786.080679496648</v>
      </c>
      <c r="D41" s="979">
        <f ca="1">huishoudens!C12</f>
        <v>0</v>
      </c>
      <c r="E41" s="979">
        <f>huishoudens!D12</f>
        <v>58709.378453891004</v>
      </c>
      <c r="F41" s="979">
        <f>huishoudens!E12</f>
        <v>6652.0581738684978</v>
      </c>
      <c r="G41" s="979">
        <f>huishoudens!F12</f>
        <v>15733.823147922245</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105881.3404551784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640</v>
      </c>
      <c r="B43" s="811" t="s">
        <v>637</v>
      </c>
      <c r="C43" s="979">
        <f ca="1">industrie!B22</f>
        <v>11330.860173500165</v>
      </c>
      <c r="D43" s="979">
        <f ca="1">industrie!C22</f>
        <v>76.386554621848774</v>
      </c>
      <c r="E43" s="979">
        <f>industrie!D22</f>
        <v>19989.833093213339</v>
      </c>
      <c r="F43" s="979">
        <f>industrie!E22</f>
        <v>1763.568365608164</v>
      </c>
      <c r="G43" s="979">
        <f>industrie!F22</f>
        <v>6862.0402746275204</v>
      </c>
      <c r="H43" s="979">
        <f>industrie!G22</f>
        <v>0</v>
      </c>
      <c r="I43" s="979">
        <f>industrie!H22</f>
        <v>0</v>
      </c>
      <c r="J43" s="979">
        <f>industrie!I22</f>
        <v>0</v>
      </c>
      <c r="K43" s="979">
        <f>industrie!J22</f>
        <v>7.5205728523864677</v>
      </c>
      <c r="L43" s="979">
        <f>industrie!K22</f>
        <v>0</v>
      </c>
      <c r="M43" s="979">
        <f>industrie!L22</f>
        <v>0</v>
      </c>
      <c r="N43" s="979">
        <f>industrie!M22</f>
        <v>0</v>
      </c>
      <c r="O43" s="979">
        <f>industrie!N22</f>
        <v>0</v>
      </c>
      <c r="P43" s="979">
        <f>industrie!O22</f>
        <v>0</v>
      </c>
      <c r="Q43" s="748">
        <f>industrie!P22</f>
        <v>0</v>
      </c>
      <c r="R43" s="823">
        <f t="shared" ca="1" si="4"/>
        <v>40030.209034423431</v>
      </c>
    </row>
    <row r="44" spans="1:18">
      <c r="A44" s="796"/>
      <c r="B44" s="803" t="s">
        <v>638</v>
      </c>
      <c r="C44" s="979"/>
      <c r="D44" s="979"/>
      <c r="E44" s="979"/>
      <c r="F44" s="979"/>
      <c r="G44" s="979"/>
      <c r="H44" s="979"/>
      <c r="I44" s="979"/>
      <c r="J44" s="979"/>
      <c r="K44" s="979"/>
      <c r="L44" s="979"/>
      <c r="M44" s="979"/>
      <c r="N44" s="979"/>
      <c r="O44" s="979"/>
      <c r="P44" s="979"/>
      <c r="Q44" s="748"/>
      <c r="R44" s="824">
        <f t="shared" si="4"/>
        <v>0</v>
      </c>
    </row>
    <row r="45" spans="1:18" ht="15" thickBot="1">
      <c r="A45" s="981" t="s">
        <v>823</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77592.661787119636</v>
      </c>
      <c r="D46" s="706">
        <f t="shared" ref="D46:Q46" ca="1" si="5">SUM(D39:D45)</f>
        <v>774.86521008403395</v>
      </c>
      <c r="E46" s="706">
        <f t="shared" ca="1" si="5"/>
        <v>120660.55591995474</v>
      </c>
      <c r="F46" s="706">
        <f t="shared" si="5"/>
        <v>9050.7776669805062</v>
      </c>
      <c r="G46" s="706">
        <f t="shared" ca="1" si="5"/>
        <v>31808.913138671123</v>
      </c>
      <c r="H46" s="706">
        <f t="shared" si="5"/>
        <v>0</v>
      </c>
      <c r="I46" s="706">
        <f t="shared" si="5"/>
        <v>0</v>
      </c>
      <c r="J46" s="706">
        <f t="shared" si="5"/>
        <v>0</v>
      </c>
      <c r="K46" s="706">
        <f t="shared" si="5"/>
        <v>7.6514903539466914</v>
      </c>
      <c r="L46" s="706">
        <f t="shared" si="5"/>
        <v>0</v>
      </c>
      <c r="M46" s="706">
        <f t="shared" ca="1" si="5"/>
        <v>0</v>
      </c>
      <c r="N46" s="706">
        <f t="shared" si="5"/>
        <v>0</v>
      </c>
      <c r="O46" s="706">
        <f t="shared" ca="1" si="5"/>
        <v>0</v>
      </c>
      <c r="P46" s="706">
        <f t="shared" si="5"/>
        <v>0</v>
      </c>
      <c r="Q46" s="706">
        <f t="shared" si="5"/>
        <v>0</v>
      </c>
      <c r="R46" s="706">
        <f ca="1">SUM(R39:R45)</f>
        <v>239895.42521316404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4312.7059126250733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4312.7059126250733</v>
      </c>
    </row>
    <row r="50" spans="1:18">
      <c r="A50" s="799" t="s">
        <v>306</v>
      </c>
      <c r="B50" s="809"/>
      <c r="C50" s="677">
        <f ca="1">transport!B18</f>
        <v>48.438348129987922</v>
      </c>
      <c r="D50" s="677">
        <f>transport!C18</f>
        <v>0</v>
      </c>
      <c r="E50" s="677">
        <f>transport!D18</f>
        <v>134.63855941558742</v>
      </c>
      <c r="F50" s="677">
        <f>transport!E18</f>
        <v>275.60809914790349</v>
      </c>
      <c r="G50" s="677">
        <f>transport!F18</f>
        <v>0</v>
      </c>
      <c r="H50" s="677">
        <f>transport!G18</f>
        <v>130298.8339851437</v>
      </c>
      <c r="I50" s="677">
        <f>transport!H18</f>
        <v>28421.249144348265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159178.76813618545</v>
      </c>
    </row>
    <row r="51" spans="1:18" ht="15" thickBot="1">
      <c r="A51" s="796" t="s">
        <v>824</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48.438348129987922</v>
      </c>
      <c r="D52" s="706">
        <f t="shared" ref="D52:Q52" ca="1" si="6">SUM(D48:D51)</f>
        <v>0</v>
      </c>
      <c r="E52" s="706">
        <f t="shared" si="6"/>
        <v>134.63855941558742</v>
      </c>
      <c r="F52" s="706">
        <f t="shared" si="6"/>
        <v>275.60809914790349</v>
      </c>
      <c r="G52" s="706">
        <f t="shared" si="6"/>
        <v>0</v>
      </c>
      <c r="H52" s="706">
        <f t="shared" si="6"/>
        <v>134611.53989776879</v>
      </c>
      <c r="I52" s="706">
        <f t="shared" si="6"/>
        <v>28421.249144348265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163491.47404881052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634</v>
      </c>
      <c r="B54" s="809"/>
      <c r="C54" s="677">
        <f ca="1">+landbouw!B12</f>
        <v>328.51490126805845</v>
      </c>
      <c r="D54" s="677">
        <f ca="1">+landbouw!C12</f>
        <v>0</v>
      </c>
      <c r="E54" s="677">
        <f>+landbouw!D12</f>
        <v>193.09360426400002</v>
      </c>
      <c r="F54" s="677">
        <f>+landbouw!E12</f>
        <v>11.049400052837726</v>
      </c>
      <c r="G54" s="677">
        <f>+landbouw!F12</f>
        <v>1842.0143815687252</v>
      </c>
      <c r="H54" s="677">
        <f>+landbouw!G12</f>
        <v>0</v>
      </c>
      <c r="I54" s="677">
        <f>+landbouw!H12</f>
        <v>0</v>
      </c>
      <c r="J54" s="677">
        <f>+landbouw!I12</f>
        <v>0</v>
      </c>
      <c r="K54" s="677">
        <f>+landbouw!J12</f>
        <v>84.932791827047197</v>
      </c>
      <c r="L54" s="677">
        <f>+landbouw!K12</f>
        <v>0</v>
      </c>
      <c r="M54" s="677">
        <f>+landbouw!L12</f>
        <v>0</v>
      </c>
      <c r="N54" s="677">
        <f>+landbouw!M12</f>
        <v>0</v>
      </c>
      <c r="O54" s="677">
        <f>+landbouw!N12</f>
        <v>0</v>
      </c>
      <c r="P54" s="677">
        <f>+landbouw!O12</f>
        <v>0</v>
      </c>
      <c r="Q54" s="678">
        <f>+landbouw!P12</f>
        <v>0</v>
      </c>
      <c r="R54" s="705">
        <f ca="1">SUM(C54:Q54)</f>
        <v>2459.6050789806686</v>
      </c>
    </row>
    <row r="55" spans="1:18" ht="15" thickBot="1">
      <c r="A55" s="799" t="s">
        <v>825</v>
      </c>
      <c r="B55" s="809"/>
      <c r="C55" s="677">
        <f ca="1">C25*'EF ele_warmte'!B12</f>
        <v>1720.9317461966191</v>
      </c>
      <c r="D55" s="677"/>
      <c r="E55" s="677">
        <f>E25*EF_CO2_aardgas</f>
        <v>4385.068500204</v>
      </c>
      <c r="F55" s="677"/>
      <c r="G55" s="677"/>
      <c r="H55" s="677"/>
      <c r="I55" s="677"/>
      <c r="J55" s="677"/>
      <c r="K55" s="677"/>
      <c r="L55" s="677"/>
      <c r="M55" s="677"/>
      <c r="N55" s="677"/>
      <c r="O55" s="677"/>
      <c r="P55" s="677"/>
      <c r="Q55" s="678"/>
      <c r="R55" s="705">
        <f ca="1">SUM(C55:Q55)</f>
        <v>6106.0002464006193</v>
      </c>
    </row>
    <row r="56" spans="1:18" ht="15.75" thickBot="1">
      <c r="A56" s="797" t="s">
        <v>826</v>
      </c>
      <c r="B56" s="810"/>
      <c r="C56" s="706">
        <f ca="1">SUM(C54:C55)</f>
        <v>2049.4466474646774</v>
      </c>
      <c r="D56" s="706">
        <f t="shared" ref="D56:Q56" ca="1" si="7">SUM(D54:D55)</f>
        <v>0</v>
      </c>
      <c r="E56" s="706">
        <f t="shared" si="7"/>
        <v>4578.1621044679996</v>
      </c>
      <c r="F56" s="706">
        <f t="shared" si="7"/>
        <v>11.049400052837726</v>
      </c>
      <c r="G56" s="706">
        <f t="shared" si="7"/>
        <v>1842.0143815687252</v>
      </c>
      <c r="H56" s="706">
        <f t="shared" si="7"/>
        <v>0</v>
      </c>
      <c r="I56" s="706">
        <f t="shared" si="7"/>
        <v>0</v>
      </c>
      <c r="J56" s="706">
        <f t="shared" si="7"/>
        <v>0</v>
      </c>
      <c r="K56" s="706">
        <f t="shared" si="7"/>
        <v>84.932791827047197</v>
      </c>
      <c r="L56" s="706">
        <f t="shared" si="7"/>
        <v>0</v>
      </c>
      <c r="M56" s="706">
        <f t="shared" si="7"/>
        <v>0</v>
      </c>
      <c r="N56" s="706">
        <f t="shared" si="7"/>
        <v>0</v>
      </c>
      <c r="O56" s="706">
        <f t="shared" si="7"/>
        <v>0</v>
      </c>
      <c r="P56" s="706">
        <f t="shared" si="7"/>
        <v>0</v>
      </c>
      <c r="Q56" s="707">
        <f t="shared" si="7"/>
        <v>0</v>
      </c>
      <c r="R56" s="708">
        <f ca="1">SUM(R54:R55)</f>
        <v>8565.6053253812879</v>
      </c>
    </row>
    <row r="57" spans="1:18" ht="15.75">
      <c r="A57" s="778" t="s">
        <v>635</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79690.5467827143</v>
      </c>
      <c r="D61" s="714">
        <f t="shared" ref="D61:Q61" ca="1" si="8">D46+D52+D56</f>
        <v>774.86521008403395</v>
      </c>
      <c r="E61" s="714">
        <f t="shared" ca="1" si="8"/>
        <v>125373.35658383832</v>
      </c>
      <c r="F61" s="714">
        <f t="shared" si="8"/>
        <v>9337.435166181247</v>
      </c>
      <c r="G61" s="714">
        <f t="shared" ca="1" si="8"/>
        <v>33650.927520239849</v>
      </c>
      <c r="H61" s="714">
        <f t="shared" si="8"/>
        <v>134611.53989776879</v>
      </c>
      <c r="I61" s="714">
        <f t="shared" si="8"/>
        <v>28421.249144348265</v>
      </c>
      <c r="J61" s="714">
        <f t="shared" si="8"/>
        <v>0</v>
      </c>
      <c r="K61" s="714">
        <f t="shared" si="8"/>
        <v>92.584282180993881</v>
      </c>
      <c r="L61" s="714">
        <f t="shared" si="8"/>
        <v>0</v>
      </c>
      <c r="M61" s="714">
        <f t="shared" ca="1" si="8"/>
        <v>0</v>
      </c>
      <c r="N61" s="714">
        <f t="shared" si="8"/>
        <v>0</v>
      </c>
      <c r="O61" s="714">
        <f t="shared" ca="1" si="8"/>
        <v>0</v>
      </c>
      <c r="P61" s="714">
        <f t="shared" si="8"/>
        <v>0</v>
      </c>
      <c r="Q61" s="714">
        <f t="shared" si="8"/>
        <v>0</v>
      </c>
      <c r="R61" s="714">
        <f ca="1">R46+R52+R56</f>
        <v>411952.50458735583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0.1983750050363278</v>
      </c>
      <c r="D63" s="755">
        <f t="shared" ca="1" si="9"/>
        <v>0.23764705882352949</v>
      </c>
      <c r="E63" s="990">
        <f t="shared" ca="1" si="9"/>
        <v>0.20199999999999999</v>
      </c>
      <c r="F63" s="755">
        <f t="shared" si="9"/>
        <v>0.22700000000000001</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643</v>
      </c>
      <c r="Q69" s="1148" t="s">
        <v>642</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641</v>
      </c>
      <c r="C71" s="965" t="s">
        <v>827</v>
      </c>
      <c r="D71" s="993" t="s">
        <v>198</v>
      </c>
      <c r="E71" s="994" t="s">
        <v>199</v>
      </c>
      <c r="F71" s="971" t="s">
        <v>200</v>
      </c>
      <c r="G71" s="968" t="s">
        <v>202</v>
      </c>
      <c r="H71" s="995" t="s">
        <v>203</v>
      </c>
      <c r="I71" s="962"/>
      <c r="J71" s="962"/>
      <c r="K71" s="962"/>
      <c r="L71" s="962"/>
      <c r="M71" s="969"/>
      <c r="N71" s="962"/>
      <c r="O71" s="967"/>
      <c r="P71" s="996"/>
      <c r="Q71" s="961" t="s">
        <v>644</v>
      </c>
      <c r="R71" s="967" t="s">
        <v>645</v>
      </c>
    </row>
    <row r="72" spans="1:18" ht="15.75" thickTop="1">
      <c r="A72" s="724" t="s">
        <v>248</v>
      </c>
      <c r="B72" s="817">
        <f>'lokale energieproductie'!B4</f>
        <v>14813.053877189835</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25247.33264930224</v>
      </c>
      <c r="C74" s="1102"/>
      <c r="D74" s="1102"/>
      <c r="E74" s="1105"/>
      <c r="F74" s="1105"/>
      <c r="G74" s="1096"/>
      <c r="H74" s="1099"/>
      <c r="I74" s="1102"/>
      <c r="J74" s="964"/>
      <c r="K74" s="1105"/>
      <c r="L74" s="1105"/>
      <c r="M74" s="1105"/>
      <c r="N74" s="1105"/>
      <c r="O74" s="1154"/>
      <c r="P74" s="826">
        <v>0</v>
      </c>
      <c r="Q74" s="832"/>
      <c r="R74" s="826">
        <v>0</v>
      </c>
    </row>
    <row r="75" spans="1:18" ht="15.75" thickBot="1">
      <c r="A75" s="725" t="s">
        <v>828</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2282.4</v>
      </c>
      <c r="D76" s="1000">
        <f>'lokale energieproductie'!C8</f>
        <v>2685.1764705882356</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542.40564705882366</v>
      </c>
      <c r="R76" s="826">
        <v>0</v>
      </c>
    </row>
    <row r="77" spans="1:18" ht="30.75" thickBot="1">
      <c r="A77" s="727" t="s">
        <v>352</v>
      </c>
      <c r="B77" s="724">
        <f>'lokale energieproductie'!B9*IFERROR(SUM(I77:O77)/SUM(D77:O77),0)</f>
        <v>1237.5</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3535.7142857142858</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41297.886526492075</v>
      </c>
      <c r="C78" s="729">
        <f>SUM(C72:C77)</f>
        <v>2282.4</v>
      </c>
      <c r="D78" s="730">
        <f t="shared" ref="D78:H78" si="10">SUM(D76:D77)</f>
        <v>2685.1764705882356</v>
      </c>
      <c r="E78" s="730">
        <f t="shared" si="10"/>
        <v>0</v>
      </c>
      <c r="F78" s="730">
        <f t="shared" si="10"/>
        <v>0</v>
      </c>
      <c r="G78" s="730">
        <f t="shared" si="10"/>
        <v>0</v>
      </c>
      <c r="H78" s="730">
        <f t="shared" si="10"/>
        <v>0</v>
      </c>
      <c r="I78" s="730">
        <f>SUM(I76:I77)</f>
        <v>0</v>
      </c>
      <c r="J78" s="730">
        <f>SUM(J76:J77)</f>
        <v>3535.7142857142858</v>
      </c>
      <c r="K78" s="730">
        <f t="shared" ref="K78:L78" si="11">SUM(K76:K77)</f>
        <v>0</v>
      </c>
      <c r="L78" s="730">
        <f t="shared" si="11"/>
        <v>0</v>
      </c>
      <c r="M78" s="730">
        <f>SUM(M76:M77)</f>
        <v>0</v>
      </c>
      <c r="N78" s="730">
        <f>SUM(N76:N77)</f>
        <v>0</v>
      </c>
      <c r="O78" s="834">
        <f>SUM(O76:O77)</f>
        <v>0</v>
      </c>
      <c r="P78" s="731">
        <v>0</v>
      </c>
      <c r="Q78" s="731">
        <f>SUM(Q76:Q77)</f>
        <v>542.40564705882366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643</v>
      </c>
      <c r="Q84" s="1070" t="s">
        <v>642</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641</v>
      </c>
      <c r="C86" s="818" t="s">
        <v>827</v>
      </c>
      <c r="D86" s="961" t="s">
        <v>198</v>
      </c>
      <c r="E86" s="962" t="s">
        <v>199</v>
      </c>
      <c r="F86" s="970" t="s">
        <v>200</v>
      </c>
      <c r="G86" s="962" t="s">
        <v>202</v>
      </c>
      <c r="H86" s="738" t="s">
        <v>203</v>
      </c>
      <c r="I86" s="1076"/>
      <c r="J86" s="1078"/>
      <c r="K86" s="1080"/>
      <c r="L86" s="1080"/>
      <c r="M86" s="1082"/>
      <c r="N86" s="1080"/>
      <c r="O86" s="1084"/>
      <c r="P86" s="996"/>
      <c r="Q86" s="961" t="s">
        <v>644</v>
      </c>
      <c r="R86" s="967" t="s">
        <v>645</v>
      </c>
    </row>
    <row r="87" spans="1:19" ht="15.75" thickTop="1">
      <c r="A87" s="739" t="s">
        <v>251</v>
      </c>
      <c r="B87" s="740">
        <f>'lokale energieproductie'!B17*IFERROR(SUM(I87:O87)/SUM(D87:O87),0)</f>
        <v>0</v>
      </c>
      <c r="C87" s="740">
        <f>'lokale energieproductie'!B17*IFERROR(SUM(D87:H87)/SUM(D87:O87),0)</f>
        <v>3260.5714285714289</v>
      </c>
      <c r="D87" s="751">
        <f>'lokale energieproductie'!C17</f>
        <v>3835.9663865546231</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774.86521008403395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3260.5714285714289</v>
      </c>
      <c r="D90" s="729">
        <f t="shared" ref="D90:H90" si="12">SUM(D87:D89)</f>
        <v>3835.9663865546231</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774.86521008403395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6"/>
  <sheetViews>
    <sheetView showGridLines="0" topLeftCell="A316" zoomScaleNormal="100" workbookViewId="0">
      <selection activeCell="M33" sqref="M33"/>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830</v>
      </c>
      <c r="N2" s="1248" t="s">
        <v>831</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14813.053877189835</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25247.33264930224</v>
      </c>
      <c r="C6" s="1255"/>
      <c r="D6" s="1258"/>
      <c r="E6" s="1258"/>
      <c r="F6" s="1261"/>
      <c r="G6" s="1264"/>
      <c r="H6" s="1267"/>
      <c r="I6" s="1258"/>
      <c r="J6" s="1258"/>
      <c r="K6" s="1258"/>
      <c r="L6" s="1258"/>
      <c r="M6" s="1258"/>
      <c r="N6" s="1007"/>
      <c r="O6" s="542"/>
      <c r="P6" s="1250"/>
      <c r="Q6" s="1251"/>
      <c r="S6" s="973"/>
      <c r="T6" s="1225"/>
      <c r="U6" s="1225"/>
    </row>
    <row r="7" spans="1:21" s="533" customFormat="1">
      <c r="A7" s="541" t="s">
        <v>828</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N34</f>
        <v>2282.4</v>
      </c>
      <c r="C8" s="544">
        <f>B53</f>
        <v>2685.1764705882356</v>
      </c>
      <c r="D8" s="1010"/>
      <c r="E8" s="1010">
        <f>E53</f>
        <v>0</v>
      </c>
      <c r="F8" s="1011"/>
      <c r="G8" s="545"/>
      <c r="H8" s="1010">
        <f>I53</f>
        <v>0</v>
      </c>
      <c r="I8" s="1010">
        <f>G53+F53</f>
        <v>0</v>
      </c>
      <c r="J8" s="1010">
        <f>H53+D53+C53</f>
        <v>0</v>
      </c>
      <c r="K8" s="1010"/>
      <c r="L8" s="1010"/>
      <c r="M8" s="1010"/>
      <c r="N8" s="546"/>
      <c r="O8" s="547">
        <f>C8*$C$12+D8*$D$12+E8*$E$12+F8*$F$12+G8*$G$12+H8*$H$12+I8*$I$12+J8*$J$12</f>
        <v>542.40564705882366</v>
      </c>
      <c r="P8" s="1250"/>
      <c r="Q8" s="1251"/>
      <c r="S8" s="973"/>
      <c r="T8" s="1225"/>
      <c r="U8" s="1225"/>
    </row>
    <row r="9" spans="1:21" s="533" customFormat="1" ht="17.45" customHeight="1" thickBot="1">
      <c r="A9" s="548" t="s">
        <v>247</v>
      </c>
      <c r="B9" s="549">
        <f>N41+'Eigen informatie GS &amp; warmtenet'!B12</f>
        <v>1237.5</v>
      </c>
      <c r="C9" s="550">
        <f>P41+IF(ISERROR(('Eigen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S41+IF(ISERROR('Eigen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W41+IF(ISERROR('Eigen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(T41+U41)+IF(ISERROR('Eigen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V41+Q41+R41+IF(ISERROR('Eigen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43580.286526492077</v>
      </c>
      <c r="C10" s="557">
        <f t="shared" ref="C10:L10" si="0">SUM(C8:C9)</f>
        <v>2685.1764705882356</v>
      </c>
      <c r="D10" s="557">
        <f t="shared" si="0"/>
        <v>0</v>
      </c>
      <c r="E10" s="557">
        <f t="shared" si="0"/>
        <v>0</v>
      </c>
      <c r="F10" s="557">
        <f t="shared" si="0"/>
        <v>0</v>
      </c>
      <c r="G10" s="557">
        <f t="shared" si="0"/>
        <v>0</v>
      </c>
      <c r="H10" s="557">
        <f t="shared" si="0"/>
        <v>0</v>
      </c>
      <c r="I10" s="557">
        <f t="shared" si="0"/>
        <v>0</v>
      </c>
      <c r="J10" s="557">
        <f t="shared" si="0"/>
        <v>3535.7142857142858</v>
      </c>
      <c r="K10" s="557">
        <f t="shared" si="0"/>
        <v>0</v>
      </c>
      <c r="L10" s="557">
        <f t="shared" si="0"/>
        <v>0</v>
      </c>
      <c r="M10" s="1013"/>
      <c r="N10" s="1013"/>
      <c r="O10" s="558">
        <f>SUM(O4:O9)</f>
        <v>542.40564705882366</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830</v>
      </c>
      <c r="N15" s="1248" t="s">
        <v>831</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O34</f>
        <v>3260.5714285714289</v>
      </c>
      <c r="C17" s="569">
        <f>B54</f>
        <v>3835.9663865546231</v>
      </c>
      <c r="D17" s="570"/>
      <c r="E17" s="570">
        <f>E54</f>
        <v>0</v>
      </c>
      <c r="F17" s="1016"/>
      <c r="G17" s="571"/>
      <c r="H17" s="569">
        <f>I54</f>
        <v>0</v>
      </c>
      <c r="I17" s="570">
        <f>G54+F54</f>
        <v>0</v>
      </c>
      <c r="J17" s="570">
        <f>H54+D54+C54</f>
        <v>0</v>
      </c>
      <c r="K17" s="570"/>
      <c r="L17" s="570"/>
      <c r="M17" s="570"/>
      <c r="N17" s="1017"/>
      <c r="O17" s="572">
        <f>C17*$C$22+E17*$E$22+H17*$H$22+I17*$I$22+J17*$J$22+D17*$D$22+F17*$F$22+G17*$G$22+K17*$K$22+L17*$L$22</f>
        <v>774.86521008403395</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3260.5714285714289</v>
      </c>
      <c r="C20" s="556">
        <f>SUM(C17:C19)</f>
        <v>3835.9663865546231</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774.86521008403395</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71022</v>
      </c>
      <c r="C28" s="770">
        <v>3500</v>
      </c>
      <c r="D28" s="627" t="s">
        <v>887</v>
      </c>
      <c r="E28" s="626" t="s">
        <v>888</v>
      </c>
      <c r="F28" s="626" t="s">
        <v>889</v>
      </c>
      <c r="G28" s="626" t="s">
        <v>890</v>
      </c>
      <c r="H28" s="626" t="s">
        <v>891</v>
      </c>
      <c r="I28" s="626" t="s">
        <v>888</v>
      </c>
      <c r="J28" s="769">
        <v>39365</v>
      </c>
      <c r="K28" s="769">
        <v>39471</v>
      </c>
      <c r="L28" s="626" t="s">
        <v>892</v>
      </c>
      <c r="M28" s="626">
        <v>220</v>
      </c>
      <c r="N28" s="626">
        <v>990</v>
      </c>
      <c r="O28" s="626">
        <v>1414.2857142857142</v>
      </c>
      <c r="P28" s="626">
        <v>2828.5714285714289</v>
      </c>
      <c r="Q28" s="626">
        <v>0</v>
      </c>
      <c r="R28" s="626">
        <v>0</v>
      </c>
      <c r="S28" s="626">
        <v>0</v>
      </c>
      <c r="T28" s="626">
        <v>0</v>
      </c>
      <c r="U28" s="626">
        <v>0</v>
      </c>
      <c r="V28" s="626">
        <v>0</v>
      </c>
      <c r="W28" s="626">
        <v>0</v>
      </c>
      <c r="X28" s="626">
        <v>1500</v>
      </c>
      <c r="Y28" s="626" t="s">
        <v>50</v>
      </c>
      <c r="Z28" s="628" t="s">
        <v>155</v>
      </c>
    </row>
    <row r="29" spans="1:26" s="580" customFormat="1" ht="63.75">
      <c r="A29" s="579"/>
      <c r="B29" s="770">
        <v>71022</v>
      </c>
      <c r="C29" s="770">
        <v>3500</v>
      </c>
      <c r="D29" s="627" t="s">
        <v>893</v>
      </c>
      <c r="E29" s="626" t="s">
        <v>894</v>
      </c>
      <c r="F29" s="626" t="s">
        <v>895</v>
      </c>
      <c r="G29" s="626" t="s">
        <v>890</v>
      </c>
      <c r="H29" s="626" t="s">
        <v>891</v>
      </c>
      <c r="I29" s="626" t="s">
        <v>894</v>
      </c>
      <c r="J29" s="769">
        <v>39310</v>
      </c>
      <c r="K29" s="769">
        <v>39508</v>
      </c>
      <c r="L29" s="626" t="s">
        <v>892</v>
      </c>
      <c r="M29" s="626">
        <v>4.7</v>
      </c>
      <c r="N29" s="626">
        <v>21.150000000000002</v>
      </c>
      <c r="O29" s="626">
        <v>30.214285714285719</v>
      </c>
      <c r="P29" s="626">
        <v>60.428571428571438</v>
      </c>
      <c r="Q29" s="626">
        <v>0</v>
      </c>
      <c r="R29" s="626">
        <v>0</v>
      </c>
      <c r="S29" s="626">
        <v>0</v>
      </c>
      <c r="T29" s="626">
        <v>0</v>
      </c>
      <c r="U29" s="626">
        <v>0</v>
      </c>
      <c r="V29" s="626">
        <v>0</v>
      </c>
      <c r="W29" s="626">
        <v>0</v>
      </c>
      <c r="X29" s="626">
        <v>1600</v>
      </c>
      <c r="Y29" s="626" t="s">
        <v>49</v>
      </c>
      <c r="Z29" s="628" t="s">
        <v>155</v>
      </c>
    </row>
    <row r="30" spans="1:26" s="580" customFormat="1" ht="38.25">
      <c r="A30" s="579"/>
      <c r="B30" s="770">
        <v>71022</v>
      </c>
      <c r="C30" s="770">
        <v>3511</v>
      </c>
      <c r="D30" s="627" t="s">
        <v>896</v>
      </c>
      <c r="E30" s="626" t="s">
        <v>897</v>
      </c>
      <c r="F30" s="626" t="s">
        <v>898</v>
      </c>
      <c r="G30" s="626" t="s">
        <v>890</v>
      </c>
      <c r="H30" s="626" t="s">
        <v>891</v>
      </c>
      <c r="I30" s="626" t="s">
        <v>897</v>
      </c>
      <c r="J30" s="769">
        <v>40424</v>
      </c>
      <c r="K30" s="769">
        <v>40725</v>
      </c>
      <c r="L30" s="626" t="s">
        <v>892</v>
      </c>
      <c r="M30" s="626">
        <v>50</v>
      </c>
      <c r="N30" s="626">
        <v>225</v>
      </c>
      <c r="O30" s="626">
        <v>321.42857142857144</v>
      </c>
      <c r="P30" s="626">
        <v>642.85714285714289</v>
      </c>
      <c r="Q30" s="626">
        <v>0</v>
      </c>
      <c r="R30" s="626">
        <v>0</v>
      </c>
      <c r="S30" s="626">
        <v>0</v>
      </c>
      <c r="T30" s="626">
        <v>0</v>
      </c>
      <c r="U30" s="626">
        <v>0</v>
      </c>
      <c r="V30" s="626">
        <v>0</v>
      </c>
      <c r="W30" s="626">
        <v>0</v>
      </c>
      <c r="X30" s="626">
        <v>800</v>
      </c>
      <c r="Y30" s="626" t="s">
        <v>35</v>
      </c>
      <c r="Z30" s="628" t="s">
        <v>388</v>
      </c>
    </row>
    <row r="31" spans="1:26" s="580" customFormat="1" ht="51">
      <c r="A31" s="579"/>
      <c r="B31" s="770">
        <v>71022</v>
      </c>
      <c r="C31" s="770">
        <v>3500</v>
      </c>
      <c r="D31" s="627" t="s">
        <v>899</v>
      </c>
      <c r="E31" s="626" t="s">
        <v>900</v>
      </c>
      <c r="F31" s="626" t="s">
        <v>901</v>
      </c>
      <c r="G31" s="626" t="s">
        <v>890</v>
      </c>
      <c r="H31" s="626" t="s">
        <v>891</v>
      </c>
      <c r="I31" s="626" t="s">
        <v>900</v>
      </c>
      <c r="J31" s="769">
        <v>40904</v>
      </c>
      <c r="K31" s="769">
        <v>40904</v>
      </c>
      <c r="L31" s="626" t="s">
        <v>892</v>
      </c>
      <c r="M31" s="626">
        <v>220</v>
      </c>
      <c r="N31" s="626">
        <v>990</v>
      </c>
      <c r="O31" s="626">
        <v>1414.2857142857142</v>
      </c>
      <c r="P31" s="626">
        <v>2828.5714285714289</v>
      </c>
      <c r="Q31" s="626">
        <v>0</v>
      </c>
      <c r="R31" s="626">
        <v>0</v>
      </c>
      <c r="S31" s="626">
        <v>0</v>
      </c>
      <c r="T31" s="626">
        <v>0</v>
      </c>
      <c r="U31" s="626">
        <v>0</v>
      </c>
      <c r="V31" s="626">
        <v>0</v>
      </c>
      <c r="W31" s="626">
        <v>0</v>
      </c>
      <c r="X31" s="626">
        <v>1500</v>
      </c>
      <c r="Y31" s="626" t="s">
        <v>50</v>
      </c>
      <c r="Z31" s="628" t="s">
        <v>155</v>
      </c>
    </row>
    <row r="32" spans="1:26" s="580" customFormat="1" ht="25.5">
      <c r="A32" s="579"/>
      <c r="B32" s="770">
        <v>71022</v>
      </c>
      <c r="C32" s="770">
        <v>3511</v>
      </c>
      <c r="D32" s="627" t="s">
        <v>902</v>
      </c>
      <c r="E32" s="626" t="s">
        <v>903</v>
      </c>
      <c r="F32" s="626" t="s">
        <v>904</v>
      </c>
      <c r="G32" s="626" t="s">
        <v>890</v>
      </c>
      <c r="H32" s="626" t="s">
        <v>891</v>
      </c>
      <c r="I32" s="626" t="s">
        <v>905</v>
      </c>
      <c r="J32" s="769">
        <v>41907</v>
      </c>
      <c r="K32" s="769">
        <v>41907</v>
      </c>
      <c r="L32" s="626" t="s">
        <v>892</v>
      </c>
      <c r="M32" s="626">
        <v>5</v>
      </c>
      <c r="N32" s="626">
        <v>22.5</v>
      </c>
      <c r="O32" s="626">
        <v>32.142857142857146</v>
      </c>
      <c r="P32" s="626">
        <v>64.285714285714292</v>
      </c>
      <c r="Q32" s="626">
        <v>0</v>
      </c>
      <c r="R32" s="626">
        <v>0</v>
      </c>
      <c r="S32" s="626">
        <v>0</v>
      </c>
      <c r="T32" s="626">
        <v>0</v>
      </c>
      <c r="U32" s="626">
        <v>0</v>
      </c>
      <c r="V32" s="626">
        <v>0</v>
      </c>
      <c r="W32" s="626">
        <v>0</v>
      </c>
      <c r="X32" s="626">
        <v>1300</v>
      </c>
      <c r="Y32" s="626" t="s">
        <v>53</v>
      </c>
      <c r="Z32" s="628" t="s">
        <v>155</v>
      </c>
    </row>
    <row r="33" spans="1:27" s="580" customFormat="1" ht="25.5">
      <c r="A33" s="579"/>
      <c r="B33" s="770">
        <v>71022</v>
      </c>
      <c r="C33" s="770">
        <v>3500</v>
      </c>
      <c r="D33" s="627"/>
      <c r="E33" s="626"/>
      <c r="F33" s="626" t="s">
        <v>906</v>
      </c>
      <c r="G33" s="626" t="s">
        <v>890</v>
      </c>
      <c r="H33" s="626" t="s">
        <v>891</v>
      </c>
      <c r="I33" s="626" t="s">
        <v>907</v>
      </c>
      <c r="J33" s="769">
        <v>41879</v>
      </c>
      <c r="K33" s="769">
        <v>42423</v>
      </c>
      <c r="L33" s="626" t="s">
        <v>892</v>
      </c>
      <c r="M33" s="626">
        <v>9</v>
      </c>
      <c r="N33" s="626">
        <v>33.75</v>
      </c>
      <c r="O33" s="626">
        <v>48.214285714285715</v>
      </c>
      <c r="P33" s="626">
        <v>96.428571428571431</v>
      </c>
      <c r="Q33" s="626">
        <v>0</v>
      </c>
      <c r="R33" s="626">
        <v>0</v>
      </c>
      <c r="S33" s="626">
        <v>0</v>
      </c>
      <c r="T33" s="626">
        <v>0</v>
      </c>
      <c r="U33" s="626">
        <v>0</v>
      </c>
      <c r="V33" s="626">
        <v>0</v>
      </c>
      <c r="W33" s="626">
        <v>0</v>
      </c>
      <c r="X33" s="626">
        <v>1100</v>
      </c>
      <c r="Y33" s="626" t="s">
        <v>51</v>
      </c>
      <c r="Z33" s="628" t="s">
        <v>155</v>
      </c>
    </row>
    <row r="34" spans="1:27" s="564" customFormat="1">
      <c r="A34" s="582" t="s">
        <v>279</v>
      </c>
      <c r="B34" s="583"/>
      <c r="C34" s="583"/>
      <c r="D34" s="583"/>
      <c r="E34" s="583"/>
      <c r="F34" s="583"/>
      <c r="G34" s="583"/>
      <c r="H34" s="583"/>
      <c r="I34" s="583"/>
      <c r="J34" s="583"/>
      <c r="K34" s="583"/>
      <c r="L34" s="584"/>
      <c r="M34" s="584">
        <f>SUM(M28:M33)</f>
        <v>508.7</v>
      </c>
      <c r="N34" s="584">
        <f>SUM(N28:N33)</f>
        <v>2282.4</v>
      </c>
      <c r="O34" s="584">
        <f>SUM(O28:O33)</f>
        <v>3260.5714285714289</v>
      </c>
      <c r="P34" s="584">
        <f>SUM(P28:P33)</f>
        <v>6521.1428571428587</v>
      </c>
      <c r="Q34" s="584">
        <f>SUM(Q28:Q33)</f>
        <v>0</v>
      </c>
      <c r="R34" s="584">
        <f>SUM(R28:R33)</f>
        <v>0</v>
      </c>
      <c r="S34" s="584">
        <f>SUM(S28:S33)</f>
        <v>0</v>
      </c>
      <c r="T34" s="584">
        <f>SUM(T28:T33)</f>
        <v>0</v>
      </c>
      <c r="U34" s="584">
        <f>SUM(U28:U33)</f>
        <v>0</v>
      </c>
      <c r="V34" s="584">
        <f>SUM(V28:V33)</f>
        <v>0</v>
      </c>
      <c r="W34" s="584">
        <f>SUM(W28:W33)</f>
        <v>0</v>
      </c>
      <c r="X34" s="585"/>
      <c r="Y34" s="585"/>
      <c r="Z34" s="586"/>
    </row>
    <row r="35" spans="1:27" s="564" customFormat="1">
      <c r="A35" s="582" t="s">
        <v>286</v>
      </c>
      <c r="B35" s="583"/>
      <c r="C35" s="583"/>
      <c r="D35" s="583"/>
      <c r="E35" s="583"/>
      <c r="F35" s="583"/>
      <c r="G35" s="583"/>
      <c r="H35" s="583"/>
      <c r="I35" s="583"/>
      <c r="J35" s="583"/>
      <c r="K35" s="583"/>
      <c r="L35" s="584"/>
      <c r="M35" s="584">
        <f>SUMIF($Z$28:$Z$33,"industrie",M28:M33)</f>
        <v>50</v>
      </c>
      <c r="N35" s="584">
        <f>SUMIF($Z$28:$Z$33,"industrie",N28:N33)</f>
        <v>225</v>
      </c>
      <c r="O35" s="584">
        <f>SUMIF($Z$28:$Z$33,"industrie",O28:O33)</f>
        <v>321.42857142857144</v>
      </c>
      <c r="P35" s="584">
        <f>SUMIF($Z$28:$Z$33,"industrie",P28:P33)</f>
        <v>642.85714285714289</v>
      </c>
      <c r="Q35" s="584">
        <f>SUMIF($Z$28:$Z$33,"industrie",Q28:Q33)</f>
        <v>0</v>
      </c>
      <c r="R35" s="584">
        <f>SUMIF($Z$28:$Z$33,"industrie",R28:R33)</f>
        <v>0</v>
      </c>
      <c r="S35" s="584">
        <f>SUMIF($Z$28:$Z$33,"industrie",S28:S33)</f>
        <v>0</v>
      </c>
      <c r="T35" s="584">
        <f>SUMIF($Z$28:$Z$33,"industrie",T28:T33)</f>
        <v>0</v>
      </c>
      <c r="U35" s="584">
        <f>SUMIF($Z$28:$Z$33,"industrie",U28:U33)</f>
        <v>0</v>
      </c>
      <c r="V35" s="584">
        <f>SUMIF($Z$28:$Z$33,"industrie",V28:V33)</f>
        <v>0</v>
      </c>
      <c r="W35" s="584">
        <f>SUMIF($Z$28:$Z$33,"industrie",W28:W33)</f>
        <v>0</v>
      </c>
      <c r="X35" s="585"/>
      <c r="Y35" s="585"/>
      <c r="Z35" s="586"/>
    </row>
    <row r="36" spans="1:27" s="564" customFormat="1">
      <c r="A36" s="582" t="s">
        <v>287</v>
      </c>
      <c r="B36" s="583"/>
      <c r="C36" s="583"/>
      <c r="D36" s="583"/>
      <c r="E36" s="583"/>
      <c r="F36" s="583"/>
      <c r="G36" s="583"/>
      <c r="H36" s="583"/>
      <c r="I36" s="583"/>
      <c r="J36" s="583"/>
      <c r="K36" s="583"/>
      <c r="L36" s="584"/>
      <c r="M36" s="584">
        <f ca="1">SUMIF($Z$28:AC33,"tertiair",M28:M33)</f>
        <v>458.7</v>
      </c>
      <c r="N36" s="584">
        <f ca="1">SUMIF($Z$28:AD33,"tertiair",N28:N33)</f>
        <v>2057.4</v>
      </c>
      <c r="O36" s="584">
        <f ca="1">SUMIF($Z$28:AE33,"tertiair",O28:O33)</f>
        <v>2939.1428571428573</v>
      </c>
      <c r="P36" s="584">
        <f ca="1">SUMIF($Z$28:AF33,"tertiair",P28:P33)</f>
        <v>5878.2857142857156</v>
      </c>
      <c r="Q36" s="584">
        <f ca="1">SUMIF($Z$28:AG33,"tertiair",Q28:Q33)</f>
        <v>0</v>
      </c>
      <c r="R36" s="584">
        <f ca="1">SUMIF($Z$28:AH33,"tertiair",R28:R33)</f>
        <v>0</v>
      </c>
      <c r="S36" s="584">
        <f ca="1">SUMIF($Z$28:AI33,"tertiair",S28:S33)</f>
        <v>0</v>
      </c>
      <c r="T36" s="584">
        <f ca="1">SUMIF($Z$28:AJ33,"tertiair",T28:T33)</f>
        <v>0</v>
      </c>
      <c r="U36" s="584">
        <f ca="1">SUMIF($Z$28:AK33,"tertiair",U28:U33)</f>
        <v>0</v>
      </c>
      <c r="V36" s="584">
        <f ca="1">SUMIF($Z$28:AL33,"tertiair",V28:V33)</f>
        <v>0</v>
      </c>
      <c r="W36" s="584">
        <f ca="1">SUMIF($Z$28:AM33,"tertiair",W28:W33)</f>
        <v>0</v>
      </c>
      <c r="X36" s="585"/>
      <c r="Y36" s="585"/>
      <c r="Z36" s="586"/>
    </row>
    <row r="37" spans="1:27" s="564" customFormat="1" ht="15.75" thickBot="1">
      <c r="A37" s="587" t="s">
        <v>288</v>
      </c>
      <c r="B37" s="588"/>
      <c r="C37" s="588"/>
      <c r="D37" s="588"/>
      <c r="E37" s="588"/>
      <c r="F37" s="588"/>
      <c r="G37" s="588"/>
      <c r="H37" s="588"/>
      <c r="I37" s="588"/>
      <c r="J37" s="588"/>
      <c r="K37" s="588"/>
      <c r="L37" s="589"/>
      <c r="M37" s="589">
        <f>SUMIF($Z$28:$Z$33,"landbouw",M28:M33)</f>
        <v>0</v>
      </c>
      <c r="N37" s="589">
        <f>SUMIF($Z$28:$Z$33,"landbouw",N28:N33)</f>
        <v>0</v>
      </c>
      <c r="O37" s="589">
        <f>SUMIF($Z$28:$Z$33,"landbouw",O28:O33)</f>
        <v>0</v>
      </c>
      <c r="P37" s="589">
        <f>SUMIF($Z$28:$Z$33,"landbouw",P28:P33)</f>
        <v>0</v>
      </c>
      <c r="Q37" s="589">
        <f>SUMIF($Z$28:$Z$33,"landbouw",Q28:Q33)</f>
        <v>0</v>
      </c>
      <c r="R37" s="589">
        <f>SUMIF($Z$28:$Z$33,"landbouw",R28:R33)</f>
        <v>0</v>
      </c>
      <c r="S37" s="589">
        <f>SUMIF($Z$28:$Z$33,"landbouw",S28:S33)</f>
        <v>0</v>
      </c>
      <c r="T37" s="589">
        <f>SUMIF($Z$28:$Z$33,"landbouw",T28:T33)</f>
        <v>0</v>
      </c>
      <c r="U37" s="589">
        <f>SUMIF($Z$28:$Z$33,"landbouw",U28:U33)</f>
        <v>0</v>
      </c>
      <c r="V37" s="589">
        <f>SUMIF($Z$28:$Z$33,"landbouw",V28:V33)</f>
        <v>0</v>
      </c>
      <c r="W37" s="589">
        <f>SUMIF($Z$28:$Z$33,"landbouw",W28:W33)</f>
        <v>0</v>
      </c>
      <c r="X37" s="590"/>
      <c r="Y37" s="590"/>
      <c r="Z37" s="591"/>
    </row>
    <row r="38" spans="1:27" s="533" customFormat="1" ht="15.75" thickBot="1">
      <c r="A38" s="592"/>
      <c r="B38" s="593"/>
      <c r="C38" s="593"/>
      <c r="D38" s="593"/>
      <c r="E38" s="593"/>
      <c r="F38" s="593"/>
      <c r="G38" s="593"/>
      <c r="H38" s="593"/>
      <c r="I38" s="593"/>
      <c r="J38" s="593"/>
      <c r="K38" s="593"/>
      <c r="L38" s="576"/>
      <c r="M38" s="576"/>
      <c r="N38" s="576"/>
      <c r="O38" s="577"/>
      <c r="P38" s="577"/>
    </row>
    <row r="39" spans="1:27" s="533" customFormat="1" ht="45">
      <c r="A39" s="594" t="s">
        <v>280</v>
      </c>
      <c r="B39" s="623" t="s">
        <v>89</v>
      </c>
      <c r="C39" s="623" t="s">
        <v>90</v>
      </c>
      <c r="D39" s="623" t="s">
        <v>91</v>
      </c>
      <c r="E39" s="623" t="s">
        <v>92</v>
      </c>
      <c r="F39" s="623" t="s">
        <v>93</v>
      </c>
      <c r="G39" s="623" t="s">
        <v>94</v>
      </c>
      <c r="H39" s="623" t="s">
        <v>95</v>
      </c>
      <c r="I39" s="623" t="s">
        <v>96</v>
      </c>
      <c r="J39" s="623" t="s">
        <v>97</v>
      </c>
      <c r="K39" s="623" t="s">
        <v>98</v>
      </c>
      <c r="L39" s="623" t="s">
        <v>99</v>
      </c>
      <c r="M39" s="624" t="s">
        <v>297</v>
      </c>
      <c r="N39" s="624" t="s">
        <v>100</v>
      </c>
      <c r="O39" s="624" t="s">
        <v>101</v>
      </c>
      <c r="P39" s="624" t="s">
        <v>533</v>
      </c>
      <c r="Q39" s="624" t="s">
        <v>102</v>
      </c>
      <c r="R39" s="624" t="s">
        <v>103</v>
      </c>
      <c r="S39" s="624" t="s">
        <v>104</v>
      </c>
      <c r="T39" s="624" t="s">
        <v>105</v>
      </c>
      <c r="U39" s="624" t="s">
        <v>106</v>
      </c>
      <c r="V39" s="624" t="s">
        <v>107</v>
      </c>
      <c r="W39" s="623" t="s">
        <v>108</v>
      </c>
      <c r="X39" s="623" t="s">
        <v>298</v>
      </c>
      <c r="Y39" s="623" t="s">
        <v>109</v>
      </c>
      <c r="Z39" s="625" t="s">
        <v>299</v>
      </c>
    </row>
    <row r="40" spans="1:27" s="595" customFormat="1" ht="63.75">
      <c r="A40" s="581"/>
      <c r="B40" s="770">
        <v>71022</v>
      </c>
      <c r="C40" s="770">
        <v>3511</v>
      </c>
      <c r="D40" s="629" t="s">
        <v>908</v>
      </c>
      <c r="E40" s="629" t="s">
        <v>909</v>
      </c>
      <c r="F40" s="629" t="s">
        <v>910</v>
      </c>
      <c r="G40" s="629" t="s">
        <v>911</v>
      </c>
      <c r="H40" s="629" t="s">
        <v>912</v>
      </c>
      <c r="I40" s="629" t="s">
        <v>913</v>
      </c>
      <c r="J40" s="769">
        <v>32143</v>
      </c>
      <c r="K40" s="769">
        <v>37316</v>
      </c>
      <c r="L40" s="629" t="s">
        <v>892</v>
      </c>
      <c r="M40" s="629">
        <v>275</v>
      </c>
      <c r="N40" s="629">
        <v>1237.5</v>
      </c>
      <c r="O40" s="629">
        <v>0</v>
      </c>
      <c r="P40" s="629">
        <v>0</v>
      </c>
      <c r="Q40" s="629">
        <v>3535.7142857142858</v>
      </c>
      <c r="R40" s="629">
        <v>0</v>
      </c>
      <c r="S40" s="629">
        <v>0</v>
      </c>
      <c r="T40" s="629">
        <v>0</v>
      </c>
      <c r="U40" s="629">
        <v>0</v>
      </c>
      <c r="V40" s="629">
        <v>0</v>
      </c>
      <c r="W40" s="629">
        <v>0</v>
      </c>
      <c r="X40" s="629">
        <v>1600</v>
      </c>
      <c r="Y40" s="629" t="s">
        <v>49</v>
      </c>
      <c r="Z40" s="630" t="s">
        <v>155</v>
      </c>
    </row>
    <row r="41" spans="1:27" s="564" customFormat="1">
      <c r="A41" s="582" t="s">
        <v>279</v>
      </c>
      <c r="B41" s="583"/>
      <c r="C41" s="583"/>
      <c r="D41" s="583"/>
      <c r="E41" s="583"/>
      <c r="F41" s="583"/>
      <c r="G41" s="583"/>
      <c r="H41" s="583"/>
      <c r="I41" s="583"/>
      <c r="J41" s="583"/>
      <c r="K41" s="583"/>
      <c r="L41" s="584"/>
      <c r="M41" s="584">
        <f>SUM(M40:M40)</f>
        <v>275</v>
      </c>
      <c r="N41" s="584">
        <f>SUM(N40:N40)</f>
        <v>1237.5</v>
      </c>
      <c r="O41" s="584">
        <f>SUM(O40:O40)</f>
        <v>0</v>
      </c>
      <c r="P41" s="584">
        <f>SUM(P40:P40)</f>
        <v>0</v>
      </c>
      <c r="Q41" s="584">
        <f>SUM(Q40:Q40)</f>
        <v>3535.7142857142858</v>
      </c>
      <c r="R41" s="584">
        <f>SUM(R40:R40)</f>
        <v>0</v>
      </c>
      <c r="S41" s="584">
        <f>SUM(S40:S40)</f>
        <v>0</v>
      </c>
      <c r="T41" s="584">
        <f>SUM(T40:T40)</f>
        <v>0</v>
      </c>
      <c r="U41" s="584">
        <f>SUM(U40:U40)</f>
        <v>0</v>
      </c>
      <c r="V41" s="584">
        <f>SUM(V40:V40)</f>
        <v>0</v>
      </c>
      <c r="W41" s="584">
        <f>SUM(W40:W40)</f>
        <v>0</v>
      </c>
      <c r="X41" s="585"/>
      <c r="Y41" s="585"/>
      <c r="Z41" s="586"/>
    </row>
    <row r="42" spans="1:27" s="564" customFormat="1">
      <c r="A42" s="582" t="s">
        <v>286</v>
      </c>
      <c r="B42" s="583"/>
      <c r="C42" s="583"/>
      <c r="D42" s="583"/>
      <c r="E42" s="583"/>
      <c r="F42" s="583"/>
      <c r="G42" s="583"/>
      <c r="H42" s="583"/>
      <c r="I42" s="583"/>
      <c r="J42" s="583"/>
      <c r="K42" s="583"/>
      <c r="L42" s="584"/>
      <c r="M42" s="584">
        <f>SUMIF($Z$40:$Z$40,"industrie",M40:M40)</f>
        <v>0</v>
      </c>
      <c r="N42" s="584">
        <f>SUMIF($Z$40:$Z$40,"industrie",N40:N40)</f>
        <v>0</v>
      </c>
      <c r="O42" s="584">
        <f>SUMIF($Z$40:$Z$40,"industrie",O40:O40)</f>
        <v>0</v>
      </c>
      <c r="P42" s="584">
        <f>SUMIF($Z$40:$Z$40,"industrie",P40:P40)</f>
        <v>0</v>
      </c>
      <c r="Q42" s="584">
        <f>SUMIF($Z$40:$Z$40,"industrie",Q40:Q40)</f>
        <v>0</v>
      </c>
      <c r="R42" s="584">
        <f>SUMIF($Z$40:$Z$40,"industrie",R40:R40)</f>
        <v>0</v>
      </c>
      <c r="S42" s="584">
        <f>SUMIF($Z$40:$Z$40,"industrie",S40:S40)</f>
        <v>0</v>
      </c>
      <c r="T42" s="584">
        <f>SUMIF($Z$40:$Z$40,"industrie",T40:T40)</f>
        <v>0</v>
      </c>
      <c r="U42" s="584">
        <f>SUMIF($Z$40:$Z$40,"industrie",U40:U40)</f>
        <v>0</v>
      </c>
      <c r="V42" s="584">
        <f>SUMIF($Z$40:$Z$40,"industrie",V40:V40)</f>
        <v>0</v>
      </c>
      <c r="W42" s="584">
        <f>SUMIF($Z$40:$Z$40,"industrie",W40:W40)</f>
        <v>0</v>
      </c>
      <c r="X42" s="585"/>
      <c r="Y42" s="585"/>
      <c r="Z42" s="586"/>
    </row>
    <row r="43" spans="1:27" s="564" customFormat="1">
      <c r="A43" s="582" t="s">
        <v>287</v>
      </c>
      <c r="B43" s="583"/>
      <c r="C43" s="583"/>
      <c r="D43" s="583"/>
      <c r="E43" s="583"/>
      <c r="F43" s="583"/>
      <c r="G43" s="583"/>
      <c r="H43" s="583"/>
      <c r="I43" s="583"/>
      <c r="J43" s="583"/>
      <c r="K43" s="583"/>
      <c r="L43" s="584"/>
      <c r="M43" s="584">
        <f>SUMIF($Z$40:$Z$41,"tertiair",M40:M41)</f>
        <v>275</v>
      </c>
      <c r="N43" s="584">
        <f>SUMIF($Z$40:$Z$41,"tertiair",N40:N41)</f>
        <v>1237.5</v>
      </c>
      <c r="O43" s="584">
        <f>SUMIF($Z$40:$Z$41,"tertiair",O40:O41)</f>
        <v>0</v>
      </c>
      <c r="P43" s="584">
        <f>SUMIF($Z$40:$Z$41,"tertiair",P40:P41)</f>
        <v>0</v>
      </c>
      <c r="Q43" s="584">
        <f>SUMIF($Z$40:$Z$41,"tertiair",Q40:Q41)</f>
        <v>3535.7142857142858</v>
      </c>
      <c r="R43" s="584">
        <f>SUMIF($Z$40:$Z$41,"tertiair",R40:R41)</f>
        <v>0</v>
      </c>
      <c r="S43" s="584">
        <f>SUMIF($Z$40:$Z$41,"tertiair",S40:S41)</f>
        <v>0</v>
      </c>
      <c r="T43" s="584">
        <f>SUMIF($Z$40:$Z$41,"tertiair",T40:T41)</f>
        <v>0</v>
      </c>
      <c r="U43" s="584">
        <f>SUMIF($Z$40:$Z$41,"tertiair",U40:U41)</f>
        <v>0</v>
      </c>
      <c r="V43" s="584">
        <f>SUMIF($Z$40:$Z$41,"tertiair",V40:V41)</f>
        <v>0</v>
      </c>
      <c r="W43" s="584">
        <f>SUMIF($Z$40:$Z$41,"tertiair",W40:W41)</f>
        <v>0</v>
      </c>
      <c r="X43" s="585"/>
      <c r="Y43" s="585"/>
      <c r="Z43" s="586"/>
    </row>
    <row r="44" spans="1:27" s="564" customFormat="1" ht="15.75" thickBot="1">
      <c r="A44" s="587" t="s">
        <v>288</v>
      </c>
      <c r="B44" s="588"/>
      <c r="C44" s="588"/>
      <c r="D44" s="588"/>
      <c r="E44" s="588"/>
      <c r="F44" s="588"/>
      <c r="G44" s="588"/>
      <c r="H44" s="588"/>
      <c r="I44" s="588"/>
      <c r="J44" s="588"/>
      <c r="K44" s="588"/>
      <c r="L44" s="589"/>
      <c r="M44" s="589">
        <f>SUMIF($Z$40:$Z$42,"landbouw",M40:M42)</f>
        <v>0</v>
      </c>
      <c r="N44" s="589">
        <f>SUMIF($Z$40:$Z$42,"landbouw",N40:N42)</f>
        <v>0</v>
      </c>
      <c r="O44" s="589">
        <f>SUMIF($Z$40:$Z$42,"landbouw",O40:O42)</f>
        <v>0</v>
      </c>
      <c r="P44" s="589">
        <f>SUMIF($Z$40:$Z$42,"landbouw",P40:P42)</f>
        <v>0</v>
      </c>
      <c r="Q44" s="589">
        <f>SUMIF($Z$40:$Z$42,"landbouw",Q40:Q42)</f>
        <v>0</v>
      </c>
      <c r="R44" s="589">
        <f>SUMIF($Z$40:$Z$42,"landbouw",R40:R42)</f>
        <v>0</v>
      </c>
      <c r="S44" s="589">
        <f>SUMIF($Z$40:$Z$42,"landbouw",S40:S42)</f>
        <v>0</v>
      </c>
      <c r="T44" s="589">
        <f>SUMIF($Z$40:$Z$42,"landbouw",T40:T42)</f>
        <v>0</v>
      </c>
      <c r="U44" s="589">
        <f>SUMIF($Z$40:$Z$42,"landbouw",U40:U42)</f>
        <v>0</v>
      </c>
      <c r="V44" s="589">
        <f>SUMIF($Z$40:$Z$42,"landbouw",V40:V42)</f>
        <v>0</v>
      </c>
      <c r="W44" s="589">
        <f>SUMIF($Z$40:$Z$42,"landbouw",W40:W42)</f>
        <v>0</v>
      </c>
      <c r="X44" s="590"/>
      <c r="Y44" s="590"/>
      <c r="Z44" s="591"/>
    </row>
    <row r="45" spans="1:27" s="596" customFormat="1">
      <c r="A45" s="592"/>
      <c r="B45" s="576"/>
      <c r="C45" s="576"/>
      <c r="D45" s="576"/>
      <c r="E45" s="576"/>
      <c r="F45" s="576"/>
      <c r="G45" s="576"/>
      <c r="H45" s="576"/>
      <c r="I45" s="576"/>
      <c r="J45" s="576"/>
      <c r="K45" s="576"/>
      <c r="L45" s="576"/>
      <c r="M45" s="576"/>
      <c r="N45" s="576"/>
      <c r="O45" s="576"/>
      <c r="P45" s="576"/>
      <c r="Q45" s="576"/>
      <c r="R45" s="576"/>
      <c r="S45" s="576"/>
      <c r="T45" s="576"/>
      <c r="U45" s="576"/>
      <c r="V45" s="576"/>
      <c r="W45" s="576"/>
      <c r="X45" s="576"/>
      <c r="Y45" s="576"/>
    </row>
    <row r="46" spans="1:27" s="596" customFormat="1" ht="15.75" thickBot="1">
      <c r="A46" s="592"/>
      <c r="B46" s="576"/>
      <c r="C46" s="576"/>
      <c r="D46" s="576"/>
      <c r="E46" s="576"/>
      <c r="F46" s="576"/>
      <c r="G46" s="576"/>
      <c r="H46" s="576"/>
      <c r="I46" s="576"/>
      <c r="J46" s="576"/>
      <c r="K46" s="576"/>
      <c r="L46" s="576"/>
      <c r="M46" s="576"/>
      <c r="N46" s="576"/>
      <c r="O46" s="576"/>
      <c r="P46" s="576"/>
      <c r="Q46" s="576"/>
      <c r="R46" s="576"/>
      <c r="S46" s="576"/>
      <c r="T46" s="576"/>
      <c r="U46" s="576"/>
      <c r="V46" s="576"/>
      <c r="W46" s="576"/>
      <c r="X46" s="576"/>
      <c r="Y46" s="576"/>
      <c r="Z46" s="576"/>
      <c r="AA46" s="576"/>
    </row>
    <row r="47" spans="1:27">
      <c r="A47" s="597" t="s">
        <v>281</v>
      </c>
      <c r="B47" s="598"/>
      <c r="C47" s="598"/>
      <c r="D47" s="598"/>
      <c r="E47" s="598"/>
      <c r="F47" s="598"/>
      <c r="G47" s="598"/>
      <c r="H47" s="598"/>
      <c r="I47" s="599"/>
      <c r="J47" s="600"/>
      <c r="K47" s="600"/>
      <c r="L47" s="601"/>
      <c r="M47" s="601"/>
      <c r="N47" s="601"/>
      <c r="O47" s="601"/>
      <c r="P47" s="601"/>
    </row>
    <row r="48" spans="1:27">
      <c r="A48" s="603"/>
      <c r="B48" s="593"/>
      <c r="C48" s="593"/>
      <c r="D48" s="593"/>
      <c r="E48" s="593"/>
      <c r="F48" s="593"/>
      <c r="G48" s="593"/>
      <c r="H48" s="593"/>
      <c r="I48" s="604"/>
      <c r="J48" s="593"/>
      <c r="K48" s="593"/>
      <c r="L48" s="601"/>
      <c r="M48" s="601"/>
      <c r="N48" s="601"/>
      <c r="O48" s="601"/>
      <c r="P48" s="601"/>
    </row>
    <row r="49" spans="1:16">
      <c r="A49" s="605"/>
      <c r="B49" s="606" t="s">
        <v>282</v>
      </c>
      <c r="C49" s="606" t="s">
        <v>283</v>
      </c>
      <c r="D49" s="606"/>
      <c r="E49" s="606"/>
      <c r="F49" s="606"/>
      <c r="G49" s="606"/>
      <c r="H49" s="606"/>
      <c r="I49" s="607"/>
      <c r="J49" s="606"/>
      <c r="K49" s="606"/>
      <c r="L49" s="606"/>
      <c r="M49" s="606"/>
      <c r="N49" s="606"/>
      <c r="O49" s="606"/>
      <c r="P49" s="601"/>
    </row>
    <row r="50" spans="1:16">
      <c r="A50" s="603" t="s">
        <v>279</v>
      </c>
      <c r="B50" s="608">
        <f>IF(ISERROR(O34/(O34+N34)),0,O34/(O34+N34))</f>
        <v>0.58823529411764708</v>
      </c>
      <c r="C50" s="609">
        <f>IF(ISERROR(N34/(O34+N34)),0,N34/(N34+O34))</f>
        <v>0.41176470588235292</v>
      </c>
      <c r="D50" s="576"/>
      <c r="E50" s="576"/>
      <c r="F50" s="576"/>
      <c r="G50" s="576"/>
      <c r="H50" s="576"/>
      <c r="I50" s="610"/>
      <c r="J50" s="576"/>
      <c r="K50" s="576"/>
      <c r="L50" s="611"/>
      <c r="M50" s="611"/>
      <c r="N50" s="611"/>
      <c r="O50" s="611"/>
      <c r="P50" s="601"/>
    </row>
    <row r="51" spans="1:16">
      <c r="A51" s="603"/>
      <c r="B51" s="612"/>
      <c r="C51" s="612"/>
      <c r="D51" s="612"/>
      <c r="E51" s="612"/>
      <c r="F51" s="612"/>
      <c r="G51" s="612"/>
      <c r="H51" s="612"/>
      <c r="I51" s="613"/>
      <c r="J51" s="612"/>
      <c r="K51" s="612"/>
      <c r="L51" s="614"/>
      <c r="M51" s="614"/>
      <c r="N51" s="614"/>
      <c r="O51" s="614"/>
      <c r="P51" s="601"/>
    </row>
    <row r="52" spans="1:16" ht="30">
      <c r="A52" s="615"/>
      <c r="B52" s="616" t="s">
        <v>533</v>
      </c>
      <c r="C52" s="616" t="s">
        <v>102</v>
      </c>
      <c r="D52" s="616" t="s">
        <v>103</v>
      </c>
      <c r="E52" s="616" t="s">
        <v>104</v>
      </c>
      <c r="F52" s="616" t="s">
        <v>105</v>
      </c>
      <c r="G52" s="616" t="s">
        <v>106</v>
      </c>
      <c r="H52" s="616" t="s">
        <v>107</v>
      </c>
      <c r="I52" s="617" t="s">
        <v>108</v>
      </c>
      <c r="J52" s="606"/>
      <c r="K52" s="606"/>
      <c r="L52" s="614"/>
      <c r="M52" s="614"/>
      <c r="N52" s="614"/>
      <c r="O52" s="601"/>
      <c r="P52" s="601"/>
    </row>
    <row r="53" spans="1:16">
      <c r="A53" s="605" t="s">
        <v>284</v>
      </c>
      <c r="B53" s="618">
        <f t="shared" ref="B53:I53" si="2">$C$50*P34</f>
        <v>2685.1764705882356</v>
      </c>
      <c r="C53" s="618">
        <f t="shared" si="2"/>
        <v>0</v>
      </c>
      <c r="D53" s="618">
        <f t="shared" si="2"/>
        <v>0</v>
      </c>
      <c r="E53" s="618">
        <f t="shared" si="2"/>
        <v>0</v>
      </c>
      <c r="F53" s="618">
        <f t="shared" si="2"/>
        <v>0</v>
      </c>
      <c r="G53" s="618">
        <f t="shared" si="2"/>
        <v>0</v>
      </c>
      <c r="H53" s="618">
        <f t="shared" si="2"/>
        <v>0</v>
      </c>
      <c r="I53" s="619">
        <f t="shared" si="2"/>
        <v>0</v>
      </c>
      <c r="J53" s="576"/>
      <c r="K53" s="576"/>
      <c r="L53" s="614"/>
      <c r="M53" s="614"/>
      <c r="N53" s="614"/>
      <c r="O53" s="601"/>
      <c r="P53" s="601"/>
    </row>
    <row r="54" spans="1:16" ht="15.75" thickBot="1">
      <c r="A54" s="620" t="s">
        <v>285</v>
      </c>
      <c r="B54" s="621">
        <f t="shared" ref="B54:I54" si="3">$B$50*P34</f>
        <v>3835.9663865546231</v>
      </c>
      <c r="C54" s="621">
        <f t="shared" si="3"/>
        <v>0</v>
      </c>
      <c r="D54" s="621">
        <f t="shared" si="3"/>
        <v>0</v>
      </c>
      <c r="E54" s="621">
        <f t="shared" si="3"/>
        <v>0</v>
      </c>
      <c r="F54" s="621">
        <f t="shared" si="3"/>
        <v>0</v>
      </c>
      <c r="G54" s="621">
        <f t="shared" si="3"/>
        <v>0</v>
      </c>
      <c r="H54" s="621">
        <f t="shared" si="3"/>
        <v>0</v>
      </c>
      <c r="I54" s="622">
        <f t="shared" si="3"/>
        <v>0</v>
      </c>
      <c r="J54" s="576"/>
      <c r="K54" s="576"/>
      <c r="L54" s="614"/>
      <c r="M54" s="614"/>
      <c r="N54" s="614"/>
      <c r="O54" s="601"/>
      <c r="P54" s="601"/>
    </row>
    <row r="55" spans="1:16">
      <c r="J55" s="562"/>
      <c r="K55" s="562"/>
      <c r="L55" s="562"/>
      <c r="M55" s="562"/>
      <c r="N55" s="562"/>
    </row>
    <row r="56" spans="1:16">
      <c r="J56" s="562"/>
      <c r="K56" s="562"/>
      <c r="L56" s="562"/>
      <c r="M56" s="562"/>
      <c r="N56"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867</v>
      </c>
      <c r="B2" s="1048" t="s">
        <v>868</v>
      </c>
      <c r="C2" s="1047" t="s">
        <v>652</v>
      </c>
      <c r="D2" s="1047" t="s">
        <v>703</v>
      </c>
      <c r="E2" s="349"/>
      <c r="F2" s="346" t="s">
        <v>706</v>
      </c>
      <c r="G2" s="346" t="s">
        <v>714</v>
      </c>
      <c r="H2" s="347" t="s">
        <v>715</v>
      </c>
    </row>
    <row r="3" spans="1:8" s="11" customFormat="1">
      <c r="A3" s="1044" t="s">
        <v>865</v>
      </c>
      <c r="B3" s="1045" t="s">
        <v>864</v>
      </c>
      <c r="C3" s="1044" t="s">
        <v>192</v>
      </c>
      <c r="D3" s="1046" t="s">
        <v>866</v>
      </c>
      <c r="E3" s="349"/>
      <c r="F3" s="870" t="s">
        <v>701</v>
      </c>
      <c r="G3" s="870" t="s">
        <v>700</v>
      </c>
      <c r="H3" s="870" t="s">
        <v>702</v>
      </c>
    </row>
    <row r="4" spans="1:8" s="11" customFormat="1">
      <c r="A4" s="348" t="s">
        <v>404</v>
      </c>
      <c r="B4" s="774" t="s">
        <v>749</v>
      </c>
      <c r="C4" s="348" t="s">
        <v>404</v>
      </c>
      <c r="D4" s="348" t="s">
        <v>709</v>
      </c>
      <c r="E4" s="349"/>
      <c r="F4" s="870" t="s">
        <v>697</v>
      </c>
      <c r="G4" s="870" t="s">
        <v>698</v>
      </c>
      <c r="H4" s="870" t="s">
        <v>699</v>
      </c>
    </row>
    <row r="5" spans="1:8">
      <c r="A5" s="343" t="s">
        <v>398</v>
      </c>
      <c r="B5" s="868" t="s">
        <v>730</v>
      </c>
      <c r="C5" s="343" t="s">
        <v>398</v>
      </c>
      <c r="D5" s="343" t="s">
        <v>710</v>
      </c>
      <c r="E5" s="345"/>
      <c r="F5" s="346" t="s">
        <v>399</v>
      </c>
      <c r="G5" s="346" t="s">
        <v>400</v>
      </c>
      <c r="H5" s="347" t="s">
        <v>401</v>
      </c>
    </row>
    <row r="6" spans="1:8">
      <c r="A6" s="343" t="s">
        <v>402</v>
      </c>
      <c r="B6" s="868" t="s">
        <v>760</v>
      </c>
      <c r="C6" s="343" t="s">
        <v>402</v>
      </c>
      <c r="D6" s="343" t="s">
        <v>711</v>
      </c>
      <c r="E6" s="345"/>
      <c r="F6" s="346" t="s">
        <v>683</v>
      </c>
      <c r="G6" s="346" t="s">
        <v>685</v>
      </c>
      <c r="H6" s="347" t="s">
        <v>684</v>
      </c>
    </row>
    <row r="7" spans="1:8">
      <c r="A7" s="348" t="s">
        <v>428</v>
      </c>
      <c r="B7" s="351" t="s">
        <v>429</v>
      </c>
      <c r="C7" s="348" t="s">
        <v>431</v>
      </c>
      <c r="D7" s="348" t="s">
        <v>427</v>
      </c>
      <c r="E7" s="345" t="s">
        <v>430</v>
      </c>
      <c r="F7" s="346"/>
      <c r="G7" s="346"/>
      <c r="H7" s="347"/>
    </row>
    <row r="8" spans="1:8" s="862" customFormat="1">
      <c r="A8" s="348" t="s">
        <v>704</v>
      </c>
      <c r="B8" s="774">
        <v>2016</v>
      </c>
      <c r="C8" s="348" t="s">
        <v>404</v>
      </c>
      <c r="D8" s="348" t="s">
        <v>712</v>
      </c>
      <c r="E8" s="345" t="s">
        <v>705</v>
      </c>
      <c r="F8" s="346"/>
      <c r="G8" s="346"/>
      <c r="H8" s="347"/>
    </row>
    <row r="9" spans="1:8" s="862" customFormat="1">
      <c r="A9" s="348" t="s">
        <v>718</v>
      </c>
      <c r="B9" s="774">
        <v>2017</v>
      </c>
      <c r="C9" s="348" t="s">
        <v>720</v>
      </c>
      <c r="D9" s="348" t="s">
        <v>719</v>
      </c>
      <c r="E9" s="350" t="s">
        <v>717</v>
      </c>
      <c r="F9" s="346"/>
      <c r="G9" s="346"/>
      <c r="H9" s="347"/>
    </row>
    <row r="10" spans="1:8" s="11" customFormat="1">
      <c r="A10" s="348" t="s">
        <v>628</v>
      </c>
      <c r="B10" s="901" t="s">
        <v>747</v>
      </c>
      <c r="C10" s="348" t="s">
        <v>629</v>
      </c>
      <c r="D10" s="348" t="s">
        <v>630</v>
      </c>
      <c r="E10" s="349"/>
      <c r="F10" s="870" t="s">
        <v>686</v>
      </c>
      <c r="G10" s="870" t="s">
        <v>687</v>
      </c>
      <c r="H10" s="347" t="s">
        <v>688</v>
      </c>
    </row>
    <row r="11" spans="1:8">
      <c r="A11" s="343" t="s">
        <v>691</v>
      </c>
      <c r="B11" s="868" t="s">
        <v>759</v>
      </c>
      <c r="C11" s="343" t="s">
        <v>692</v>
      </c>
      <c r="D11" s="343" t="s">
        <v>713</v>
      </c>
      <c r="E11" s="672"/>
      <c r="F11" s="346" t="s">
        <v>695</v>
      </c>
      <c r="G11" s="346" t="s">
        <v>693</v>
      </c>
      <c r="H11" s="347" t="s">
        <v>694</v>
      </c>
    </row>
    <row r="12" spans="1:8" s="862" customFormat="1">
      <c r="A12" s="348" t="s">
        <v>708</v>
      </c>
      <c r="B12" s="774">
        <v>2017</v>
      </c>
      <c r="C12" s="348" t="s">
        <v>422</v>
      </c>
      <c r="D12" s="348" t="s">
        <v>707</v>
      </c>
      <c r="E12" s="345"/>
      <c r="F12" s="346" t="s">
        <v>706</v>
      </c>
      <c r="G12" s="346" t="s">
        <v>714</v>
      </c>
      <c r="H12" s="347" t="s">
        <v>715</v>
      </c>
    </row>
    <row r="13" spans="1:8" s="10" customFormat="1">
      <c r="A13" s="348" t="s">
        <v>406</v>
      </c>
      <c r="B13" s="344" t="s">
        <v>421</v>
      </c>
      <c r="C13" s="343"/>
      <c r="D13" s="352" t="s">
        <v>420</v>
      </c>
      <c r="E13" s="345"/>
      <c r="F13" s="346"/>
      <c r="G13" s="346"/>
      <c r="H13" s="347"/>
    </row>
    <row r="14" spans="1:8">
      <c r="A14" s="343" t="s">
        <v>394</v>
      </c>
      <c r="B14" s="344" t="s">
        <v>730</v>
      </c>
      <c r="C14" s="343" t="s">
        <v>679</v>
      </c>
      <c r="D14" s="343" t="s">
        <v>731</v>
      </c>
      <c r="E14" s="350" t="s">
        <v>395</v>
      </c>
      <c r="F14" s="346" t="s">
        <v>396</v>
      </c>
      <c r="G14" s="346" t="s">
        <v>777</v>
      </c>
      <c r="H14" s="346" t="s">
        <v>397</v>
      </c>
    </row>
    <row r="15" spans="1:8">
      <c r="A15" s="343" t="s">
        <v>405</v>
      </c>
      <c r="B15" s="868" t="s">
        <v>696</v>
      </c>
      <c r="C15" s="343" t="s">
        <v>405</v>
      </c>
      <c r="D15" s="343" t="s">
        <v>419</v>
      </c>
      <c r="E15" s="345"/>
      <c r="F15" s="346" t="s">
        <v>767</v>
      </c>
      <c r="G15" s="876" t="s">
        <v>776</v>
      </c>
      <c r="H15" s="876" t="s">
        <v>775</v>
      </c>
    </row>
    <row r="16" spans="1:8" s="869" customFormat="1">
      <c r="A16" s="872" t="s">
        <v>505</v>
      </c>
      <c r="B16" s="873" t="s">
        <v>379</v>
      </c>
      <c r="C16" s="872" t="s">
        <v>377</v>
      </c>
      <c r="D16" s="874" t="s">
        <v>378</v>
      </c>
      <c r="E16" s="875" t="s">
        <v>380</v>
      </c>
      <c r="F16" s="346" t="s">
        <v>681</v>
      </c>
      <c r="G16" s="876" t="s">
        <v>689</v>
      </c>
      <c r="H16" s="347" t="s">
        <v>690</v>
      </c>
    </row>
    <row r="17" spans="1:8" s="869" customFormat="1">
      <c r="A17" s="872" t="s">
        <v>505</v>
      </c>
      <c r="B17" s="873" t="s">
        <v>760</v>
      </c>
      <c r="C17" s="872" t="s">
        <v>761</v>
      </c>
      <c r="D17" s="874" t="s">
        <v>762</v>
      </c>
      <c r="E17" s="875"/>
      <c r="F17" s="346" t="s">
        <v>681</v>
      </c>
      <c r="G17" s="876" t="s">
        <v>689</v>
      </c>
      <c r="H17" s="347" t="s">
        <v>690</v>
      </c>
    </row>
    <row r="18" spans="1:8" s="11" customFormat="1">
      <c r="A18" s="348" t="s">
        <v>504</v>
      </c>
      <c r="B18" s="873" t="s">
        <v>742</v>
      </c>
      <c r="C18" s="348" t="s">
        <v>422</v>
      </c>
      <c r="D18" s="348" t="s">
        <v>741</v>
      </c>
      <c r="E18" s="349" t="s">
        <v>682</v>
      </c>
      <c r="F18" s="346" t="s">
        <v>681</v>
      </c>
      <c r="G18" s="876" t="s">
        <v>689</v>
      </c>
      <c r="H18" s="347" t="s">
        <v>690</v>
      </c>
    </row>
    <row r="19" spans="1:8">
      <c r="A19" s="348" t="s">
        <v>192</v>
      </c>
      <c r="B19" s="774" t="s">
        <v>730</v>
      </c>
      <c r="C19" s="348" t="s">
        <v>423</v>
      </c>
      <c r="D19" s="348" t="s">
        <v>680</v>
      </c>
      <c r="E19" s="345"/>
      <c r="F19" s="346" t="s">
        <v>424</v>
      </c>
      <c r="G19" s="346" t="s">
        <v>425</v>
      </c>
      <c r="H19" s="347" t="s">
        <v>426</v>
      </c>
    </row>
    <row r="20" spans="1:8" s="11" customFormat="1">
      <c r="A20" s="1050" t="s">
        <v>869</v>
      </c>
      <c r="B20" s="1051" t="s">
        <v>864</v>
      </c>
      <c r="C20" s="1050" t="s">
        <v>192</v>
      </c>
      <c r="D20" s="1050" t="s">
        <v>870</v>
      </c>
      <c r="E20" s="349"/>
      <c r="F20" s="870" t="s">
        <v>701</v>
      </c>
      <c r="G20" s="870" t="s">
        <v>700</v>
      </c>
      <c r="H20" s="870" t="s">
        <v>702</v>
      </c>
    </row>
    <row r="21" spans="1:8" s="862" customFormat="1">
      <c r="A21" s="348" t="s">
        <v>405</v>
      </c>
      <c r="B21" s="774" t="s">
        <v>747</v>
      </c>
      <c r="C21" s="348" t="s">
        <v>405</v>
      </c>
      <c r="D21" s="348" t="s">
        <v>763</v>
      </c>
      <c r="E21" s="345"/>
      <c r="F21" s="346" t="s">
        <v>765</v>
      </c>
      <c r="G21" s="870" t="s">
        <v>774</v>
      </c>
      <c r="H21" s="871" t="s">
        <v>773</v>
      </c>
    </row>
    <row r="22" spans="1:8" s="862" customFormat="1">
      <c r="A22" s="348" t="s">
        <v>405</v>
      </c>
      <c r="B22" s="774" t="s">
        <v>760</v>
      </c>
      <c r="C22" s="348" t="s">
        <v>405</v>
      </c>
      <c r="D22" s="348" t="s">
        <v>764</v>
      </c>
      <c r="E22" s="345"/>
      <c r="F22" s="346" t="s">
        <v>766</v>
      </c>
      <c r="G22" s="870" t="s">
        <v>769</v>
      </c>
      <c r="H22" s="870" t="s">
        <v>768</v>
      </c>
    </row>
    <row r="23" spans="1:8" s="11" customFormat="1">
      <c r="A23" s="348" t="s">
        <v>405</v>
      </c>
      <c r="B23" s="901" t="s">
        <v>748</v>
      </c>
      <c r="C23" s="348" t="s">
        <v>405</v>
      </c>
      <c r="D23" s="348" t="s">
        <v>654</v>
      </c>
      <c r="E23" s="349"/>
      <c r="F23" s="870" t="s">
        <v>772</v>
      </c>
      <c r="G23" s="870" t="s">
        <v>771</v>
      </c>
      <c r="H23" s="870" t="s">
        <v>770</v>
      </c>
    </row>
    <row r="24" spans="1:8" s="11" customFormat="1">
      <c r="A24" s="348" t="s">
        <v>405</v>
      </c>
      <c r="B24" s="901" t="s">
        <v>748</v>
      </c>
      <c r="C24" s="348" t="s">
        <v>405</v>
      </c>
      <c r="D24" s="902" t="s">
        <v>633</v>
      </c>
      <c r="E24" s="349"/>
      <c r="F24" s="870" t="s">
        <v>772</v>
      </c>
      <c r="G24" s="870" t="s">
        <v>771</v>
      </c>
      <c r="H24" s="871" t="s">
        <v>770</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618</v>
      </c>
      <c r="B1" s="877" t="s">
        <v>619</v>
      </c>
      <c r="C1" s="877" t="s">
        <v>621</v>
      </c>
      <c r="D1" s="877" t="s">
        <v>620</v>
      </c>
    </row>
    <row r="2" spans="1:4" s="863" customFormat="1">
      <c r="A2" s="863" t="s">
        <v>722</v>
      </c>
      <c r="B2" s="887">
        <v>43172</v>
      </c>
      <c r="C2" s="863" t="s">
        <v>733</v>
      </c>
      <c r="D2" s="888" t="s">
        <v>732</v>
      </c>
    </row>
    <row r="3" spans="1:4" s="863" customFormat="1">
      <c r="A3" s="863" t="s">
        <v>722</v>
      </c>
      <c r="B3" s="887">
        <v>43172</v>
      </c>
      <c r="C3" s="863" t="s">
        <v>734</v>
      </c>
      <c r="D3" s="888" t="s">
        <v>735</v>
      </c>
    </row>
    <row r="4" spans="1:4" s="863" customFormat="1">
      <c r="A4" s="863" t="s">
        <v>722</v>
      </c>
      <c r="B4" s="887">
        <v>43278</v>
      </c>
      <c r="C4" s="863" t="s">
        <v>744</v>
      </c>
      <c r="D4" s="888"/>
    </row>
    <row r="5" spans="1:4" s="863" customFormat="1">
      <c r="A5" s="863" t="s">
        <v>722</v>
      </c>
      <c r="B5" s="887">
        <v>42525</v>
      </c>
      <c r="C5" s="863" t="s">
        <v>745</v>
      </c>
      <c r="D5" s="899"/>
    </row>
    <row r="6" spans="1:4" s="863" customFormat="1">
      <c r="A6" s="863" t="s">
        <v>722</v>
      </c>
      <c r="B6" s="903">
        <v>43266</v>
      </c>
      <c r="C6" s="862" t="s">
        <v>755</v>
      </c>
      <c r="D6" s="904" t="s">
        <v>751</v>
      </c>
    </row>
    <row r="7" spans="1:4" s="863" customFormat="1">
      <c r="A7" s="863" t="s">
        <v>722</v>
      </c>
      <c r="B7" s="903">
        <v>43266</v>
      </c>
      <c r="C7" s="862" t="s">
        <v>756</v>
      </c>
      <c r="D7" s="904" t="s">
        <v>752</v>
      </c>
    </row>
    <row r="8" spans="1:4" s="863" customFormat="1">
      <c r="A8" s="863" t="s">
        <v>722</v>
      </c>
      <c r="B8" s="903">
        <v>43266</v>
      </c>
      <c r="C8" s="862" t="s">
        <v>757</v>
      </c>
      <c r="D8" s="904" t="s">
        <v>753</v>
      </c>
    </row>
    <row r="9" spans="1:4" s="7" customFormat="1">
      <c r="A9" s="863" t="s">
        <v>722</v>
      </c>
      <c r="B9" s="903">
        <v>43266</v>
      </c>
      <c r="C9" s="862" t="s">
        <v>758</v>
      </c>
      <c r="D9" s="904" t="s">
        <v>754</v>
      </c>
    </row>
    <row r="10" spans="1:4" s="7" customFormat="1">
      <c r="A10" s="863" t="s">
        <v>722</v>
      </c>
      <c r="B10" s="887">
        <v>43278</v>
      </c>
      <c r="C10" s="887" t="s">
        <v>778</v>
      </c>
      <c r="D10" s="904"/>
    </row>
    <row r="11" spans="1:4" s="7" customFormat="1">
      <c r="A11" s="863" t="s">
        <v>786</v>
      </c>
      <c r="B11" s="887">
        <v>43347</v>
      </c>
      <c r="C11" s="887" t="s">
        <v>787</v>
      </c>
      <c r="D11" s="907"/>
    </row>
    <row r="12" spans="1:4" s="7" customFormat="1">
      <c r="A12" s="863" t="s">
        <v>832</v>
      </c>
      <c r="B12" s="887">
        <v>43573</v>
      </c>
      <c r="C12" s="887" t="s">
        <v>833</v>
      </c>
      <c r="D12" s="907"/>
    </row>
    <row r="13" spans="1:4" s="7" customFormat="1">
      <c r="A13" s="863" t="s">
        <v>832</v>
      </c>
      <c r="B13" s="887">
        <v>43599</v>
      </c>
      <c r="C13" s="887" t="s">
        <v>834</v>
      </c>
      <c r="D13" s="907" t="s">
        <v>835</v>
      </c>
    </row>
    <row r="14" spans="1:4" s="7" customFormat="1">
      <c r="A14" s="863" t="s">
        <v>857</v>
      </c>
      <c r="B14" s="887">
        <v>43678</v>
      </c>
      <c r="C14" s="887" t="s">
        <v>858</v>
      </c>
      <c r="D14" s="907" t="s">
        <v>859</v>
      </c>
    </row>
    <row r="15" spans="1:4" s="7" customFormat="1">
      <c r="A15" s="1041" t="s">
        <v>863</v>
      </c>
      <c r="B15" s="1060">
        <v>43930</v>
      </c>
      <c r="C15" s="1056" t="s">
        <v>860</v>
      </c>
      <c r="D15" s="1059" t="s">
        <v>861</v>
      </c>
    </row>
    <row r="16" spans="1:4" s="7" customFormat="1">
      <c r="A16" s="1057" t="s">
        <v>863</v>
      </c>
      <c r="B16" s="1060">
        <v>43930</v>
      </c>
      <c r="C16" s="1056" t="s">
        <v>862</v>
      </c>
      <c r="D16" s="1059" t="s">
        <v>861</v>
      </c>
    </row>
    <row r="17" spans="1:4" s="7" customFormat="1">
      <c r="A17" s="1057" t="s">
        <v>863</v>
      </c>
      <c r="B17" s="1060">
        <v>43943</v>
      </c>
      <c r="C17" s="1056" t="s">
        <v>872</v>
      </c>
      <c r="D17" s="1058" t="s">
        <v>751</v>
      </c>
    </row>
    <row r="18" spans="1:4" s="7" customFormat="1">
      <c r="A18" s="1057" t="s">
        <v>863</v>
      </c>
      <c r="B18" s="1060">
        <v>43943</v>
      </c>
      <c r="C18" s="1056" t="s">
        <v>873</v>
      </c>
      <c r="D18" s="1059" t="s">
        <v>752</v>
      </c>
    </row>
    <row r="19" spans="1:4" s="7" customFormat="1">
      <c r="A19" s="1057" t="s">
        <v>863</v>
      </c>
      <c r="B19" s="1060">
        <v>43943</v>
      </c>
      <c r="C19" s="1056" t="s">
        <v>874</v>
      </c>
      <c r="D19" s="1059" t="s">
        <v>753</v>
      </c>
    </row>
    <row r="20" spans="1:4" s="7" customFormat="1">
      <c r="A20" s="1057" t="s">
        <v>863</v>
      </c>
      <c r="B20" s="1060">
        <v>43943</v>
      </c>
      <c r="C20" s="1056" t="s">
        <v>875</v>
      </c>
      <c r="D20" s="1059" t="s">
        <v>876</v>
      </c>
    </row>
    <row r="21" spans="1:4">
      <c r="A21" s="1057" t="s">
        <v>863</v>
      </c>
      <c r="B21" s="1060">
        <v>43951</v>
      </c>
      <c r="C21" t="s">
        <v>879</v>
      </c>
      <c r="D21" s="1059" t="s">
        <v>880</v>
      </c>
    </row>
    <row r="22" spans="1:4">
      <c r="A22" s="1057" t="s">
        <v>863</v>
      </c>
      <c r="B22" s="1060">
        <v>43965</v>
      </c>
      <c r="C22" t="s">
        <v>882</v>
      </c>
      <c r="D22" s="1058" t="s">
        <v>883</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551</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124945.58311394951</v>
      </c>
      <c r="C4" s="451">
        <f>huishoudens!C8</f>
        <v>0</v>
      </c>
      <c r="D4" s="451">
        <f>huishoudens!D8</f>
        <v>290640.48739550001</v>
      </c>
      <c r="E4" s="451">
        <f>huishoudens!E8</f>
        <v>29304.221030257697</v>
      </c>
      <c r="F4" s="451">
        <f>huishoudens!F8</f>
        <v>58928.176583978442</v>
      </c>
      <c r="G4" s="451">
        <f>huishoudens!G8</f>
        <v>0</v>
      </c>
      <c r="H4" s="451">
        <f>huishoudens!H8</f>
        <v>0</v>
      </c>
      <c r="I4" s="451">
        <f>huishoudens!I8</f>
        <v>0</v>
      </c>
      <c r="J4" s="451">
        <f>huishoudens!J8</f>
        <v>0</v>
      </c>
      <c r="K4" s="451">
        <f>huishoudens!K8</f>
        <v>0</v>
      </c>
      <c r="L4" s="451">
        <f>huishoudens!L8</f>
        <v>0</v>
      </c>
      <c r="M4" s="451">
        <f>huishoudens!M8</f>
        <v>0</v>
      </c>
      <c r="N4" s="451">
        <f>huishoudens!N8</f>
        <v>38915.241783573598</v>
      </c>
      <c r="O4" s="451">
        <f>huishoudens!O8</f>
        <v>1130.29</v>
      </c>
      <c r="P4" s="452">
        <f>huishoudens!P8</f>
        <v>4061.2</v>
      </c>
      <c r="Q4" s="453">
        <f>SUM(B4:P4)</f>
        <v>547925.19990725932</v>
      </c>
    </row>
    <row r="5" spans="1:17">
      <c r="A5" s="450" t="s">
        <v>155</v>
      </c>
      <c r="B5" s="451">
        <f ca="1">tertiair!B16</f>
        <v>203797.75789799998</v>
      </c>
      <c r="C5" s="451">
        <f ca="1">tertiair!C16</f>
        <v>2939.1428571428573</v>
      </c>
      <c r="D5" s="451">
        <f ca="1">tertiair!D16</f>
        <v>207729.4275883683</v>
      </c>
      <c r="E5" s="451">
        <f>tertiair!E16</f>
        <v>2798.0225881226615</v>
      </c>
      <c r="F5" s="451">
        <f ca="1">tertiair!F16</f>
        <v>34505.804180229803</v>
      </c>
      <c r="G5" s="451">
        <f>tertiair!G16</f>
        <v>0</v>
      </c>
      <c r="H5" s="451">
        <f>tertiair!H16</f>
        <v>0</v>
      </c>
      <c r="I5" s="451">
        <f>tertiair!I16</f>
        <v>0</v>
      </c>
      <c r="J5" s="451">
        <f>tertiair!J16</f>
        <v>0.36982345073509576</v>
      </c>
      <c r="K5" s="451">
        <f>tertiair!K16</f>
        <v>0</v>
      </c>
      <c r="L5" s="451">
        <f ca="1">tertiair!L16</f>
        <v>0</v>
      </c>
      <c r="M5" s="451">
        <f>tertiair!M16</f>
        <v>0</v>
      </c>
      <c r="N5" s="451">
        <f ca="1">tertiair!N16</f>
        <v>11405.629584944618</v>
      </c>
      <c r="O5" s="451">
        <f>tertiair!O16</f>
        <v>12.506666666666668</v>
      </c>
      <c r="P5" s="452">
        <f>tertiair!P16</f>
        <v>228.8</v>
      </c>
      <c r="Q5" s="450">
        <f t="shared" ref="Q5:Q14" ca="1" si="0">SUM(B5:P5)</f>
        <v>463417.46118692559</v>
      </c>
    </row>
    <row r="6" spans="1:17">
      <c r="A6" s="450" t="s">
        <v>193</v>
      </c>
      <c r="B6" s="451">
        <f>'openbare verlichting'!B8</f>
        <v>5279.5950000000003</v>
      </c>
      <c r="C6" s="451"/>
      <c r="D6" s="451"/>
      <c r="E6" s="451"/>
      <c r="F6" s="451"/>
      <c r="G6" s="451"/>
      <c r="H6" s="451"/>
      <c r="I6" s="451"/>
      <c r="J6" s="451"/>
      <c r="K6" s="451"/>
      <c r="L6" s="451"/>
      <c r="M6" s="451"/>
      <c r="N6" s="451"/>
      <c r="O6" s="451"/>
      <c r="P6" s="452"/>
      <c r="Q6" s="450">
        <f t="shared" si="0"/>
        <v>5279.5950000000003</v>
      </c>
    </row>
    <row r="7" spans="1:17">
      <c r="A7" s="450" t="s">
        <v>111</v>
      </c>
      <c r="B7" s="451">
        <f>landbouw!B8</f>
        <v>1656.029706</v>
      </c>
      <c r="C7" s="451">
        <f>landbouw!C8</f>
        <v>0</v>
      </c>
      <c r="D7" s="451">
        <f>landbouw!D8</f>
        <v>955.90893200000005</v>
      </c>
      <c r="E7" s="451">
        <f>landbouw!E8</f>
        <v>48.675771157875445</v>
      </c>
      <c r="F7" s="451">
        <f>landbouw!F8</f>
        <v>6898.9302680476594</v>
      </c>
      <c r="G7" s="451">
        <f>landbouw!G8</f>
        <v>0</v>
      </c>
      <c r="H7" s="451">
        <f>landbouw!H8</f>
        <v>0</v>
      </c>
      <c r="I7" s="451">
        <f>landbouw!I8</f>
        <v>0</v>
      </c>
      <c r="J7" s="451">
        <f>landbouw!J8</f>
        <v>239.92314075437062</v>
      </c>
      <c r="K7" s="451">
        <f>landbouw!K8</f>
        <v>0</v>
      </c>
      <c r="L7" s="451">
        <f>landbouw!L8</f>
        <v>0</v>
      </c>
      <c r="M7" s="451">
        <f>landbouw!M8</f>
        <v>0</v>
      </c>
      <c r="N7" s="451">
        <f>landbouw!N8</f>
        <v>0</v>
      </c>
      <c r="O7" s="451">
        <f>landbouw!O8</f>
        <v>0</v>
      </c>
      <c r="P7" s="452">
        <f>landbouw!P8</f>
        <v>0</v>
      </c>
      <c r="Q7" s="450">
        <f t="shared" si="0"/>
        <v>9799.467817959905</v>
      </c>
    </row>
    <row r="8" spans="1:17">
      <c r="A8" s="450" t="s">
        <v>636</v>
      </c>
      <c r="B8" s="451">
        <f>industrie!B18</f>
        <v>57118.38631799999</v>
      </c>
      <c r="C8" s="451">
        <f>industrie!C18</f>
        <v>321.42857142857144</v>
      </c>
      <c r="D8" s="451">
        <f>industrie!D18</f>
        <v>98959.569768382862</v>
      </c>
      <c r="E8" s="451">
        <f>industrie!E18</f>
        <v>7769.02363704037</v>
      </c>
      <c r="F8" s="451">
        <f>industrie!F18</f>
        <v>25700.525373136777</v>
      </c>
      <c r="G8" s="451">
        <f>industrie!G18</f>
        <v>0</v>
      </c>
      <c r="H8" s="451">
        <f>industrie!H18</f>
        <v>0</v>
      </c>
      <c r="I8" s="451">
        <f>industrie!I18</f>
        <v>0</v>
      </c>
      <c r="J8" s="451">
        <f>industrie!J18</f>
        <v>21.244556080187763</v>
      </c>
      <c r="K8" s="451">
        <f>industrie!K18</f>
        <v>0</v>
      </c>
      <c r="L8" s="451">
        <f>industrie!L18</f>
        <v>0</v>
      </c>
      <c r="M8" s="451">
        <f>industrie!M18</f>
        <v>0</v>
      </c>
      <c r="N8" s="451">
        <f>industrie!N18</f>
        <v>6251.3863878669617</v>
      </c>
      <c r="O8" s="451">
        <f>industrie!O18</f>
        <v>0</v>
      </c>
      <c r="P8" s="452">
        <f>industrie!P18</f>
        <v>0</v>
      </c>
      <c r="Q8" s="450">
        <f t="shared" si="0"/>
        <v>196141.56461193573</v>
      </c>
    </row>
    <row r="9" spans="1:17" s="456" customFormat="1">
      <c r="A9" s="454" t="s">
        <v>562</v>
      </c>
      <c r="B9" s="455">
        <f>transport!B14</f>
        <v>244.17566175293888</v>
      </c>
      <c r="C9" s="455">
        <f>transport!C14</f>
        <v>0</v>
      </c>
      <c r="D9" s="455">
        <f>transport!D14</f>
        <v>666.52752185934366</v>
      </c>
      <c r="E9" s="455">
        <f>transport!E14</f>
        <v>1214.1325953652135</v>
      </c>
      <c r="F9" s="455">
        <f>transport!F14</f>
        <v>0</v>
      </c>
      <c r="G9" s="455">
        <f>transport!G14</f>
        <v>488010.61417656817</v>
      </c>
      <c r="H9" s="455">
        <f>transport!H14</f>
        <v>114141.56282870789</v>
      </c>
      <c r="I9" s="455">
        <f>transport!I14</f>
        <v>0</v>
      </c>
      <c r="J9" s="455">
        <f>transport!J14</f>
        <v>0</v>
      </c>
      <c r="K9" s="455">
        <f>transport!K14</f>
        <v>0</v>
      </c>
      <c r="L9" s="455">
        <f>transport!L14</f>
        <v>0</v>
      </c>
      <c r="M9" s="455">
        <f>transport!M14</f>
        <v>31872.611858516222</v>
      </c>
      <c r="N9" s="455">
        <f>transport!N14</f>
        <v>0</v>
      </c>
      <c r="O9" s="455">
        <f>transport!O14</f>
        <v>0</v>
      </c>
      <c r="P9" s="455">
        <f>transport!P14</f>
        <v>0</v>
      </c>
      <c r="Q9" s="454">
        <f>SUM(B9:P9)</f>
        <v>636149.62464276981</v>
      </c>
    </row>
    <row r="10" spans="1:17">
      <c r="A10" s="450" t="s">
        <v>552</v>
      </c>
      <c r="B10" s="451">
        <f>transport!B54</f>
        <v>0</v>
      </c>
      <c r="C10" s="451">
        <f>transport!C54</f>
        <v>0</v>
      </c>
      <c r="D10" s="451">
        <f>transport!D54</f>
        <v>0</v>
      </c>
      <c r="E10" s="451">
        <f>transport!E54</f>
        <v>0</v>
      </c>
      <c r="F10" s="451">
        <f>transport!F54</f>
        <v>0</v>
      </c>
      <c r="G10" s="451">
        <f>transport!G54</f>
        <v>16152.456601592034</v>
      </c>
      <c r="H10" s="451">
        <f>transport!H54</f>
        <v>0</v>
      </c>
      <c r="I10" s="451">
        <f>transport!I54</f>
        <v>0</v>
      </c>
      <c r="J10" s="451">
        <f>transport!J54</f>
        <v>0</v>
      </c>
      <c r="K10" s="451">
        <f>transport!K54</f>
        <v>0</v>
      </c>
      <c r="L10" s="451">
        <f>transport!L54</f>
        <v>0</v>
      </c>
      <c r="M10" s="451">
        <f>transport!M54</f>
        <v>917.31892999418869</v>
      </c>
      <c r="N10" s="451">
        <f>transport!N54</f>
        <v>0</v>
      </c>
      <c r="O10" s="451">
        <f>transport!O54</f>
        <v>0</v>
      </c>
      <c r="P10" s="452">
        <f>transport!P54</f>
        <v>0</v>
      </c>
      <c r="Q10" s="450">
        <f t="shared" si="0"/>
        <v>17069.775531586223</v>
      </c>
    </row>
    <row r="11" spans="1:17">
      <c r="A11" s="450" t="s">
        <v>553</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554</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555</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829</v>
      </c>
      <c r="B14" s="458">
        <f>'SEAP template'!C25</f>
        <v>8675.1440579999999</v>
      </c>
      <c r="C14" s="458"/>
      <c r="D14" s="458">
        <f>'SEAP template'!E25</f>
        <v>21708.259901999998</v>
      </c>
      <c r="E14" s="458"/>
      <c r="F14" s="458"/>
      <c r="G14" s="458"/>
      <c r="H14" s="458"/>
      <c r="I14" s="458"/>
      <c r="J14" s="458"/>
      <c r="K14" s="458"/>
      <c r="L14" s="458"/>
      <c r="M14" s="458"/>
      <c r="N14" s="458"/>
      <c r="O14" s="458"/>
      <c r="P14" s="459"/>
      <c r="Q14" s="450">
        <f t="shared" si="0"/>
        <v>30383.403959999996</v>
      </c>
    </row>
    <row r="15" spans="1:17" s="460" customFormat="1">
      <c r="A15" s="1005" t="s">
        <v>556</v>
      </c>
      <c r="B15" s="953">
        <f ca="1">SUM(B4:B14)</f>
        <v>401716.67175570235</v>
      </c>
      <c r="C15" s="953">
        <f t="shared" ref="C15:Q15" ca="1" si="1">SUM(C4:C14)</f>
        <v>3260.5714285714289</v>
      </c>
      <c r="D15" s="953">
        <f t="shared" ca="1" si="1"/>
        <v>620660.18110811047</v>
      </c>
      <c r="E15" s="953">
        <f t="shared" si="1"/>
        <v>41134.075621943819</v>
      </c>
      <c r="F15" s="953">
        <f t="shared" ca="1" si="1"/>
        <v>126033.43640539268</v>
      </c>
      <c r="G15" s="953">
        <f t="shared" si="1"/>
        <v>504163.07077816018</v>
      </c>
      <c r="H15" s="953">
        <f t="shared" si="1"/>
        <v>114141.56282870789</v>
      </c>
      <c r="I15" s="953">
        <f t="shared" si="1"/>
        <v>0</v>
      </c>
      <c r="J15" s="953">
        <f t="shared" si="1"/>
        <v>261.53752028529345</v>
      </c>
      <c r="K15" s="953">
        <f t="shared" si="1"/>
        <v>0</v>
      </c>
      <c r="L15" s="953">
        <f t="shared" ca="1" si="1"/>
        <v>0</v>
      </c>
      <c r="M15" s="953">
        <f t="shared" si="1"/>
        <v>32789.930788510414</v>
      </c>
      <c r="N15" s="953">
        <f t="shared" ca="1" si="1"/>
        <v>56572.257756385181</v>
      </c>
      <c r="O15" s="953">
        <f t="shared" si="1"/>
        <v>1142.7966666666666</v>
      </c>
      <c r="P15" s="953">
        <f t="shared" si="1"/>
        <v>4290</v>
      </c>
      <c r="Q15" s="953">
        <f t="shared" ca="1" si="1"/>
        <v>1906166.0926584366</v>
      </c>
    </row>
    <row r="17" spans="1:17">
      <c r="A17" s="461" t="s">
        <v>557</v>
      </c>
      <c r="B17" s="760">
        <f ca="1">huishoudens!B10</f>
        <v>0.1983750050363278</v>
      </c>
      <c r="C17" s="760">
        <f ca="1">huishoudens!C10</f>
        <v>0.23764705882352949</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559</v>
      </c>
      <c r="B19" s="1157" t="s">
        <v>558</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24786.080679496648</v>
      </c>
      <c r="C22" s="451">
        <f t="shared" ref="C22:C32" ca="1" si="3">C4*$C$17</f>
        <v>0</v>
      </c>
      <c r="D22" s="451">
        <f t="shared" ref="D22:D32" si="4">D4*$D$17</f>
        <v>58709.378453891004</v>
      </c>
      <c r="E22" s="451">
        <f t="shared" ref="E22:E32" si="5">E4*$E$17</f>
        <v>6652.0581738684978</v>
      </c>
      <c r="F22" s="451">
        <f t="shared" ref="F22:F32" si="6">F4*$F$17</f>
        <v>15733.823147922245</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105881.3404551784</v>
      </c>
    </row>
    <row r="23" spans="1:17">
      <c r="A23" s="450" t="s">
        <v>155</v>
      </c>
      <c r="B23" s="451">
        <f t="shared" ca="1" si="2"/>
        <v>40428.381249408056</v>
      </c>
      <c r="C23" s="451">
        <f t="shared" ca="1" si="3"/>
        <v>698.4786554621852</v>
      </c>
      <c r="D23" s="451">
        <f t="shared" ca="1" si="4"/>
        <v>41961.344372850399</v>
      </c>
      <c r="E23" s="451">
        <f t="shared" si="5"/>
        <v>635.15112750384424</v>
      </c>
      <c r="F23" s="451">
        <f t="shared" ca="1" si="6"/>
        <v>9213.0497161213571</v>
      </c>
      <c r="G23" s="451">
        <f t="shared" si="7"/>
        <v>0</v>
      </c>
      <c r="H23" s="451">
        <f t="shared" si="8"/>
        <v>0</v>
      </c>
      <c r="I23" s="451">
        <f t="shared" si="9"/>
        <v>0</v>
      </c>
      <c r="J23" s="451">
        <f t="shared" si="10"/>
        <v>0.13091750156022389</v>
      </c>
      <c r="K23" s="451">
        <f t="shared" si="11"/>
        <v>0</v>
      </c>
      <c r="L23" s="451">
        <f t="shared" ca="1" si="12"/>
        <v>0</v>
      </c>
      <c r="M23" s="451">
        <f t="shared" si="13"/>
        <v>0</v>
      </c>
      <c r="N23" s="451">
        <f t="shared" ca="1" si="14"/>
        <v>0</v>
      </c>
      <c r="O23" s="451">
        <f t="shared" si="15"/>
        <v>0</v>
      </c>
      <c r="P23" s="452">
        <f t="shared" si="16"/>
        <v>0</v>
      </c>
      <c r="Q23" s="450">
        <f t="shared" ref="Q23:Q32" ca="1" si="17">SUM(B23:P23)</f>
        <v>92936.536038847407</v>
      </c>
    </row>
    <row r="24" spans="1:17">
      <c r="A24" s="450" t="s">
        <v>193</v>
      </c>
      <c r="B24" s="451">
        <f t="shared" ca="1" si="2"/>
        <v>1047.339684714771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1047.339684714771</v>
      </c>
    </row>
    <row r="25" spans="1:17">
      <c r="A25" s="450" t="s">
        <v>111</v>
      </c>
      <c r="B25" s="451">
        <f t="shared" ca="1" si="2"/>
        <v>328.51490126805845</v>
      </c>
      <c r="C25" s="451">
        <f t="shared" ca="1" si="3"/>
        <v>0</v>
      </c>
      <c r="D25" s="451">
        <f t="shared" si="4"/>
        <v>193.09360426400002</v>
      </c>
      <c r="E25" s="451">
        <f t="shared" si="5"/>
        <v>11.049400052837726</v>
      </c>
      <c r="F25" s="451">
        <f t="shared" si="6"/>
        <v>1842.0143815687252</v>
      </c>
      <c r="G25" s="451">
        <f t="shared" si="7"/>
        <v>0</v>
      </c>
      <c r="H25" s="451">
        <f t="shared" si="8"/>
        <v>0</v>
      </c>
      <c r="I25" s="451">
        <f t="shared" si="9"/>
        <v>0</v>
      </c>
      <c r="J25" s="451">
        <f t="shared" si="10"/>
        <v>84.932791827047197</v>
      </c>
      <c r="K25" s="451">
        <f t="shared" si="11"/>
        <v>0</v>
      </c>
      <c r="L25" s="451">
        <f t="shared" si="12"/>
        <v>0</v>
      </c>
      <c r="M25" s="451">
        <f t="shared" si="13"/>
        <v>0</v>
      </c>
      <c r="N25" s="451">
        <f t="shared" si="14"/>
        <v>0</v>
      </c>
      <c r="O25" s="451">
        <f t="shared" si="15"/>
        <v>0</v>
      </c>
      <c r="P25" s="452">
        <f t="shared" si="16"/>
        <v>0</v>
      </c>
      <c r="Q25" s="450">
        <f t="shared" ca="1" si="17"/>
        <v>2459.6050789806686</v>
      </c>
    </row>
    <row r="26" spans="1:17">
      <c r="A26" s="450" t="s">
        <v>636</v>
      </c>
      <c r="B26" s="451">
        <f t="shared" ca="1" si="2"/>
        <v>11330.860173500165</v>
      </c>
      <c r="C26" s="451">
        <f t="shared" ca="1" si="3"/>
        <v>76.386554621848774</v>
      </c>
      <c r="D26" s="451">
        <f t="shared" si="4"/>
        <v>19989.833093213339</v>
      </c>
      <c r="E26" s="451">
        <f t="shared" si="5"/>
        <v>1763.568365608164</v>
      </c>
      <c r="F26" s="451">
        <f t="shared" si="6"/>
        <v>6862.0402746275204</v>
      </c>
      <c r="G26" s="451">
        <f t="shared" si="7"/>
        <v>0</v>
      </c>
      <c r="H26" s="451">
        <f t="shared" si="8"/>
        <v>0</v>
      </c>
      <c r="I26" s="451">
        <f t="shared" si="9"/>
        <v>0</v>
      </c>
      <c r="J26" s="451">
        <f t="shared" si="10"/>
        <v>7.5205728523864677</v>
      </c>
      <c r="K26" s="451">
        <f t="shared" si="11"/>
        <v>0</v>
      </c>
      <c r="L26" s="451">
        <f t="shared" si="12"/>
        <v>0</v>
      </c>
      <c r="M26" s="451">
        <f t="shared" si="13"/>
        <v>0</v>
      </c>
      <c r="N26" s="451">
        <f t="shared" si="14"/>
        <v>0</v>
      </c>
      <c r="O26" s="451">
        <f t="shared" si="15"/>
        <v>0</v>
      </c>
      <c r="P26" s="452">
        <f t="shared" si="16"/>
        <v>0</v>
      </c>
      <c r="Q26" s="450">
        <f t="shared" ca="1" si="17"/>
        <v>40030.209034423431</v>
      </c>
    </row>
    <row r="27" spans="1:17" s="456" customFormat="1">
      <c r="A27" s="454" t="s">
        <v>562</v>
      </c>
      <c r="B27" s="754">
        <f t="shared" ca="1" si="2"/>
        <v>48.438348129987922</v>
      </c>
      <c r="C27" s="455">
        <f t="shared" ca="1" si="3"/>
        <v>0</v>
      </c>
      <c r="D27" s="455">
        <f t="shared" si="4"/>
        <v>134.63855941558742</v>
      </c>
      <c r="E27" s="455">
        <f t="shared" si="5"/>
        <v>275.60809914790349</v>
      </c>
      <c r="F27" s="455">
        <f t="shared" si="6"/>
        <v>0</v>
      </c>
      <c r="G27" s="455">
        <f t="shared" si="7"/>
        <v>130298.8339851437</v>
      </c>
      <c r="H27" s="455">
        <f t="shared" si="8"/>
        <v>28421.249144348265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159178.76813618545</v>
      </c>
    </row>
    <row r="28" spans="1:17">
      <c r="A28" s="450" t="s">
        <v>552</v>
      </c>
      <c r="B28" s="451">
        <f t="shared" ca="1" si="2"/>
        <v>0</v>
      </c>
      <c r="C28" s="451">
        <f t="shared" ca="1" si="3"/>
        <v>0</v>
      </c>
      <c r="D28" s="451">
        <f t="shared" si="4"/>
        <v>0</v>
      </c>
      <c r="E28" s="451">
        <f t="shared" si="5"/>
        <v>0</v>
      </c>
      <c r="F28" s="451">
        <f t="shared" si="6"/>
        <v>0</v>
      </c>
      <c r="G28" s="451">
        <f t="shared" si="7"/>
        <v>4312.7059126250733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4312.7059126250733</v>
      </c>
    </row>
    <row r="29" spans="1:17">
      <c r="A29" s="450" t="s">
        <v>553</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554</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555</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829</v>
      </c>
      <c r="B32" s="451">
        <f t="shared" ca="1" si="2"/>
        <v>1720.9317461966191</v>
      </c>
      <c r="C32" s="451">
        <f t="shared" ca="1" si="3"/>
        <v>0</v>
      </c>
      <c r="D32" s="451">
        <f t="shared" si="4"/>
        <v>4385.068500204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6106.0002464006193</v>
      </c>
    </row>
    <row r="33" spans="1:17" s="460" customFormat="1">
      <c r="A33" s="1005" t="s">
        <v>556</v>
      </c>
      <c r="B33" s="953">
        <f ca="1">SUM(B22:B32)</f>
        <v>79690.5467827143</v>
      </c>
      <c r="C33" s="953">
        <f t="shared" ref="C33:Q33" ca="1" si="18">SUM(C22:C32)</f>
        <v>774.86521008403395</v>
      </c>
      <c r="D33" s="953">
        <f t="shared" ca="1" si="18"/>
        <v>125373.35658383832</v>
      </c>
      <c r="E33" s="953">
        <f t="shared" si="18"/>
        <v>9337.435166181247</v>
      </c>
      <c r="F33" s="953">
        <f t="shared" ca="1" si="18"/>
        <v>33650.927520239849</v>
      </c>
      <c r="G33" s="953">
        <f t="shared" si="18"/>
        <v>134611.53989776879</v>
      </c>
      <c r="H33" s="953">
        <f t="shared" si="18"/>
        <v>28421.249144348265</v>
      </c>
      <c r="I33" s="953">
        <f t="shared" si="18"/>
        <v>0</v>
      </c>
      <c r="J33" s="953">
        <f t="shared" si="18"/>
        <v>92.584282180993881</v>
      </c>
      <c r="K33" s="953">
        <f t="shared" si="18"/>
        <v>0</v>
      </c>
      <c r="L33" s="953">
        <f t="shared" ca="1" si="18"/>
        <v>0</v>
      </c>
      <c r="M33" s="953">
        <f t="shared" si="18"/>
        <v>0</v>
      </c>
      <c r="N33" s="953">
        <f t="shared" ca="1" si="18"/>
        <v>0</v>
      </c>
      <c r="O33" s="953">
        <f t="shared" si="18"/>
        <v>0</v>
      </c>
      <c r="P33" s="953">
        <f t="shared" si="18"/>
        <v>0</v>
      </c>
      <c r="Q33" s="953">
        <f t="shared" ca="1" si="18"/>
        <v>411952.50458735577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551</v>
      </c>
      <c r="B1" s="1166" t="s">
        <v>806</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789</v>
      </c>
      <c r="C4" s="939" t="s">
        <v>810</v>
      </c>
      <c r="D4" s="940" t="s">
        <v>790</v>
      </c>
      <c r="E4" s="941" t="s">
        <v>788</v>
      </c>
      <c r="F4" s="941" t="s">
        <v>792</v>
      </c>
      <c r="G4" s="942" t="s">
        <v>812</v>
      </c>
      <c r="H4" s="942" t="s">
        <v>812</v>
      </c>
      <c r="I4" s="942" t="s">
        <v>812</v>
      </c>
      <c r="J4" s="941" t="s">
        <v>791</v>
      </c>
      <c r="K4" s="942" t="s">
        <v>812</v>
      </c>
      <c r="L4" s="942" t="s">
        <v>812</v>
      </c>
      <c r="M4" s="942" t="s">
        <v>812</v>
      </c>
      <c r="N4" s="941" t="s">
        <v>793</v>
      </c>
      <c r="O4" s="943" t="s">
        <v>794</v>
      </c>
      <c r="P4" s="944" t="s">
        <v>795</v>
      </c>
      <c r="Q4" s="947"/>
    </row>
    <row r="5" spans="1:17" ht="124.15" customHeight="1">
      <c r="A5" s="920" t="s">
        <v>155</v>
      </c>
      <c r="B5" s="921" t="s">
        <v>801</v>
      </c>
      <c r="C5" s="927" t="s">
        <v>811</v>
      </c>
      <c r="D5" s="927" t="s">
        <v>802</v>
      </c>
      <c r="E5" s="923" t="s">
        <v>800</v>
      </c>
      <c r="F5" s="923" t="s">
        <v>799</v>
      </c>
      <c r="G5" s="924" t="s">
        <v>812</v>
      </c>
      <c r="H5" s="924" t="s">
        <v>812</v>
      </c>
      <c r="I5" s="924" t="s">
        <v>812</v>
      </c>
      <c r="J5" s="923" t="s">
        <v>798</v>
      </c>
      <c r="K5" s="921" t="s">
        <v>797</v>
      </c>
      <c r="L5" s="924" t="s">
        <v>812</v>
      </c>
      <c r="M5" s="924" t="s">
        <v>812</v>
      </c>
      <c r="N5" s="923" t="s">
        <v>796</v>
      </c>
      <c r="O5" s="925" t="s">
        <v>794</v>
      </c>
      <c r="P5" s="926" t="s">
        <v>795</v>
      </c>
      <c r="Q5" s="948"/>
    </row>
    <row r="6" spans="1:17" ht="124.15" customHeight="1">
      <c r="A6" s="920" t="s">
        <v>193</v>
      </c>
      <c r="B6" s="928" t="s">
        <v>803</v>
      </c>
      <c r="C6" s="922" t="s">
        <v>809</v>
      </c>
      <c r="D6" s="924" t="s">
        <v>809</v>
      </c>
      <c r="E6" s="924" t="s">
        <v>809</v>
      </c>
      <c r="F6" s="924" t="s">
        <v>809</v>
      </c>
      <c r="G6" s="924" t="s">
        <v>809</v>
      </c>
      <c r="H6" s="924" t="s">
        <v>809</v>
      </c>
      <c r="I6" s="924" t="s">
        <v>809</v>
      </c>
      <c r="J6" s="924" t="s">
        <v>809</v>
      </c>
      <c r="K6" s="924" t="s">
        <v>809</v>
      </c>
      <c r="L6" s="924" t="s">
        <v>809</v>
      </c>
      <c r="M6" s="924" t="s">
        <v>809</v>
      </c>
      <c r="N6" s="924" t="s">
        <v>809</v>
      </c>
      <c r="O6" s="929" t="s">
        <v>809</v>
      </c>
      <c r="P6" s="930" t="s">
        <v>809</v>
      </c>
      <c r="Q6" s="949"/>
    </row>
    <row r="7" spans="1:17" ht="124.15" customHeight="1">
      <c r="A7" s="920" t="s">
        <v>111</v>
      </c>
      <c r="B7" s="928" t="s">
        <v>803</v>
      </c>
      <c r="C7" s="927" t="s">
        <v>811</v>
      </c>
      <c r="D7" s="927" t="s">
        <v>802</v>
      </c>
      <c r="E7" s="923" t="s">
        <v>800</v>
      </c>
      <c r="F7" s="923" t="s">
        <v>799</v>
      </c>
      <c r="G7" s="924" t="s">
        <v>812</v>
      </c>
      <c r="H7" s="924" t="s">
        <v>812</v>
      </c>
      <c r="I7" s="924" t="s">
        <v>812</v>
      </c>
      <c r="J7" s="923" t="s">
        <v>798</v>
      </c>
      <c r="K7" s="924" t="s">
        <v>812</v>
      </c>
      <c r="L7" s="924" t="s">
        <v>812</v>
      </c>
      <c r="M7" s="924" t="s">
        <v>812</v>
      </c>
      <c r="N7" s="931" t="s">
        <v>812</v>
      </c>
      <c r="O7" s="922" t="s">
        <v>812</v>
      </c>
      <c r="P7" s="932" t="s">
        <v>812</v>
      </c>
      <c r="Q7" s="948"/>
    </row>
    <row r="8" spans="1:17" ht="124.15" customHeight="1">
      <c r="A8" s="920" t="s">
        <v>636</v>
      </c>
      <c r="B8" s="921" t="s">
        <v>804</v>
      </c>
      <c r="C8" s="927" t="s">
        <v>811</v>
      </c>
      <c r="D8" s="927" t="s">
        <v>802</v>
      </c>
      <c r="E8" s="923" t="s">
        <v>800</v>
      </c>
      <c r="F8" s="923" t="s">
        <v>799</v>
      </c>
      <c r="G8" s="924" t="s">
        <v>812</v>
      </c>
      <c r="H8" s="924" t="s">
        <v>812</v>
      </c>
      <c r="I8" s="924" t="s">
        <v>812</v>
      </c>
      <c r="J8" s="923" t="s">
        <v>798</v>
      </c>
      <c r="K8" s="921" t="s">
        <v>797</v>
      </c>
      <c r="L8" s="924" t="s">
        <v>812</v>
      </c>
      <c r="M8" s="924" t="s">
        <v>812</v>
      </c>
      <c r="N8" s="923" t="s">
        <v>796</v>
      </c>
      <c r="O8" s="925" t="s">
        <v>794</v>
      </c>
      <c r="P8" s="926" t="s">
        <v>795</v>
      </c>
      <c r="Q8" s="948"/>
    </row>
    <row r="9" spans="1:17" s="456" customFormat="1" ht="124.15" customHeight="1">
      <c r="A9" s="933" t="s">
        <v>562</v>
      </c>
      <c r="B9" s="923" t="s">
        <v>814</v>
      </c>
      <c r="C9" s="929" t="s">
        <v>809</v>
      </c>
      <c r="D9" s="923" t="s">
        <v>815</v>
      </c>
      <c r="E9" s="923" t="s">
        <v>816</v>
      </c>
      <c r="F9" s="924" t="s">
        <v>809</v>
      </c>
      <c r="G9" s="923" t="s">
        <v>817</v>
      </c>
      <c r="H9" s="923" t="s">
        <v>818</v>
      </c>
      <c r="I9" s="924" t="s">
        <v>809</v>
      </c>
      <c r="J9" s="924" t="s">
        <v>809</v>
      </c>
      <c r="K9" s="924" t="s">
        <v>809</v>
      </c>
      <c r="L9" s="924" t="s">
        <v>809</v>
      </c>
      <c r="M9" s="923" t="s">
        <v>814</v>
      </c>
      <c r="N9" s="924" t="s">
        <v>809</v>
      </c>
      <c r="O9" s="924" t="s">
        <v>809</v>
      </c>
      <c r="P9" s="934" t="s">
        <v>809</v>
      </c>
      <c r="Q9" s="950"/>
    </row>
    <row r="10" spans="1:17" ht="124.15" customHeight="1">
      <c r="A10" s="920" t="s">
        <v>552</v>
      </c>
      <c r="B10" s="921" t="s">
        <v>822</v>
      </c>
      <c r="C10" s="929" t="s">
        <v>809</v>
      </c>
      <c r="D10" s="929" t="s">
        <v>809</v>
      </c>
      <c r="E10" s="929" t="s">
        <v>809</v>
      </c>
      <c r="F10" s="924" t="s">
        <v>809</v>
      </c>
      <c r="G10" s="921" t="s">
        <v>819</v>
      </c>
      <c r="H10" s="924" t="s">
        <v>809</v>
      </c>
      <c r="I10" s="924" t="s">
        <v>809</v>
      </c>
      <c r="J10" s="924" t="s">
        <v>809</v>
      </c>
      <c r="K10" s="924" t="s">
        <v>809</v>
      </c>
      <c r="L10" s="924" t="s">
        <v>809</v>
      </c>
      <c r="M10" s="921" t="s">
        <v>805</v>
      </c>
      <c r="N10" s="924" t="s">
        <v>809</v>
      </c>
      <c r="O10" s="924" t="s">
        <v>809</v>
      </c>
      <c r="P10" s="934" t="s">
        <v>809</v>
      </c>
      <c r="Q10" s="948"/>
    </row>
    <row r="11" spans="1:17" ht="21">
      <c r="A11" s="920" t="s">
        <v>553</v>
      </c>
      <c r="B11" s="935" t="s">
        <v>813</v>
      </c>
      <c r="C11" s="935" t="s">
        <v>813</v>
      </c>
      <c r="D11" s="935" t="s">
        <v>813</v>
      </c>
      <c r="E11" s="935" t="s">
        <v>813</v>
      </c>
      <c r="F11" s="935" t="s">
        <v>813</v>
      </c>
      <c r="G11" s="935" t="s">
        <v>813</v>
      </c>
      <c r="H11" s="935" t="s">
        <v>813</v>
      </c>
      <c r="I11" s="935" t="s">
        <v>813</v>
      </c>
      <c r="J11" s="935" t="s">
        <v>813</v>
      </c>
      <c r="K11" s="935" t="s">
        <v>813</v>
      </c>
      <c r="L11" s="935" t="s">
        <v>813</v>
      </c>
      <c r="M11" s="935" t="s">
        <v>813</v>
      </c>
      <c r="N11" s="935" t="s">
        <v>813</v>
      </c>
      <c r="O11" s="935" t="s">
        <v>813</v>
      </c>
      <c r="P11" s="957" t="s">
        <v>813</v>
      </c>
      <c r="Q11" s="958"/>
    </row>
    <row r="12" spans="1:17" ht="21">
      <c r="A12" s="920" t="s">
        <v>554</v>
      </c>
      <c r="B12" s="935" t="s">
        <v>813</v>
      </c>
      <c r="C12" s="935" t="s">
        <v>809</v>
      </c>
      <c r="D12" s="935" t="s">
        <v>809</v>
      </c>
      <c r="E12" s="935" t="s">
        <v>809</v>
      </c>
      <c r="F12" s="935" t="s">
        <v>809</v>
      </c>
      <c r="G12" s="935" t="s">
        <v>809</v>
      </c>
      <c r="H12" s="935" t="s">
        <v>809</v>
      </c>
      <c r="I12" s="935" t="s">
        <v>809</v>
      </c>
      <c r="J12" s="935" t="s">
        <v>809</v>
      </c>
      <c r="K12" s="935" t="s">
        <v>809</v>
      </c>
      <c r="L12" s="935" t="s">
        <v>809</v>
      </c>
      <c r="M12" s="935" t="s">
        <v>809</v>
      </c>
      <c r="N12" s="935" t="s">
        <v>809</v>
      </c>
      <c r="O12" s="935" t="s">
        <v>809</v>
      </c>
      <c r="P12" s="936" t="s">
        <v>809</v>
      </c>
      <c r="Q12" s="452"/>
    </row>
    <row r="13" spans="1:17" ht="21">
      <c r="A13" s="920" t="s">
        <v>555</v>
      </c>
      <c r="B13" s="935" t="s">
        <v>813</v>
      </c>
      <c r="C13" s="935" t="s">
        <v>809</v>
      </c>
      <c r="D13" s="935" t="s">
        <v>813</v>
      </c>
      <c r="E13" s="935" t="s">
        <v>813</v>
      </c>
      <c r="F13" s="935" t="s">
        <v>809</v>
      </c>
      <c r="G13" s="935" t="s">
        <v>813</v>
      </c>
      <c r="H13" s="935" t="s">
        <v>813</v>
      </c>
      <c r="I13" s="935" t="s">
        <v>809</v>
      </c>
      <c r="J13" s="935" t="s">
        <v>809</v>
      </c>
      <c r="K13" s="935" t="s">
        <v>809</v>
      </c>
      <c r="L13" s="935" t="s">
        <v>809</v>
      </c>
      <c r="M13" s="935" t="s">
        <v>813</v>
      </c>
      <c r="N13" s="935" t="s">
        <v>809</v>
      </c>
      <c r="O13" s="935" t="s">
        <v>809</v>
      </c>
      <c r="P13" s="936" t="s">
        <v>809</v>
      </c>
      <c r="Q13" s="452"/>
    </row>
    <row r="14" spans="1:17" ht="30">
      <c r="A14" s="951" t="s">
        <v>829</v>
      </c>
      <c r="B14" s="928" t="s">
        <v>803</v>
      </c>
      <c r="C14" s="935" t="s">
        <v>809</v>
      </c>
      <c r="D14" s="928" t="s">
        <v>803</v>
      </c>
      <c r="E14" s="935" t="s">
        <v>809</v>
      </c>
      <c r="F14" s="935" t="s">
        <v>809</v>
      </c>
      <c r="G14" s="935" t="s">
        <v>809</v>
      </c>
      <c r="H14" s="935" t="s">
        <v>809</v>
      </c>
      <c r="I14" s="935" t="s">
        <v>809</v>
      </c>
      <c r="J14" s="935" t="s">
        <v>809</v>
      </c>
      <c r="K14" s="935" t="s">
        <v>809</v>
      </c>
      <c r="L14" s="935" t="s">
        <v>809</v>
      </c>
      <c r="M14" s="935" t="s">
        <v>809</v>
      </c>
      <c r="N14" s="935" t="s">
        <v>809</v>
      </c>
      <c r="O14" s="935" t="s">
        <v>809</v>
      </c>
      <c r="P14" s="957" t="s">
        <v>809</v>
      </c>
      <c r="Q14" s="1006"/>
    </row>
    <row r="15" spans="1:17" s="460" customFormat="1" ht="21">
      <c r="A15" s="952" t="s">
        <v>556</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807</v>
      </c>
      <c r="B18" s="914" t="s">
        <v>808</v>
      </c>
      <c r="C18" s="913" t="s">
        <v>820</v>
      </c>
      <c r="D18" s="916" t="s">
        <v>821</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836</v>
      </c>
    </row>
    <row r="2" spans="1:16" ht="60">
      <c r="A2" s="1174"/>
      <c r="B2" s="1175"/>
      <c r="C2" s="1175"/>
      <c r="D2" s="1176" t="s">
        <v>196</v>
      </c>
      <c r="E2" s="1176"/>
      <c r="F2" s="1176"/>
      <c r="G2" s="1176"/>
      <c r="H2" s="1176"/>
      <c r="I2" s="1020" t="s">
        <v>837</v>
      </c>
      <c r="J2" s="1020" t="s">
        <v>233</v>
      </c>
      <c r="K2" s="1020" t="s">
        <v>838</v>
      </c>
      <c r="L2" s="1020" t="s">
        <v>828</v>
      </c>
      <c r="M2" s="1020" t="s">
        <v>244</v>
      </c>
      <c r="N2" s="1020" t="s">
        <v>839</v>
      </c>
      <c r="O2" s="1020" t="s">
        <v>126</v>
      </c>
      <c r="P2" s="1175"/>
    </row>
    <row r="3" spans="1:16" ht="30">
      <c r="A3" s="1174"/>
      <c r="B3" s="1020" t="s">
        <v>840</v>
      </c>
      <c r="C3" s="1020" t="s">
        <v>841</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14813.053877189835</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25247.33264930224</v>
      </c>
      <c r="C6" s="1022"/>
      <c r="D6" s="1022"/>
      <c r="E6" s="1022"/>
      <c r="F6" s="1022"/>
      <c r="G6" s="1022"/>
      <c r="H6" s="1022"/>
      <c r="I6" s="1022"/>
      <c r="J6" s="1022"/>
      <c r="K6" s="1022"/>
      <c r="L6" s="1022"/>
      <c r="M6" s="1022"/>
      <c r="N6" s="1022"/>
      <c r="O6" s="1022"/>
      <c r="P6" s="1023">
        <f>'SEAP template'!Q74</f>
        <v>0</v>
      </c>
    </row>
    <row r="7" spans="1:16">
      <c r="A7" s="1024" t="s">
        <v>828</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2282.4</v>
      </c>
      <c r="D8" s="1022">
        <f>'SEAP template'!D76</f>
        <v>2685.1764705882356</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542.40564705882366</v>
      </c>
    </row>
    <row r="9" spans="1:16">
      <c r="A9" s="1025" t="s">
        <v>842</v>
      </c>
      <c r="B9" s="1022">
        <f>'SEAP template'!B77</f>
        <v>1237.5</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3535.7142857142858</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41297.886526492075</v>
      </c>
      <c r="C10" s="1026">
        <f>SUM(C4:C9)</f>
        <v>2282.4</v>
      </c>
      <c r="D10" s="1026">
        <f t="shared" ref="D10:H10" si="0">SUM(D8:D9)</f>
        <v>2685.1764705882356</v>
      </c>
      <c r="E10" s="1026">
        <f t="shared" si="0"/>
        <v>0</v>
      </c>
      <c r="F10" s="1026">
        <f t="shared" si="0"/>
        <v>0</v>
      </c>
      <c r="G10" s="1026">
        <f t="shared" si="0"/>
        <v>0</v>
      </c>
      <c r="H10" s="1026">
        <f t="shared" si="0"/>
        <v>0</v>
      </c>
      <c r="I10" s="1026">
        <f>SUM(I8:I9)</f>
        <v>0</v>
      </c>
      <c r="J10" s="1026">
        <f>SUM(J8:J9)</f>
        <v>3535.7142857142858</v>
      </c>
      <c r="K10" s="1026">
        <f t="shared" ref="K10:L10" si="1">SUM(K8:K9)</f>
        <v>0</v>
      </c>
      <c r="L10" s="1026">
        <f t="shared" si="1"/>
        <v>0</v>
      </c>
      <c r="M10" s="1026">
        <f>SUM(M8:M9)</f>
        <v>0</v>
      </c>
      <c r="N10" s="1026">
        <f>SUM(N8:N9)</f>
        <v>0</v>
      </c>
      <c r="O10" s="1026">
        <f>SUM(O8:O9)</f>
        <v>0</v>
      </c>
      <c r="P10" s="1026">
        <f>SUM(P8:P9)</f>
        <v>542.40564705882366</v>
      </c>
    </row>
    <row r="11" spans="1:16">
      <c r="A11" s="869"/>
      <c r="B11" s="869"/>
      <c r="C11" s="869"/>
      <c r="D11" s="869"/>
      <c r="E11" s="869"/>
      <c r="F11" s="869"/>
      <c r="G11" s="869"/>
      <c r="H11" s="869"/>
      <c r="I11" s="869"/>
      <c r="J11" s="869"/>
      <c r="K11" s="869"/>
      <c r="L11" s="869"/>
      <c r="M11" s="869"/>
      <c r="N11" s="869"/>
      <c r="O11" s="869"/>
      <c r="P11" s="869"/>
    </row>
    <row r="12" spans="1:16">
      <c r="A12" s="461" t="s">
        <v>843</v>
      </c>
      <c r="B12" s="760" t="s">
        <v>844</v>
      </c>
      <c r="C12" s="760">
        <f ca="1">'EF ele_warmte'!B12</f>
        <v>0.1983750050363278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845</v>
      </c>
    </row>
    <row r="15" spans="1:16">
      <c r="A15" s="1174"/>
      <c r="B15" s="1175"/>
      <c r="C15" s="1175"/>
      <c r="D15" s="1177" t="s">
        <v>196</v>
      </c>
      <c r="E15" s="1177"/>
      <c r="F15" s="1177"/>
      <c r="G15" s="1177"/>
      <c r="H15" s="1177"/>
      <c r="I15" s="1175" t="s">
        <v>837</v>
      </c>
      <c r="J15" s="1175" t="s">
        <v>233</v>
      </c>
      <c r="K15" s="1175" t="s">
        <v>838</v>
      </c>
      <c r="L15" s="1175" t="s">
        <v>828</v>
      </c>
      <c r="M15" s="1175" t="s">
        <v>244</v>
      </c>
      <c r="N15" s="1175" t="s">
        <v>846</v>
      </c>
      <c r="O15" s="1175" t="s">
        <v>126</v>
      </c>
      <c r="P15" s="1175"/>
    </row>
    <row r="16" spans="1:16" ht="30">
      <c r="A16" s="1174"/>
      <c r="B16" s="1020" t="s">
        <v>847</v>
      </c>
      <c r="C16" s="1020" t="s">
        <v>848</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3260.5714285714289</v>
      </c>
      <c r="D17" s="1023">
        <f>'SEAP template'!D87</f>
        <v>3835.9663865546231</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774.86521008403395</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849</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3260.5714285714289</v>
      </c>
      <c r="D20" s="1026">
        <f t="shared" ref="D20:H20" si="2">SUM(D17:D19)</f>
        <v>3835.9663865546231</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774.86521008403395</v>
      </c>
    </row>
    <row r="22" spans="1:16">
      <c r="A22" s="461" t="s">
        <v>850</v>
      </c>
      <c r="B22" s="760" t="s">
        <v>844</v>
      </c>
      <c r="C22" s="760">
        <f ca="1">'EF ele_warmte'!B22</f>
        <v>0.23764705882352949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836</v>
      </c>
    </row>
    <row r="2" spans="1:16" ht="15.75">
      <c r="A2" s="1174"/>
      <c r="B2" s="1175"/>
      <c r="C2" s="1175"/>
      <c r="D2" s="1176" t="s">
        <v>196</v>
      </c>
      <c r="E2" s="1176"/>
      <c r="F2" s="1176"/>
      <c r="G2" s="1176"/>
      <c r="H2" s="1176"/>
      <c r="I2" s="1020" t="s">
        <v>837</v>
      </c>
      <c r="J2" s="1020" t="s">
        <v>233</v>
      </c>
      <c r="K2" s="1020" t="s">
        <v>838</v>
      </c>
      <c r="L2" s="1020" t="s">
        <v>828</v>
      </c>
      <c r="M2" s="1020" t="s">
        <v>244</v>
      </c>
      <c r="N2" s="1020" t="s">
        <v>839</v>
      </c>
      <c r="O2" s="1020" t="s">
        <v>126</v>
      </c>
      <c r="P2" s="1175"/>
    </row>
    <row r="3" spans="1:16" ht="30">
      <c r="A3" s="1174"/>
      <c r="B3" s="1020" t="s">
        <v>840</v>
      </c>
      <c r="C3" s="1020" t="s">
        <v>841</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851</v>
      </c>
      <c r="C4" s="1033" t="s">
        <v>809</v>
      </c>
      <c r="D4" s="1033" t="s">
        <v>809</v>
      </c>
      <c r="E4" s="1033" t="s">
        <v>809</v>
      </c>
      <c r="F4" s="1033" t="s">
        <v>809</v>
      </c>
      <c r="G4" s="1033" t="s">
        <v>809</v>
      </c>
      <c r="H4" s="1033" t="s">
        <v>809</v>
      </c>
      <c r="I4" s="1033" t="s">
        <v>809</v>
      </c>
      <c r="J4" s="1033" t="s">
        <v>809</v>
      </c>
      <c r="K4" s="1033" t="s">
        <v>809</v>
      </c>
      <c r="L4" s="1033" t="s">
        <v>809</v>
      </c>
      <c r="M4" s="1033" t="s">
        <v>809</v>
      </c>
      <c r="N4" s="1033" t="s">
        <v>809</v>
      </c>
      <c r="O4" s="1033" t="s">
        <v>809</v>
      </c>
      <c r="P4" s="1034" t="s">
        <v>852</v>
      </c>
    </row>
    <row r="5" spans="1:16" ht="135">
      <c r="A5" s="1035" t="s">
        <v>249</v>
      </c>
      <c r="B5" s="1032" t="s">
        <v>851</v>
      </c>
      <c r="C5" s="1033" t="s">
        <v>809</v>
      </c>
      <c r="D5" s="1033" t="s">
        <v>809</v>
      </c>
      <c r="E5" s="1033" t="s">
        <v>809</v>
      </c>
      <c r="F5" s="1033" t="s">
        <v>809</v>
      </c>
      <c r="G5" s="1033" t="s">
        <v>809</v>
      </c>
      <c r="H5" s="1033" t="s">
        <v>809</v>
      </c>
      <c r="I5" s="1033" t="s">
        <v>809</v>
      </c>
      <c r="J5" s="1033" t="s">
        <v>809</v>
      </c>
      <c r="K5" s="1033" t="s">
        <v>809</v>
      </c>
      <c r="L5" s="1033" t="s">
        <v>809</v>
      </c>
      <c r="M5" s="1033" t="s">
        <v>809</v>
      </c>
      <c r="N5" s="1033" t="s">
        <v>809</v>
      </c>
      <c r="O5" s="1033" t="s">
        <v>809</v>
      </c>
      <c r="P5" s="1034" t="s">
        <v>852</v>
      </c>
    </row>
    <row r="6" spans="1:16" ht="135">
      <c r="A6" s="1035" t="s">
        <v>250</v>
      </c>
      <c r="B6" s="1032" t="s">
        <v>851</v>
      </c>
      <c r="C6" s="1033" t="s">
        <v>809</v>
      </c>
      <c r="D6" s="1033" t="s">
        <v>809</v>
      </c>
      <c r="E6" s="1033" t="s">
        <v>809</v>
      </c>
      <c r="F6" s="1033" t="s">
        <v>809</v>
      </c>
      <c r="G6" s="1033" t="s">
        <v>809</v>
      </c>
      <c r="H6" s="1033" t="s">
        <v>809</v>
      </c>
      <c r="I6" s="1033" t="s">
        <v>809</v>
      </c>
      <c r="J6" s="1033" t="s">
        <v>809</v>
      </c>
      <c r="K6" s="1033" t="s">
        <v>809</v>
      </c>
      <c r="L6" s="1033" t="s">
        <v>809</v>
      </c>
      <c r="M6" s="1033" t="s">
        <v>809</v>
      </c>
      <c r="N6" s="1033" t="s">
        <v>809</v>
      </c>
      <c r="O6" s="1033" t="s">
        <v>809</v>
      </c>
      <c r="P6" s="1034" t="s">
        <v>852</v>
      </c>
    </row>
    <row r="7" spans="1:16" ht="135">
      <c r="A7" s="1035" t="s">
        <v>828</v>
      </c>
      <c r="B7" s="1033" t="s">
        <v>809</v>
      </c>
      <c r="C7" s="1033" t="s">
        <v>809</v>
      </c>
      <c r="D7" s="1033" t="s">
        <v>809</v>
      </c>
      <c r="E7" s="1033" t="s">
        <v>809</v>
      </c>
      <c r="F7" s="1033" t="s">
        <v>809</v>
      </c>
      <c r="G7" s="1033" t="s">
        <v>809</v>
      </c>
      <c r="H7" s="1033" t="s">
        <v>809</v>
      </c>
      <c r="I7" s="1033" t="s">
        <v>809</v>
      </c>
      <c r="J7" s="1033" t="s">
        <v>809</v>
      </c>
      <c r="K7" s="1033" t="s">
        <v>809</v>
      </c>
      <c r="L7" s="1033" t="s">
        <v>809</v>
      </c>
      <c r="M7" s="1033" t="s">
        <v>809</v>
      </c>
      <c r="N7" s="1033" t="s">
        <v>809</v>
      </c>
      <c r="O7" s="1033" t="s">
        <v>809</v>
      </c>
      <c r="P7" s="1034" t="s">
        <v>852</v>
      </c>
    </row>
    <row r="8" spans="1:16" ht="210">
      <c r="A8" s="1031" t="s">
        <v>251</v>
      </c>
      <c r="B8" s="1032" t="s">
        <v>853</v>
      </c>
      <c r="C8" s="1032" t="s">
        <v>853</v>
      </c>
      <c r="D8" s="1032" t="s">
        <v>853</v>
      </c>
      <c r="E8" s="1032" t="s">
        <v>853</v>
      </c>
      <c r="F8" s="1032" t="s">
        <v>853</v>
      </c>
      <c r="G8" s="1032" t="s">
        <v>853</v>
      </c>
      <c r="H8" s="1032" t="s">
        <v>853</v>
      </c>
      <c r="I8" s="1032" t="s">
        <v>853</v>
      </c>
      <c r="J8" s="1032" t="s">
        <v>853</v>
      </c>
      <c r="K8" s="1033" t="s">
        <v>809</v>
      </c>
      <c r="L8" s="1033" t="s">
        <v>809</v>
      </c>
      <c r="M8" s="1033" t="s">
        <v>809</v>
      </c>
      <c r="N8" s="1032" t="s">
        <v>854</v>
      </c>
      <c r="O8" s="1032" t="s">
        <v>854</v>
      </c>
      <c r="P8" s="1036"/>
    </row>
    <row r="9" spans="1:16" ht="210">
      <c r="A9" s="1037" t="s">
        <v>842</v>
      </c>
      <c r="B9" s="1032" t="s">
        <v>854</v>
      </c>
      <c r="C9" s="1032" t="s">
        <v>854</v>
      </c>
      <c r="D9" s="1032" t="s">
        <v>854</v>
      </c>
      <c r="E9" s="1032" t="s">
        <v>854</v>
      </c>
      <c r="F9" s="1032" t="s">
        <v>854</v>
      </c>
      <c r="G9" s="1032" t="s">
        <v>854</v>
      </c>
      <c r="H9" s="1032" t="s">
        <v>854</v>
      </c>
      <c r="I9" s="1032" t="s">
        <v>854</v>
      </c>
      <c r="J9" s="1032" t="s">
        <v>854</v>
      </c>
      <c r="K9" s="1033" t="s">
        <v>809</v>
      </c>
      <c r="L9" s="1032" t="s">
        <v>854</v>
      </c>
      <c r="M9" s="1032" t="s">
        <v>854</v>
      </c>
      <c r="N9" s="1032" t="s">
        <v>854</v>
      </c>
      <c r="O9" s="1032" t="s">
        <v>854</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843</v>
      </c>
      <c r="B12" s="760" t="s">
        <v>844</v>
      </c>
      <c r="C12" s="1039" t="s">
        <v>855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845</v>
      </c>
    </row>
    <row r="15" spans="1:16">
      <c r="A15" s="1174"/>
      <c r="B15" s="1175"/>
      <c r="C15" s="1175"/>
      <c r="D15" s="1177" t="s">
        <v>196</v>
      </c>
      <c r="E15" s="1177"/>
      <c r="F15" s="1177"/>
      <c r="G15" s="1177"/>
      <c r="H15" s="1177"/>
      <c r="I15" s="1175" t="s">
        <v>837</v>
      </c>
      <c r="J15" s="1175" t="s">
        <v>233</v>
      </c>
      <c r="K15" s="1175" t="s">
        <v>838</v>
      </c>
      <c r="L15" s="1175" t="s">
        <v>828</v>
      </c>
      <c r="M15" s="1175" t="s">
        <v>244</v>
      </c>
      <c r="N15" s="1175" t="s">
        <v>846</v>
      </c>
      <c r="O15" s="1175" t="s">
        <v>126</v>
      </c>
      <c r="P15" s="1175"/>
    </row>
    <row r="16" spans="1:16" ht="30">
      <c r="A16" s="1174"/>
      <c r="B16" s="1020" t="s">
        <v>847</v>
      </c>
      <c r="C16" s="1020" t="s">
        <v>848</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854</v>
      </c>
      <c r="C17" s="1032" t="s">
        <v>854</v>
      </c>
      <c r="D17" s="1032" t="s">
        <v>854</v>
      </c>
      <c r="E17" s="1032" t="s">
        <v>854</v>
      </c>
      <c r="F17" s="1032" t="s">
        <v>854</v>
      </c>
      <c r="G17" s="1032" t="s">
        <v>854</v>
      </c>
      <c r="H17" s="1032" t="s">
        <v>854</v>
      </c>
      <c r="I17" s="1032" t="s">
        <v>854</v>
      </c>
      <c r="J17" s="1032" t="s">
        <v>854</v>
      </c>
      <c r="K17" s="1033" t="s">
        <v>809</v>
      </c>
      <c r="L17" s="1033" t="s">
        <v>809</v>
      </c>
      <c r="M17" s="1033" t="s">
        <v>809</v>
      </c>
      <c r="N17" s="1032" t="s">
        <v>854</v>
      </c>
      <c r="O17" s="1032" t="s">
        <v>854</v>
      </c>
      <c r="P17" s="1040"/>
    </row>
    <row r="18" spans="1:16" ht="45">
      <c r="A18" s="1029" t="s">
        <v>257</v>
      </c>
      <c r="B18" s="1034" t="s">
        <v>813</v>
      </c>
      <c r="C18" s="1034" t="s">
        <v>813</v>
      </c>
      <c r="D18" s="1034" t="s">
        <v>813</v>
      </c>
      <c r="E18" s="1034" t="s">
        <v>813</v>
      </c>
      <c r="F18" s="1034" t="s">
        <v>813</v>
      </c>
      <c r="G18" s="1034" t="s">
        <v>813</v>
      </c>
      <c r="H18" s="1034" t="s">
        <v>813</v>
      </c>
      <c r="I18" s="1034" t="s">
        <v>813</v>
      </c>
      <c r="J18" s="1034" t="s">
        <v>813</v>
      </c>
      <c r="K18" s="1034" t="s">
        <v>813</v>
      </c>
      <c r="L18" s="1034" t="s">
        <v>813</v>
      </c>
      <c r="M18" s="1034" t="s">
        <v>813</v>
      </c>
      <c r="N18" s="1034" t="s">
        <v>813</v>
      </c>
      <c r="O18" s="1034" t="s">
        <v>813</v>
      </c>
      <c r="P18" s="1034" t="s">
        <v>813</v>
      </c>
    </row>
    <row r="19" spans="1:16" ht="45">
      <c r="A19" s="1025" t="s">
        <v>849</v>
      </c>
      <c r="B19" s="1034" t="s">
        <v>813</v>
      </c>
      <c r="C19" s="1034" t="s">
        <v>813</v>
      </c>
      <c r="D19" s="1034" t="s">
        <v>813</v>
      </c>
      <c r="E19" s="1034" t="s">
        <v>813</v>
      </c>
      <c r="F19" s="1034" t="s">
        <v>813</v>
      </c>
      <c r="G19" s="1034" t="s">
        <v>813</v>
      </c>
      <c r="H19" s="1034" t="s">
        <v>813</v>
      </c>
      <c r="I19" s="1034" t="s">
        <v>813</v>
      </c>
      <c r="J19" s="1034" t="s">
        <v>813</v>
      </c>
      <c r="K19" s="1034" t="s">
        <v>813</v>
      </c>
      <c r="L19" s="1034" t="s">
        <v>813</v>
      </c>
      <c r="M19" s="1034" t="s">
        <v>813</v>
      </c>
      <c r="N19" s="1034" t="s">
        <v>813</v>
      </c>
      <c r="O19" s="1034" t="s">
        <v>813</v>
      </c>
      <c r="P19" s="1034" t="s">
        <v>813</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850</v>
      </c>
      <c r="B22" s="760" t="s">
        <v>844</v>
      </c>
      <c r="C22" s="1039" t="s">
        <v>856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579</v>
      </c>
      <c r="B6" s="75" t="s">
        <v>580</v>
      </c>
      <c r="C6" s="434" t="s">
        <v>563</v>
      </c>
    </row>
    <row r="7" spans="1:3">
      <c r="A7" s="125"/>
      <c r="B7" s="129"/>
      <c r="C7" s="122"/>
    </row>
    <row r="8" spans="1:3">
      <c r="A8" s="113" t="s">
        <v>582</v>
      </c>
      <c r="B8" s="75" t="s">
        <v>581</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616</v>
      </c>
    </row>
    <row r="13" spans="1:3">
      <c r="A13" s="140"/>
      <c r="B13" s="124"/>
      <c r="C13" s="300"/>
    </row>
    <row r="14" spans="1:3" s="11" customFormat="1">
      <c r="A14" s="113" t="s">
        <v>599</v>
      </c>
      <c r="B14" s="130" t="s">
        <v>600</v>
      </c>
      <c r="C14" s="131" t="s">
        <v>601</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611</v>
      </c>
      <c r="B4" s="464"/>
      <c r="C4" s="464"/>
      <c r="D4" s="464"/>
      <c r="E4" s="464"/>
      <c r="F4" s="464"/>
      <c r="G4" s="496"/>
      <c r="H4" s="496"/>
      <c r="I4" s="464"/>
      <c r="J4" s="464"/>
      <c r="K4" s="464"/>
      <c r="L4" s="464"/>
      <c r="M4" s="464"/>
      <c r="N4" s="464"/>
      <c r="O4" s="464"/>
      <c r="P4" s="464"/>
    </row>
    <row r="5" spans="1:16" outlineLevel="1">
      <c r="A5" s="668" t="s">
        <v>612</v>
      </c>
      <c r="B5" s="464"/>
      <c r="C5" s="464"/>
      <c r="D5" s="464"/>
      <c r="E5" s="464"/>
      <c r="F5" s="464"/>
      <c r="G5" s="496"/>
      <c r="H5" s="496"/>
      <c r="I5" s="464"/>
      <c r="J5" s="464"/>
      <c r="K5" s="464"/>
      <c r="L5" s="464"/>
      <c r="M5" s="464"/>
      <c r="N5" s="464"/>
      <c r="O5" s="464"/>
      <c r="P5" s="464"/>
    </row>
    <row r="6" spans="1:16" outlineLevel="1">
      <c r="A6" s="668" t="s">
        <v>613</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614</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615</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577</v>
      </c>
      <c r="B13" s="451"/>
      <c r="C13" s="468"/>
      <c r="D13" s="468"/>
      <c r="E13" s="468"/>
      <c r="F13" s="468"/>
      <c r="G13" s="468"/>
      <c r="H13" s="468"/>
      <c r="I13" s="468"/>
      <c r="J13" s="468"/>
      <c r="K13" s="468"/>
      <c r="L13" s="468"/>
      <c r="M13" s="468"/>
      <c r="N13" s="468"/>
      <c r="O13" s="761" t="s">
        <v>632</v>
      </c>
      <c r="P13" s="761" t="s">
        <v>631</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604</v>
      </c>
      <c r="B17" s="498">
        <f ca="1">'EF ele_warmte'!B12</f>
        <v>0.1983750050363278</v>
      </c>
      <c r="C17" s="498">
        <f ca="1">'EF ele_warmte'!B22</f>
        <v>0.23764705882352949</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653</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623</v>
      </c>
      <c r="B27" s="768">
        <f>B24*B25*B26</f>
        <v>0</v>
      </c>
      <c r="C27" s="489" t="s">
        <v>624</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653</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623</v>
      </c>
      <c r="B35" s="767">
        <f>B31*B32*B33/1000-B31*B32*B33/1000/B34</f>
        <v>0</v>
      </c>
      <c r="C35" s="495" t="s">
        <v>624</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2020-06-20T15:48:12Z</dcterms:modified>
</cp:coreProperties>
</file>