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J9" i="18" s="1"/>
  <c r="J77" i="14" s="1"/>
  <c r="J9" i="61" s="1"/>
  <c r="U38" i="18"/>
  <c r="T38" i="18"/>
  <c r="I9" i="18" s="1"/>
  <c r="S38" i="18"/>
  <c r="R38" i="18"/>
  <c r="Q38" i="18"/>
  <c r="P38" i="18"/>
  <c r="C9" i="18" s="1"/>
  <c r="O38" i="18"/>
  <c r="N38" i="18"/>
  <c r="B9" i="18" s="1"/>
  <c r="M38" i="18"/>
  <c r="W34" i="18"/>
  <c r="V34" i="18"/>
  <c r="U34" i="18"/>
  <c r="T34" i="18"/>
  <c r="S34" i="18"/>
  <c r="R34" i="18"/>
  <c r="Q34" i="18"/>
  <c r="P34" i="18"/>
  <c r="O34" i="18"/>
  <c r="C6" i="17" s="1"/>
  <c r="N34" i="18"/>
  <c r="M34" i="18"/>
  <c r="W33" i="18"/>
  <c r="V33" i="18"/>
  <c r="U33" i="18"/>
  <c r="T33" i="18"/>
  <c r="S33" i="18"/>
  <c r="F13" i="15" s="1"/>
  <c r="R33" i="18"/>
  <c r="Q33" i="18"/>
  <c r="P33" i="18"/>
  <c r="D13" i="15" s="1"/>
  <c r="O33" i="18"/>
  <c r="C13" i="15" s="1"/>
  <c r="N33" i="18"/>
  <c r="M33" i="18"/>
  <c r="W32" i="18"/>
  <c r="V32" i="18"/>
  <c r="U32" i="18"/>
  <c r="T32" i="18"/>
  <c r="S32" i="18"/>
  <c r="R32" i="18"/>
  <c r="Q32" i="18"/>
  <c r="P32" i="18"/>
  <c r="O32" i="18"/>
  <c r="N32" i="18"/>
  <c r="M32" i="18"/>
  <c r="W31" i="18"/>
  <c r="V31" i="18"/>
  <c r="U31" i="18"/>
  <c r="T31" i="18"/>
  <c r="S31" i="18"/>
  <c r="R31" i="18"/>
  <c r="Q31" i="18"/>
  <c r="P31" i="18"/>
  <c r="O31" i="18"/>
  <c r="N31" i="18"/>
  <c r="C47" i="18" s="1"/>
  <c r="M31"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B19" i="6"/>
  <c r="B18" i="6"/>
  <c r="B5" i="6"/>
  <c r="B6" i="6"/>
  <c r="C64" i="14" s="1"/>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H9" i="18" l="1"/>
  <c r="M77" i="14" s="1"/>
  <c r="M9" i="61" s="1"/>
  <c r="F6" i="17"/>
  <c r="B47" i="18"/>
  <c r="F51"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50" i="18"/>
  <c r="H8" i="18" s="1"/>
  <c r="E50" i="18"/>
  <c r="E8" i="18" s="1"/>
  <c r="G50" i="18"/>
  <c r="F50" i="18"/>
  <c r="H50" i="18"/>
  <c r="D50" i="18"/>
  <c r="C50" i="18"/>
  <c r="B50" i="18"/>
  <c r="C8" i="18" s="1"/>
  <c r="B51" i="18"/>
  <c r="C17" i="18" s="1"/>
  <c r="H51" i="18"/>
  <c r="D51" i="18"/>
  <c r="G51"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C51" i="18" l="1"/>
  <c r="I51" i="18"/>
  <c r="H17" i="18" s="1"/>
  <c r="I8" i="18"/>
  <c r="E51" i="18"/>
  <c r="E17" i="18" s="1"/>
  <c r="F87" i="14" s="1"/>
  <c r="H78" i="14"/>
  <c r="H9" i="61"/>
  <c r="H10" i="61" s="1"/>
  <c r="O90" i="14"/>
  <c r="O18" i="61"/>
  <c r="O20" i="61" s="1"/>
  <c r="B88" i="14"/>
  <c r="B18" i="61" s="1"/>
  <c r="B77" i="14"/>
  <c r="B9" i="61" s="1"/>
  <c r="Q77" i="14"/>
  <c r="P9" i="61" s="1"/>
  <c r="J17" i="18"/>
  <c r="H20" i="18"/>
  <c r="M87" i="14"/>
  <c r="J8" i="18"/>
  <c r="M76" i="14"/>
  <c r="H10" i="18"/>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E20" i="18"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K24" i="14" l="1"/>
  <c r="K26" i="14" s="1"/>
  <c r="J7" i="48"/>
  <c r="J25" i="48"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P13" i="14"/>
  <c r="P16" i="14" s="1"/>
  <c r="P27" i="14" s="1"/>
  <c r="O8" i="48"/>
  <c r="O26"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I20" i="14"/>
  <c r="I22" i="14" s="1"/>
  <c r="I27" i="14" s="1"/>
  <c r="J20" i="15"/>
  <c r="K40" i="14" s="1"/>
  <c r="N52" i="14"/>
  <c r="N61" i="14" s="1"/>
  <c r="N63" i="14" s="1"/>
  <c r="E5" i="48"/>
  <c r="E23" i="48" s="1"/>
  <c r="F10" i="14"/>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K13" i="14" l="1"/>
  <c r="K16" i="14" s="1"/>
  <c r="K27" i="14" s="1"/>
  <c r="J8" i="48"/>
  <c r="E8" i="48"/>
  <c r="E26" i="48" s="1"/>
  <c r="E33" i="48" s="1"/>
  <c r="F13" i="14"/>
  <c r="F16" i="14" s="1"/>
  <c r="F27" i="14" s="1"/>
  <c r="I63" i="14"/>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<sst xmlns="http://schemas.openxmlformats.org/spreadsheetml/2006/main" count="2425" uniqueCount="899">
  <si>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</si>
  <si>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</si>
  <si>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</si>
  <si>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</si>
  <si>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</si>
  <si>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</si>
  <si>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</si>
  <si>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</si>
  <si>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</si>
  <si>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</si>
  <si>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</si>
  <si>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</si>
  <si>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</si>
  <si>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</si>
  <si>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</si>
  <si>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</si>
  <si>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</si>
  <si>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</si>
  <si>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</si>
  <si>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</si>
  <si>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</si>
  <si>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</si>
  <si>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</si>
  <si>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</si>
  <si>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</si>
  <si>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</si>
  <si>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</si>
  <si>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</si>
  <si>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</si>
  <si>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</si>
  <si>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</si>
  <si>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</si>
  <si>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</si>
  <si>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</si>
  <si>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</si>
  <si>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</si>
  <si>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</si>
  <si>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</si>
  <si>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</si>
  <si>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</si>
  <si>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</si>
  <si>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</si>
  <si>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</si>
  <si>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</si>
  <si>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</si>
  <si>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</si>
  <si>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</si>
  <si>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</si>
  <si>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</si>
  <si>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</si>
  <si>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</si>
  <si>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</si>
  <si>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</si>
  <si>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</si>
  <si>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</si>
  <si>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</si>
  <si>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</si>
  <si>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</si>
  <si>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</si>
  <si>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</si>
  <si>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</si>
  <si>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</si>
  <si>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</si>
  <si>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</si>
  <si>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</si>
  <si>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</si>
  <si>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</si>
  <si>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</si>
  <si>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</si>
  <si>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</si>
  <si>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</si>
  <si>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</si>
  <si>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</si>
  <si>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</si>
  <si>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</si>
  <si>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</si>
  <si>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</si>
  <si>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</si>
  <si>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</si>
  <si>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</si>
  <si>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</si>
  <si>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</si>
  <si>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</si>
  <si>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</si>
  <si>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</si>
  <si>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</si>
  <si>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</si>
  <si>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</si>
  <si>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</si>
  <si>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</si>
  <si>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</si>
  <si>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</si>
  <si>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</si>
  <si>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</si>
  <si>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</si>
  <si>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</si>
  <si>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</si>
  <si>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</si>
  <si>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</si>
  <si>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</si>
  <si>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</si>
  <si>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</si>
  <si>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</si>
  <si>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</si>
  <si>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</si>
  <si>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</si>
  <si>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</si>
  <si>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</si>
  <si>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</si>
  <si>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</si>
  <si>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</si>
  <si>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</si>
  <si>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</si>
  <si>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</si>
  <si>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</si>
  <si>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</si>
  <si>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</si>
  <si>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</si>
  <si>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</si>
  <si>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</si>
  <si>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</si>
  <si>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</si>
  <si>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</si>
  <si>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</si>
  <si>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</si>
  <si>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</si>
  <si>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</si>
  <si>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</si>
  <si>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</si>
  <si>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</si>
  <si>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</si>
  <si>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</si>
  <si>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</si>
  <si>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</si>
  <si>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</si>
  <si>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</si>
  <si>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</si>
  <si>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</si>
  <si>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</si>
  <si>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</si>
  <si>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</si>
  <si>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</si>
  <si>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</si>
  <si>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</si>
  <si>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</si>
  <si>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</si>
  <si>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</si>
  <si>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</si>
  <si>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</si>
  <si>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</si>
  <si>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</si>
  <si>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</si>
  <si>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</si>
  <si>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</si>
  <si>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</si>
  <si>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</si>
  <si>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</si>
  <si>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</si>
  <si>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</si>
  <si>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</si>
  <si>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</si>
  <si>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</si>
  <si>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</si>
  <si>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</si>
  <si>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</si>
  <si>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</si>
  <si>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</si>
  <si>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</si>
  <si>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</si>
  <si>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</si>
  <si>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</si>
  <si>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</si>
  <si>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</si>
  <si>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</si>
  <si>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</si>
  <si>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</si>
  <si>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</si>
  <si>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</si>
  <si>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</si>
  <si>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</si>
  <si>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</si>
  <si>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</si>
  <si>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</si>
  <si>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</si>
  <si>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</si>
  <si>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</si>
  <si>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</si>
  <si>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</si>
  <si>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</si>
  <si>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</si>
  <si>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</si>
  <si>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</si>
  <si>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</si>
  <si>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</si>
  <si>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</si>
  <si>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</si>
  <si>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</si>
  <si>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</si>
  <si>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</si>
  <si>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</si>
  <si>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</si>
  <si>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</si>
  <si>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</si>
  <si>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</si>
  <si>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</si>
  <si>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</si>
  <si>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</si>
  <si>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</si>
  <si>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</si>
  <si>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</si>
  <si>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</si>
  <si>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</si>
  <si>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</si>
  <si>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</si>
  <si>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</si>
  <si>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</si>
  <si>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</si>
  <si>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</si>
  <si>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</si>
  <si>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</si>
  <si>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</si>
  <si>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</si>
  <si>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</si>
  <si>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</si>
  <si>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</si>
  <si>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</si>
  <si>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</si>
  <si>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</si>
  <si>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</si>
  <si>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</si>
  <si>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</si>
  <si>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</si>
  <si>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</si>
  <si>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</si>
  <si>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</si>
  <si>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</si>
  <si>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</si>
  <si>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</si>
  <si>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</si>
  <si>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</si>
  <si>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</si>
  <si>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</si>
  <si>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</si>
  <si>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</si>
  <si>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</si>
  <si>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</si>
  <si>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</si>
  <si>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</si>
  <si>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</si>
  <si>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</si>
  <si>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</si>
  <si>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</si>
  <si>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</si>
  <si>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</si>
  <si>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</si>
  <si>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</si>
  <si>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</si>
  <si>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</si>
  <si>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</si>
  <si>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</si>
  <si>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</si>
  <si>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</si>
  <si>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</si>
  <si>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</si>
  <si>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</si>
  <si>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</si>
  <si>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</si>
  <si>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</si>
  <si>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</si>
  <si>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</si>
  <si>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</si>
  <si>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</si>
  <si>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</si>
  <si>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</si>
  <si>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</si>
  <si>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</si>
  <si>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</si>
  <si>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</si>
  <si>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</si>
  <si>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</si>
  <si>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</si>
  <si>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</si>
  <si>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</si>
  <si>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</si>
  <si>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</si>
  <si>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</si>
  <si>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</si>
  <si>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</si>
  <si>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</si>
  <si>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</si>
  <si>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</si>
  <si>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</si>
  <si>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</si>
  <si>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</si>
  <si>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</si>
  <si>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</si>
  <si>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</si>
  <si>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</si>
  <si>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</si>
  <si>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</si>
  <si>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</si>
  <si>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</si>
  <si>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</si>
  <si>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</si>
  <si>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</si>
  <si>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</si>
  <si>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</si>
  <si>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</si>
  <si>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</si>
  <si>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</si>
  <si>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</si>
  <si>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</si>
  <si>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</si>
  <si>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</si>
  <si>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</si>
  <si>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</si>
  <si>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</si>
  <si>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</si>
  <si>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</si>
  <si>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</si>
  <si>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</si>
  <si>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</si>
  <si>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</si>
  <si>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</si>
  <si>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</si>
  <si>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</si>
  <si>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</si>
  <si>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</si>
  <si>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</si>
  <si>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</si>
  <si>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</si>
  <si>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</si>
  <si>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</si>
  <si>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</si>
  <si>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</si>
  <si>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</si>
  <si>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</si>
  <si>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</si>
  <si>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</si>
  <si>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</si>
  <si>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</si>
  <si>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</si>
  <si>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</si>
  <si>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</si>
  <si>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</si>
  <si>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</si>
  <si>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</si>
  <si>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</si>
  <si>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</si>
  <si>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</si>
  <si>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</si>
  <si>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</si>
  <si>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</si>
  <si>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</si>
  <si>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</si>
  <si>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</si>
  <si>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</si>
  <si>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</si>
  <si>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</si>
  <si>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</si>
  <si>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</si>
  <si>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</si>
  <si>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</si>
  <si>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</si>
  <si>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</si>
  <si>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</si>
  <si>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</si>
  <si>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</si>
  <si>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</si>
  <si>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</si>
  <si>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</si>
  <si>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</si>
  <si>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</si>
  <si>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</si>
  <si>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</si>
  <si>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</si>
  <si>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</si>
  <si>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</si>
  <si>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</si>
  <si>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</si>
  <si>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</si>
  <si>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</si>
  <si>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</si>
  <si>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</si>
  <si>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</si>
  <si>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</si>
  <si>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</si>
  <si>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</si>
  <si>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</si>
  <si>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</si>
  <si>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</si>
  <si>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</si>
  <si>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</si>
  <si>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</si>
  <si>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</si>
  <si>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</si>
  <si>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</si>
  <si>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</si>
  <si>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</si>
  <si>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</si>
  <si>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</si>
  <si>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</si>
  <si>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</si>
  <si>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</si>
  <si>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</si>
  <si>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</si>
  <si>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</si>
  <si>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</si>
  <si>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</si>
  <si>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</si>
  <si>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</si>
  <si>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</si>
  <si>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</si>
  <si>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</si>
  <si>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</si>
  <si>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</si>
  <si>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</si>
  <si>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</si>
  <si>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</si>
  <si>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</si>
  <si>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</si>
  <si>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</si>
  <si>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</si>
  <si>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</si>
  <si>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</si>
  <si>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</si>
  <si>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</si>
  <si>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</si>
  <si>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</si>
  <si>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</si>
  <si>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</si>
  <si>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</si>
  <si>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</si>
  <si>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</si>
  <si>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</si>
  <si>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</si>
  <si>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</si>
  <si>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</si>
  <si>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</si>
  <si>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</si>
  <si>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</si>
  <si>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</si>
  <si>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</si>
  <si>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</si>
  <si>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</si>
  <si>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</si>
  <si>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</si>
  <si>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</si>
  <si>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</si>
  <si>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</si>
  <si>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</si>
  <si>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</si>
  <si>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</si>
  <si>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</si>
  <si>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</si>
  <si>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</si>
  <si>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</si>
  <si>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</si>
  <si>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</si>
  <si>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</si>
  <si>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</si>
  <si>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</si>
  <si>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</si>
  <si>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</si>
  <si>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</si>
  <si>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</si>
  <si>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</si>
  <si>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</si>
  <si>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</si>
  <si>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</si>
  <si>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</si>
  <si>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</si>
  <si>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</si>
  <si>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</si>
  <si>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</si>
  <si>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</si>
  <si>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</si>
  <si>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</si>
  <si>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</si>
  <si>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</si>
  <si>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</si>
  <si>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</si>
  <si>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</si>
  <si>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</si>
  <si>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</si>
  <si>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</si>
  <si>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</si>
  <si>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</si>
  <si>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</si>
  <si>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</si>
  <si>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</si>
  <si>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</si>
  <si>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</si>
  <si>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</si>
  <si>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</si>
  <si>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</si>
  <si>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</si>
  <si>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</si>
  <si>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</si>
  <si>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</si>
  <si>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</si>
  <si>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</si>
  <si>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</si>
  <si>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</si>
  <si>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</si>
  <si>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</si>
  <si>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</si>
  <si>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</si>
  <si>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</si>
  <si>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</si>
  <si>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</si>
  <si>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</si>
  <si>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</si>
  <si>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</si>
  <si>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</si>
  <si>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</si>
  <si>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</si>
  <si>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</si>
  <si>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</si>
  <si>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</si>
  <si>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</si>
  <si>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</si>
  <si>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</si>
  <si>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</si>
  <si>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</si>
  <si>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</si>
  <si>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</si>
  <si>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</si>
  <si>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</si>
  <si>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</si>
  <si>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</si>
  <si>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</si>
  <si>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</si>
  <si>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</si>
  <si>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</si>
  <si>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</si>
  <si>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</si>
  <si>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</si>
  <si>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</si>
  <si>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</si>
  <si>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</si>
  <si>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</si>
  <si>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</si>
  <si>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</si>
  <si>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</si>
  <si>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</si>
  <si>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</si>
  <si>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</si>
  <si>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</si>
  <si>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</si>
  <si>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</si>
  <si>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</si>
  <si>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</si>
  <si>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</si>
  <si>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</si>
  <si>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</si>
  <si>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</si>
  <si>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</si>
  <si>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</si>
  <si>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</si>
  <si>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</si>
  <si>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</si>
  <si>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</si>
  <si>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</si>
  <si>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</si>
  <si>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</si>
  <si>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</si>
  <si>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</si>
  <si>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</si>
  <si>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</si>
  <si>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</si>
  <si>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</si>
  <si>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</si>
  <si>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</si>
  <si>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</si>
  <si>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</si>
  <si>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</si>
  <si>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</si>
  <si>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</si>
  <si>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</si>
  <si>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</si>
  <si>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</si>
  <si>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</si>
  <si>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</si>
  <si>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</si>
  <si>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</si>
  <si>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</si>
  <si>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</si>
  <si>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</si>
  <si>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</si>
  <si>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</si>
  <si>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</si>
  <si>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</si>
  <si>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</si>
  <si>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</si>
  <si>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</si>
  <si>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</si>
  <si>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</si>
  <si>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</si>
  <si>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</si>
  <si>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</si>
  <si>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</si>
  <si>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</si>
  <si>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</si>
  <si>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</si>
  <si>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</si>
  <si>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</si>
  <si>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</si>
  <si>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</si>
  <si>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</si>
  <si>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</si>
  <si>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</si>
  <si>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</si>
  <si>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</si>
  <si>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</si>
  <si>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</si>
  <si>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</si>
  <si>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</si>
  <si>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</si>
  <si>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</si>
  <si>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</si>
  <si>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</si>
  <si>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</si>
  <si>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</si>
  <si>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</si>
  <si>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</si>
  <si>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</si>
  <si>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</si>
  <si>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</si>
  <si>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</si>
  <si>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</si>
  <si>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</si>
  <si>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</si>
  <si>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</si>
  <si>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</si>
  <si>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</si>
  <si>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</si>
  <si>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</si>
  <si>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</si>
  <si>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</si>
  <si>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</si>
  <si>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</si>
  <si>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</si>
  <si>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</si>
  <si>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</si>
  <si>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</si>
  <si>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</si>
  <si>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</si>
  <si>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</si>
  <si>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</si>
  <si>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</si>
  <si>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</si>
  <si>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</si>
  <si>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</si>
  <si>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</si>
  <si>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</si>
  <si>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</si>
  <si>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</si>
  <si>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</si>
  <si>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</si>
  <si>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</si>
  <si>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</si>
  <si>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</si>
  <si>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</si>
  <si>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</si>
  <si>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</si>
  <si>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</si>
  <si>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</si>
  <si>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</si>
  <si>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</si>
  <si>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</si>
  <si>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</si>
  <si>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</si>
  <si>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</si>
  <si>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</si>
  <si>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</si>
  <si>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</si>
  <si>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</si>
  <si>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</si>
  <si>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</si>
  <si>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</si>
  <si>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</si>
  <si>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</si>
  <si>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</si>
  <si>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</si>
  <si>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</si>
  <si>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</si>
  <si>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</si>
  <si>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</si>
  <si>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</si>
  <si>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</si>
  <si>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</si>
  <si>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</si>
  <si>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</si>
  <si>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</si>
  <si>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</si>
  <si>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</si>
  <si>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</si>
  <si>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</si>
  <si>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</si>
  <si>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</si>
  <si>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</si>
  <si>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</si>
  <si>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</si>
  <si>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</si>
  <si>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</si>
  <si>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</si>
  <si>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</si>
  <si>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</si>
  <si>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</si>
  <si>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</si>
  <si>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</si>
  <si>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</si>
  <si>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</si>
  <si>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</si>
  <si>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</si>
  <si>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</si>
  <si>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</si>
  <si>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</si>
  <si>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</si>
  <si>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</si>
  <si>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</si>
  <si>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</si>
  <si>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</si>
  <si>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</si>
  <si>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</si>
  <si>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</si>
  <si>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</si>
  <si>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</si>
  <si>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</si>
  <si>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</si>
  <si>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</si>
  <si>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</si>
  <si>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</si>
  <si>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</si>
  <si>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</si>
  <si>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</si>
  <si>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</si>
  <si>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</si>
  <si>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</si>
  <si>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</si>
  <si>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</si>
  <si>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</si>
  <si>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</si>
  <si>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</si>
  <si>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</si>
  <si>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</si>
  <si>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</si>
  <si>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</si>
  <si>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</si>
  <si>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</si>
  <si>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</si>
  <si>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</si>
  <si>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</si>
  <si>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</si>
  <si>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</si>
  <si>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</si>
  <si>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</si>
  <si>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</si>
  <si>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</si>
  <si>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</si>
  <si>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</si>
  <si>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</si>
  <si>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</si>
  <si>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</si>
  <si>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</si>
  <si>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</si>
  <si>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</si>
  <si>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</si>
  <si>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</si>
  <si>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</si>
  <si>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</si>
  <si>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</si>
  <si>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</si>
  <si>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</si>
  <si>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</si>
  <si>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</si>
  <si>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</si>
  <si>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</si>
  <si>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</si>
  <si>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</si>
  <si>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</si>
  <si>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</si>
  <si>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</si>
  <si>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</si>
  <si>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</si>
  <si>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</si>
  <si>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</si>
  <si>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</si>
  <si>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</si>
  <si>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</si>
  <si>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</si>
  <si>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</si>
  <si>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</si>
  <si>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</si>
  <si>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</si>
  <si>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</si>
  <si>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</si>
  <si>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</si>
  <si>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</si>
  <si>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</si>
  <si>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</si>
  <si>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</si>
  <si>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</si>
  <si>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</si>
  <si>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</si>
  <si>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</si>
  <si>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</si>
  <si>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</si>
  <si>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</si>
  <si>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</si>
  <si>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</si>
  <si>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</si>
  <si>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</si>
  <si>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</si>
  <si>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</si>
  <si>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</si>
  <si>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</si>
  <si>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</si>
  <si>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</si>
  <si>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</si>
  <si>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</si>
  <si>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</si>
  <si>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</si>
  <si>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</si>
  <si>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</si>
  <si>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</si>
  <si>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</si>
  <si>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</si>
  <si>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</si>
  <si>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</si>
  <si>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</si>
  <si>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</si>
  <si>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</si>
  <si>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</si>
  <si>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</si>
  <si>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</si>
  <si>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</si>
  <si>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</si>
  <si>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</si>
  <si>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</si>
  <si>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</si>
  <si>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</si>
  <si>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</si>
  <si>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</si>
  <si>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</si>
  <si>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</si>
  <si>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</si>
  <si>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</si>
  <si>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</si>
  <si>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</si>
  <si>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</si>
  <si>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</si>
  <si>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</si>
  <si>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</si>
  <si>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</si>
  <si>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</si>
  <si>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</si>
  <si>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</si>
  <si>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</si>
  <si>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</si>
  <si>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</si>
  <si>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</si>
  <si>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</si>
  <si>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</si>
  <si>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</si>
  <si>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</si>
  <si>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</si>
  <si>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</si>
  <si>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</si>
  <si>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</si>
  <si>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</si>
  <si>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</si>
  <si>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</si>
  <si>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</si>
  <si>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</si>
  <si>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</si>
  <si>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</si>
  <si>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</si>
  <si>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</si>
  <si>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</si>
  <si>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</si>
  <si>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</si>
  <si>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46021</t>
  </si>
  <si>
    <t>SINT-NIKLAAS</t>
  </si>
  <si>
    <t>Fluvius</t>
  </si>
  <si>
    <t>referentietaak LNE (2017); Jaarverslag De Lijn</t>
  </si>
  <si>
    <t>Acomus bvba</t>
  </si>
  <si>
    <t>Entrepotstraat 16 , 9100 Sint-Niklaas</t>
  </si>
  <si>
    <t>WKK-0353 Acomus</t>
  </si>
  <si>
    <t>interne verbrandingsmotor</t>
  </si>
  <si>
    <t>WKK interne verbrandinsgmotor (gas)</t>
  </si>
  <si>
    <t>INTERGEM</t>
  </si>
  <si>
    <t>MNtechnics bvba</t>
  </si>
  <si>
    <t>Anthonis De Jonghestraat 96 , 9100 Nieuwkerken-Waas</t>
  </si>
  <si>
    <t>WKK-0361 ALTech</t>
  </si>
  <si>
    <t>Vleeswarenfabriek De Cock NV</t>
  </si>
  <si>
    <t>Industriepark-Noord 14 , 9100 Sint-Niklaas</t>
  </si>
  <si>
    <t>WKK-0473 Vleeswarenfabriek De Cock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</si>
</sst>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524298.40309403196</c:v>
                </c:pt>
                <c:pt idx="1">
                  <c:v>328003.05329881719</c:v>
                </c:pt>
                <c:pt idx="2">
                  <c:v>3422.3209999999999</c:v>
                </c:pt>
                <c:pt idx="3">
                  <c:v>23914.539876105759</c:v>
                </c:pt>
                <c:pt idx="4">
                  <c:v>162665.4259612805</c:v>
                </c:pt>
                <c:pt idx="5">
                  <c:v>544842.02576558199</c:v>
                </c:pt>
                <c:pt idx="6">
                  <c:v>10175.527597268338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524298.40309403196</c:v>
                </c:pt>
                <c:pt idx="1">
                  <c:v>328003.05329881719</c:v>
                </c:pt>
                <c:pt idx="2">
                  <c:v>3422.3209999999999</c:v>
                </c:pt>
                <c:pt idx="3">
                  <c:v>23914.539876105759</c:v>
                </c:pt>
                <c:pt idx="4">
                  <c:v>162665.4259612805</c:v>
                </c:pt>
                <c:pt idx="5">
                  <c:v>544842.02576558199</c:v>
                </c:pt>
                <c:pt idx="6">
                  <c:v>10175.527597268338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94451.808565153216</c:v>
                </c:pt>
                <c:pt idx="2">
                  <c:v>66485.979923534003</c:v>
                </c:pt>
                <c:pt idx="3">
                  <c:v>702.93025608476432</c:v>
                </c:pt>
                <c:pt idx="4">
                  <c:v>6036.9458653364491</c:v>
                </c:pt>
                <c:pt idx="5">
                  <c:v>33223.097821532683</c:v>
                </c:pt>
                <c:pt idx="6">
                  <c:v>136484.68408440176</c:v>
                </c:pt>
                <c:pt idx="7">
                  <c:v>2570.8632167783876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94451.808565153216</c:v>
                </c:pt>
                <c:pt idx="2">
                  <c:v>66485.979923534003</c:v>
                </c:pt>
                <c:pt idx="3">
                  <c:v>702.93025608476432</c:v>
                </c:pt>
                <c:pt idx="4">
                  <c:v>6036.9458653364491</c:v>
                </c:pt>
                <c:pt idx="5">
                  <c:v>33223.097821532683</c:v>
                </c:pt>
                <c:pt idx="6">
                  <c:v>136484.68408440176</c:v>
                </c:pt>
                <c:pt idx="7">
                  <c:v>2570.8632167783876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46021</v>
      </c>
      <c r="B6" s="390"/>
      <c r="C6" s="391"/>
    </row>
    <row r="7" spans="1:7" s="388" customFormat="1" ht="15.75" customHeight="1">
      <c r="A7" s="392" t="str">
        <f>txtMunicipality</f>
        <v>SINT-NIKLAAS</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0.20539576973777865</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0.20539576973777865</v>
      </c>
      <c r="C29" s="499">
        <f ca="1">'EF ele_warmte'!B22</f>
        <v>0.23764705882352941</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31807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3812.47</v>
      </c>
      <c r="C14" s="330"/>
      <c r="D14" s="330"/>
      <c r="E14" s="330"/>
      <c r="F14" s="330"/>
    </row>
    <row r="15" spans="1:6">
      <c r="A15" s="1293" t="s">
        <v>183</v>
      </c>
      <c r="B15" s="1294">
        <v>51</v>
      </c>
      <c r="C15" s="330"/>
      <c r="D15" s="330"/>
      <c r="E15" s="330"/>
      <c r="F15" s="330"/>
    </row>
    <row r="16" spans="1:6">
      <c r="A16" s="1293" t="s">
        <v>6</v>
      </c>
      <c r="B16" s="1294">
        <v>2199</v>
      </c>
      <c r="C16" s="330"/>
      <c r="D16" s="330"/>
      <c r="E16" s="330"/>
      <c r="F16" s="330"/>
    </row>
    <row r="17" spans="1:6">
      <c r="A17" s="1293" t="s">
        <v>7</v>
      </c>
      <c r="B17" s="1294">
        <v>1021</v>
      </c>
      <c r="C17" s="330"/>
      <c r="D17" s="330"/>
      <c r="E17" s="330"/>
      <c r="F17" s="330"/>
    </row>
    <row r="18" spans="1:6">
      <c r="A18" s="1293" t="s">
        <v>8</v>
      </c>
      <c r="B18" s="1294">
        <v>2050</v>
      </c>
      <c r="C18" s="330"/>
      <c r="D18" s="330"/>
      <c r="E18" s="330"/>
      <c r="F18" s="330"/>
    </row>
    <row r="19" spans="1:6">
      <c r="A19" s="1293" t="s">
        <v>9</v>
      </c>
      <c r="B19" s="1294">
        <v>1945</v>
      </c>
      <c r="C19" s="330"/>
      <c r="D19" s="330"/>
      <c r="E19" s="330"/>
      <c r="F19" s="330"/>
    </row>
    <row r="20" spans="1:6">
      <c r="A20" s="1293" t="s">
        <v>10</v>
      </c>
      <c r="B20" s="1294">
        <v>818</v>
      </c>
      <c r="C20" s="330"/>
      <c r="D20" s="330"/>
      <c r="E20" s="330"/>
      <c r="F20" s="330"/>
    </row>
    <row r="21" spans="1:6">
      <c r="A21" s="1293" t="s">
        <v>11</v>
      </c>
      <c r="B21" s="1294">
        <v>14285</v>
      </c>
      <c r="C21" s="330"/>
      <c r="D21" s="330"/>
      <c r="E21" s="330"/>
      <c r="F21" s="330"/>
    </row>
    <row r="22" spans="1:6">
      <c r="A22" s="1293" t="s">
        <v>12</v>
      </c>
      <c r="B22" s="1294">
        <v>27071</v>
      </c>
      <c r="C22" s="330"/>
      <c r="D22" s="330"/>
      <c r="E22" s="330"/>
      <c r="F22" s="330"/>
    </row>
    <row r="23" spans="1:6">
      <c r="A23" s="1293" t="s">
        <v>13</v>
      </c>
      <c r="B23" s="1294">
        <v>742</v>
      </c>
      <c r="C23" s="330"/>
      <c r="D23" s="330"/>
      <c r="E23" s="330"/>
      <c r="F23" s="330"/>
    </row>
    <row r="24" spans="1:6">
      <c r="A24" s="1293" t="s">
        <v>14</v>
      </c>
      <c r="B24" s="1294">
        <v>33</v>
      </c>
      <c r="C24" s="330"/>
      <c r="D24" s="330"/>
      <c r="E24" s="330"/>
      <c r="F24" s="330"/>
    </row>
    <row r="25" spans="1:6">
      <c r="A25" s="1293" t="s">
        <v>15</v>
      </c>
      <c r="B25" s="1294">
        <v>3484</v>
      </c>
      <c r="C25" s="330"/>
      <c r="D25" s="330"/>
      <c r="E25" s="330"/>
      <c r="F25" s="330"/>
    </row>
    <row r="26" spans="1:6">
      <c r="A26" s="1293" t="s">
        <v>16</v>
      </c>
      <c r="B26" s="1294">
        <v>269</v>
      </c>
      <c r="C26" s="330"/>
      <c r="D26" s="330"/>
      <c r="E26" s="330"/>
      <c r="F26" s="330"/>
    </row>
    <row r="27" spans="1:6">
      <c r="A27" s="1293" t="s">
        <v>17</v>
      </c>
      <c r="B27" s="1294">
        <v>785</v>
      </c>
      <c r="C27" s="330"/>
      <c r="D27" s="330"/>
      <c r="E27" s="330"/>
      <c r="F27" s="330"/>
    </row>
    <row r="28" spans="1:6" s="43" customFormat="1">
      <c r="A28" s="1295" t="s">
        <v>18</v>
      </c>
      <c r="B28" s="1296">
        <v>239974</v>
      </c>
      <c r="C28" s="336"/>
      <c r="D28" s="336"/>
      <c r="E28" s="336"/>
      <c r="F28" s="336"/>
    </row>
    <row r="29" spans="1:6">
      <c r="A29" s="1295" t="s">
        <v>734</v>
      </c>
      <c r="B29" s="1296">
        <v>596</v>
      </c>
      <c r="C29" s="336"/>
      <c r="D29" s="336"/>
      <c r="E29" s="336"/>
      <c r="F29" s="336"/>
    </row>
    <row r="30" spans="1:6">
      <c r="A30" s="1288" t="s">
        <v>735</v>
      </c>
      <c r="B30" s="1297">
        <v>134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4</v>
      </c>
      <c r="D36" s="1294">
        <v>1168707.2153197799</v>
      </c>
      <c r="E36" s="1294">
        <v>9</v>
      </c>
      <c r="F36" s="1294">
        <v>296073.84110863903</v>
      </c>
    </row>
    <row r="37" spans="1:6">
      <c r="A37" s="1293" t="s">
        <v>24</v>
      </c>
      <c r="B37" s="1293" t="s">
        <v>27</v>
      </c>
      <c r="C37" s="1294">
        <v>0</v>
      </c>
      <c r="D37" s="1294">
        <v>0</v>
      </c>
      <c r="E37" s="1294">
        <v>0</v>
      </c>
      <c r="F37" s="1294">
        <v>0</v>
      </c>
    </row>
    <row r="38" spans="1:6">
      <c r="A38" s="1293" t="s">
        <v>24</v>
      </c>
      <c r="B38" s="1293" t="s">
        <v>28</v>
      </c>
      <c r="C38" s="1294">
        <v>2</v>
      </c>
      <c r="D38" s="1294">
        <v>372558.53412400599</v>
      </c>
      <c r="E38" s="1294">
        <v>4</v>
      </c>
      <c r="F38" s="1294">
        <v>61971.215131896803</v>
      </c>
    </row>
    <row r="39" spans="1:6">
      <c r="A39" s="1293" t="s">
        <v>29</v>
      </c>
      <c r="B39" s="1293" t="s">
        <v>30</v>
      </c>
      <c r="C39" s="1294">
        <v>24045</v>
      </c>
      <c r="D39" s="1294">
        <v>343380839.06624198</v>
      </c>
      <c r="E39" s="1294">
        <v>31412</v>
      </c>
      <c r="F39" s="1294">
        <v>102531107.320272</v>
      </c>
    </row>
    <row r="40" spans="1:6">
      <c r="A40" s="1293" t="s">
        <v>29</v>
      </c>
      <c r="B40" s="1293" t="s">
        <v>28</v>
      </c>
      <c r="C40" s="1294">
        <v>0</v>
      </c>
      <c r="D40" s="1294">
        <v>0</v>
      </c>
      <c r="E40" s="1294">
        <v>1</v>
      </c>
      <c r="F40" s="1294">
        <v>10790.4370184896</v>
      </c>
    </row>
    <row r="41" spans="1:6">
      <c r="A41" s="1293" t="s">
        <v>31</v>
      </c>
      <c r="B41" s="1293" t="s">
        <v>32</v>
      </c>
      <c r="C41" s="1294">
        <v>290</v>
      </c>
      <c r="D41" s="1294">
        <v>7043916.6110952403</v>
      </c>
      <c r="E41" s="1294">
        <v>605</v>
      </c>
      <c r="F41" s="1294">
        <v>6991520.4210751504</v>
      </c>
    </row>
    <row r="42" spans="1:6">
      <c r="A42" s="1293" t="s">
        <v>31</v>
      </c>
      <c r="B42" s="1293" t="s">
        <v>33</v>
      </c>
      <c r="C42" s="1294">
        <v>5</v>
      </c>
      <c r="D42" s="1294">
        <v>4802575.2629982997</v>
      </c>
      <c r="E42" s="1294">
        <v>5</v>
      </c>
      <c r="F42" s="1294">
        <v>2216585.5272681401</v>
      </c>
    </row>
    <row r="43" spans="1:6">
      <c r="A43" s="1293" t="s">
        <v>31</v>
      </c>
      <c r="B43" s="1293" t="s">
        <v>34</v>
      </c>
      <c r="C43" s="1294">
        <v>0</v>
      </c>
      <c r="D43" s="1294">
        <v>0</v>
      </c>
      <c r="E43" s="1294">
        <v>3</v>
      </c>
      <c r="F43" s="1294">
        <v>18898.927528216798</v>
      </c>
    </row>
    <row r="44" spans="1:6">
      <c r="A44" s="1293" t="s">
        <v>31</v>
      </c>
      <c r="B44" s="1293" t="s">
        <v>35</v>
      </c>
      <c r="C44" s="1294">
        <v>25</v>
      </c>
      <c r="D44" s="1294">
        <v>10586452.987012001</v>
      </c>
      <c r="E44" s="1294">
        <v>75</v>
      </c>
      <c r="F44" s="1294">
        <v>12388241.247847499</v>
      </c>
    </row>
    <row r="45" spans="1:6">
      <c r="A45" s="1293" t="s">
        <v>31</v>
      </c>
      <c r="B45" s="1293" t="s">
        <v>36</v>
      </c>
      <c r="C45" s="1294">
        <v>0</v>
      </c>
      <c r="D45" s="1294">
        <v>0</v>
      </c>
      <c r="E45" s="1294">
        <v>13</v>
      </c>
      <c r="F45" s="1294">
        <v>229341.46295931001</v>
      </c>
    </row>
    <row r="46" spans="1:6">
      <c r="A46" s="1293" t="s">
        <v>31</v>
      </c>
      <c r="B46" s="1293" t="s">
        <v>37</v>
      </c>
      <c r="C46" s="1294">
        <v>0</v>
      </c>
      <c r="D46" s="1294">
        <v>0</v>
      </c>
      <c r="E46" s="1294">
        <v>0</v>
      </c>
      <c r="F46" s="1294">
        <v>0</v>
      </c>
    </row>
    <row r="47" spans="1:6">
      <c r="A47" s="1293" t="s">
        <v>31</v>
      </c>
      <c r="B47" s="1293" t="s">
        <v>38</v>
      </c>
      <c r="C47" s="1294">
        <v>17</v>
      </c>
      <c r="D47" s="1294">
        <v>1571534.59705377</v>
      </c>
      <c r="E47" s="1294">
        <v>20</v>
      </c>
      <c r="F47" s="1294">
        <v>1856686.21343236</v>
      </c>
    </row>
    <row r="48" spans="1:6">
      <c r="A48" s="1293" t="s">
        <v>31</v>
      </c>
      <c r="B48" s="1293" t="s">
        <v>28</v>
      </c>
      <c r="C48" s="1294">
        <v>105</v>
      </c>
      <c r="D48" s="1294">
        <v>34815918.6144666</v>
      </c>
      <c r="E48" s="1294">
        <v>87</v>
      </c>
      <c r="F48" s="1294">
        <v>37965426.136381097</v>
      </c>
    </row>
    <row r="49" spans="1:6">
      <c r="A49" s="1293" t="s">
        <v>31</v>
      </c>
      <c r="B49" s="1293" t="s">
        <v>39</v>
      </c>
      <c r="C49" s="1294">
        <v>7</v>
      </c>
      <c r="D49" s="1294">
        <v>184484.64590441599</v>
      </c>
      <c r="E49" s="1294">
        <v>26</v>
      </c>
      <c r="F49" s="1294">
        <v>1733726.37319656</v>
      </c>
    </row>
    <row r="50" spans="1:6">
      <c r="A50" s="1293" t="s">
        <v>31</v>
      </c>
      <c r="B50" s="1293" t="s">
        <v>40</v>
      </c>
      <c r="C50" s="1294">
        <v>35</v>
      </c>
      <c r="D50" s="1294">
        <v>8389857.2296313401</v>
      </c>
      <c r="E50" s="1294">
        <v>53</v>
      </c>
      <c r="F50" s="1294">
        <v>13548484.2931745</v>
      </c>
    </row>
    <row r="51" spans="1:6">
      <c r="A51" s="1293" t="s">
        <v>41</v>
      </c>
      <c r="B51" s="1293" t="s">
        <v>42</v>
      </c>
      <c r="C51" s="1294">
        <v>23</v>
      </c>
      <c r="D51" s="1294">
        <v>510804.15066495002</v>
      </c>
      <c r="E51" s="1294">
        <v>160</v>
      </c>
      <c r="F51" s="1294">
        <v>3606625.2179210298</v>
      </c>
    </row>
    <row r="52" spans="1:6">
      <c r="A52" s="1293" t="s">
        <v>41</v>
      </c>
      <c r="B52" s="1293" t="s">
        <v>28</v>
      </c>
      <c r="C52" s="1294">
        <v>15</v>
      </c>
      <c r="D52" s="1294">
        <v>1952369.2736520299</v>
      </c>
      <c r="E52" s="1294">
        <v>23</v>
      </c>
      <c r="F52" s="1294">
        <v>455523.42621062702</v>
      </c>
    </row>
    <row r="53" spans="1:6">
      <c r="A53" s="1293" t="s">
        <v>43</v>
      </c>
      <c r="B53" s="1293" t="s">
        <v>44</v>
      </c>
      <c r="C53" s="1294">
        <v>618</v>
      </c>
      <c r="D53" s="1294">
        <v>14747009.781358199</v>
      </c>
      <c r="E53" s="1294">
        <v>1287</v>
      </c>
      <c r="F53" s="1294">
        <v>4549954.1484961798</v>
      </c>
    </row>
    <row r="54" spans="1:6">
      <c r="A54" s="1293" t="s">
        <v>45</v>
      </c>
      <c r="B54" s="1293" t="s">
        <v>46</v>
      </c>
      <c r="C54" s="1294">
        <v>0</v>
      </c>
      <c r="D54" s="1294">
        <v>0</v>
      </c>
      <c r="E54" s="1294">
        <v>1</v>
      </c>
      <c r="F54" s="1294">
        <v>3422321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296</v>
      </c>
      <c r="D57" s="1294">
        <v>21267759.609456301</v>
      </c>
      <c r="E57" s="1294">
        <v>334</v>
      </c>
      <c r="F57" s="1294">
        <v>8074680.3013407299</v>
      </c>
    </row>
    <row r="58" spans="1:6">
      <c r="A58" s="1293" t="s">
        <v>48</v>
      </c>
      <c r="B58" s="1293" t="s">
        <v>50</v>
      </c>
      <c r="C58" s="1294">
        <v>184</v>
      </c>
      <c r="D58" s="1294">
        <v>36593749.663712002</v>
      </c>
      <c r="E58" s="1294">
        <v>324</v>
      </c>
      <c r="F58" s="1294">
        <v>19549488.4235048</v>
      </c>
    </row>
    <row r="59" spans="1:6">
      <c r="A59" s="1293" t="s">
        <v>48</v>
      </c>
      <c r="B59" s="1293" t="s">
        <v>51</v>
      </c>
      <c r="C59" s="1294">
        <v>613</v>
      </c>
      <c r="D59" s="1294">
        <v>37345387.153111704</v>
      </c>
      <c r="E59" s="1294">
        <v>1134</v>
      </c>
      <c r="F59" s="1294">
        <v>43035136.448682003</v>
      </c>
    </row>
    <row r="60" spans="1:6">
      <c r="A60" s="1293" t="s">
        <v>48</v>
      </c>
      <c r="B60" s="1293" t="s">
        <v>52</v>
      </c>
      <c r="C60" s="1294">
        <v>260</v>
      </c>
      <c r="D60" s="1294">
        <v>13090290.6114162</v>
      </c>
      <c r="E60" s="1294">
        <v>324</v>
      </c>
      <c r="F60" s="1294">
        <v>9502456.1140528806</v>
      </c>
    </row>
    <row r="61" spans="1:6">
      <c r="A61" s="1293" t="s">
        <v>48</v>
      </c>
      <c r="B61" s="1293" t="s">
        <v>53</v>
      </c>
      <c r="C61" s="1294">
        <v>865</v>
      </c>
      <c r="D61" s="1294">
        <v>52071720.326429799</v>
      </c>
      <c r="E61" s="1294">
        <v>1894</v>
      </c>
      <c r="F61" s="1294">
        <v>35884532.390108101</v>
      </c>
    </row>
    <row r="62" spans="1:6">
      <c r="A62" s="1293" t="s">
        <v>48</v>
      </c>
      <c r="B62" s="1293" t="s">
        <v>54</v>
      </c>
      <c r="C62" s="1294">
        <v>84</v>
      </c>
      <c r="D62" s="1294">
        <v>12042354.8673904</v>
      </c>
      <c r="E62" s="1294">
        <v>97</v>
      </c>
      <c r="F62" s="1294">
        <v>3610870.39923649</v>
      </c>
    </row>
    <row r="63" spans="1:6">
      <c r="A63" s="1293" t="s">
        <v>48</v>
      </c>
      <c r="B63" s="1293" t="s">
        <v>28</v>
      </c>
      <c r="C63" s="1294">
        <v>234</v>
      </c>
      <c r="D63" s="1294">
        <v>14102767.937827</v>
      </c>
      <c r="E63" s="1294">
        <v>258</v>
      </c>
      <c r="F63" s="1294">
        <v>8035103.0462460397</v>
      </c>
    </row>
    <row r="64" spans="1:6">
      <c r="A64" s="1293" t="s">
        <v>55</v>
      </c>
      <c r="B64" s="1293" t="s">
        <v>56</v>
      </c>
      <c r="C64" s="1294">
        <v>0</v>
      </c>
      <c r="D64" s="1294">
        <v>0</v>
      </c>
      <c r="E64" s="1294">
        <v>0</v>
      </c>
      <c r="F64" s="1294">
        <v>0</v>
      </c>
    </row>
    <row r="65" spans="1:6">
      <c r="A65" s="1293" t="s">
        <v>55</v>
      </c>
      <c r="B65" s="1293" t="s">
        <v>28</v>
      </c>
      <c r="C65" s="1294">
        <v>11</v>
      </c>
      <c r="D65" s="1294">
        <v>460476.06060595397</v>
      </c>
      <c r="E65" s="1294">
        <v>10</v>
      </c>
      <c r="F65" s="1294">
        <v>74320.205076729297</v>
      </c>
    </row>
    <row r="66" spans="1:6">
      <c r="A66" s="1293" t="s">
        <v>55</v>
      </c>
      <c r="B66" s="1293" t="s">
        <v>57</v>
      </c>
      <c r="C66" s="1294">
        <v>3</v>
      </c>
      <c r="D66" s="1294">
        <v>370399.37695613602</v>
      </c>
      <c r="E66" s="1294">
        <v>30</v>
      </c>
      <c r="F66" s="1294">
        <v>1214271.7907595099</v>
      </c>
    </row>
    <row r="67" spans="1:6">
      <c r="A67" s="1295" t="s">
        <v>55</v>
      </c>
      <c r="B67" s="1295" t="s">
        <v>58</v>
      </c>
      <c r="C67" s="1294">
        <v>0</v>
      </c>
      <c r="D67" s="1294">
        <v>0</v>
      </c>
      <c r="E67" s="1294">
        <v>0</v>
      </c>
      <c r="F67" s="1294">
        <v>0</v>
      </c>
    </row>
    <row r="68" spans="1:6">
      <c r="A68" s="1288" t="s">
        <v>55</v>
      </c>
      <c r="B68" s="1288" t="s">
        <v>59</v>
      </c>
      <c r="C68" s="1297">
        <v>6</v>
      </c>
      <c r="D68" s="1297">
        <v>397192.75111665099</v>
      </c>
      <c r="E68" s="1297">
        <v>36</v>
      </c>
      <c r="F68" s="1297">
        <v>582244.28813698504</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179028598</v>
      </c>
      <c r="E73" s="449"/>
      <c r="F73" s="330"/>
    </row>
    <row r="74" spans="1:6">
      <c r="A74" s="1293" t="s">
        <v>63</v>
      </c>
      <c r="B74" s="1293" t="s">
        <v>656</v>
      </c>
      <c r="C74" s="1307" t="s">
        <v>658</v>
      </c>
      <c r="D74" s="1308">
        <v>21769516.5</v>
      </c>
      <c r="E74" s="449"/>
      <c r="F74" s="330"/>
    </row>
    <row r="75" spans="1:6">
      <c r="A75" s="1293" t="s">
        <v>64</v>
      </c>
      <c r="B75" s="1293" t="s">
        <v>655</v>
      </c>
      <c r="C75" s="1307" t="s">
        <v>659</v>
      </c>
      <c r="D75" s="1308">
        <v>168304855</v>
      </c>
      <c r="E75" s="449"/>
      <c r="F75" s="330"/>
    </row>
    <row r="76" spans="1:6">
      <c r="A76" s="1293" t="s">
        <v>64</v>
      </c>
      <c r="B76" s="1293" t="s">
        <v>656</v>
      </c>
      <c r="C76" s="1307" t="s">
        <v>660</v>
      </c>
      <c r="D76" s="1308">
        <v>11238192.5</v>
      </c>
      <c r="E76" s="449"/>
      <c r="F76" s="330"/>
    </row>
    <row r="77" spans="1:6">
      <c r="A77" s="1293" t="s">
        <v>65</v>
      </c>
      <c r="B77" s="1293" t="s">
        <v>655</v>
      </c>
      <c r="C77" s="1307" t="s">
        <v>661</v>
      </c>
      <c r="D77" s="1308">
        <v>136854791</v>
      </c>
      <c r="E77" s="449"/>
      <c r="F77" s="330"/>
    </row>
    <row r="78" spans="1:6">
      <c r="A78" s="1288" t="s">
        <v>65</v>
      </c>
      <c r="B78" s="1288" t="s">
        <v>656</v>
      </c>
      <c r="C78" s="1288" t="s">
        <v>662</v>
      </c>
      <c r="D78" s="1309">
        <v>32656558</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2775189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11603.510057496544</v>
      </c>
      <c r="C91" s="330"/>
      <c r="D91" s="330"/>
      <c r="E91" s="330"/>
      <c r="F91" s="330"/>
    </row>
    <row r="92" spans="1:6">
      <c r="A92" s="1288" t="s">
        <v>68</v>
      </c>
      <c r="B92" s="1289">
        <v>11867.130550530925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16810</v>
      </c>
      <c r="C97" s="330"/>
      <c r="D97" s="330"/>
      <c r="E97" s="330"/>
      <c r="F97" s="330"/>
    </row>
    <row r="98" spans="1:6">
      <c r="A98" s="1293" t="s">
        <v>71</v>
      </c>
      <c r="B98" s="1294">
        <v>15</v>
      </c>
      <c r="C98" s="330"/>
      <c r="D98" s="330"/>
      <c r="E98" s="330"/>
      <c r="F98" s="330"/>
    </row>
    <row r="99" spans="1:6">
      <c r="A99" s="1293" t="s">
        <v>72</v>
      </c>
      <c r="B99" s="1294">
        <v>215</v>
      </c>
      <c r="C99" s="330"/>
      <c r="D99" s="330"/>
      <c r="E99" s="330"/>
      <c r="F99" s="330"/>
    </row>
    <row r="100" spans="1:6">
      <c r="A100" s="1293" t="s">
        <v>73</v>
      </c>
      <c r="B100" s="1294">
        <v>2077</v>
      </c>
      <c r="C100" s="330"/>
      <c r="D100" s="330"/>
      <c r="E100" s="330"/>
      <c r="F100" s="330"/>
    </row>
    <row r="101" spans="1:6">
      <c r="A101" s="1293" t="s">
        <v>74</v>
      </c>
      <c r="B101" s="1294">
        <v>290</v>
      </c>
      <c r="C101" s="330"/>
      <c r="D101" s="330"/>
      <c r="E101" s="330"/>
      <c r="F101" s="330"/>
    </row>
    <row r="102" spans="1:6">
      <c r="A102" s="1293" t="s">
        <v>75</v>
      </c>
      <c r="B102" s="1294">
        <v>856</v>
      </c>
      <c r="C102" s="330"/>
      <c r="D102" s="330"/>
      <c r="E102" s="330"/>
      <c r="F102" s="330"/>
    </row>
    <row r="103" spans="1:6">
      <c r="A103" s="1293" t="s">
        <v>76</v>
      </c>
      <c r="B103" s="1294">
        <v>965</v>
      </c>
      <c r="C103" s="330"/>
      <c r="D103" s="330"/>
      <c r="E103" s="330"/>
      <c r="F103" s="330"/>
    </row>
    <row r="104" spans="1:6">
      <c r="A104" s="1293" t="s">
        <v>77</v>
      </c>
      <c r="B104" s="1294">
        <v>6412</v>
      </c>
      <c r="C104" s="330"/>
      <c r="D104" s="330"/>
      <c r="E104" s="330"/>
      <c r="F104" s="330"/>
    </row>
    <row r="105" spans="1:6">
      <c r="A105" s="1288" t="s">
        <v>78</v>
      </c>
      <c r="B105" s="1297">
        <v>32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1</v>
      </c>
      <c r="C122" s="1294">
        <v>0</v>
      </c>
      <c r="D122" s="330"/>
      <c r="E122" s="330"/>
      <c r="F122" s="330"/>
    </row>
    <row r="123" spans="1:6">
      <c r="A123" s="1293" t="s">
        <v>87</v>
      </c>
      <c r="B123" s="1294">
        <v>153</v>
      </c>
      <c r="C123" s="1294">
        <v>117</v>
      </c>
      <c r="D123" s="330"/>
      <c r="E123" s="330"/>
      <c r="F123" s="330"/>
    </row>
    <row r="124" spans="1:6" s="43" customFormat="1">
      <c r="A124" s="1295" t="s">
        <v>88</v>
      </c>
      <c r="B124" s="1316">
        <v>4</v>
      </c>
      <c r="C124" s="1316">
        <v>5</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500</v>
      </c>
      <c r="C129" s="330"/>
      <c r="D129" s="330"/>
      <c r="E129" s="330"/>
      <c r="F129" s="330"/>
    </row>
    <row r="130" spans="1:6">
      <c r="A130" s="1293" t="s">
        <v>294</v>
      </c>
      <c r="B130" s="1294">
        <v>11</v>
      </c>
      <c r="C130" s="330"/>
      <c r="D130" s="330"/>
      <c r="E130" s="330"/>
      <c r="F130" s="330"/>
    </row>
    <row r="131" spans="1:6">
      <c r="A131" s="1293" t="s">
        <v>295</v>
      </c>
      <c r="B131" s="1294">
        <v>12</v>
      </c>
      <c r="C131" s="330"/>
      <c r="D131" s="330"/>
      <c r="E131" s="330"/>
      <c r="F131" s="330"/>
    </row>
    <row r="132" spans="1:6">
      <c r="A132" s="1288" t="s">
        <v>296</v>
      </c>
      <c r="B132" s="1289">
        <v>76</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331673.68921887141</v>
      </c>
      <c r="C3" s="43" t="s">
        <v>169</v>
      </c>
      <c r="D3" s="43"/>
      <c r="E3" s="154"/>
      <c r="F3" s="43"/>
      <c r="G3" s="43"/>
      <c r="H3" s="43"/>
      <c r="I3" s="43"/>
      <c r="J3" s="43"/>
      <c r="K3" s="96"/>
    </row>
    <row r="4" spans="1:11">
      <c r="A4" s="358" t="s">
        <v>170</v>
      </c>
      <c r="B4" s="49">
        <f>IF(ISERROR('SEAP template'!B78+'SEAP template'!C78),0,'SEAP template'!B78+'SEAP template'!C78)</f>
        <v>24161.390608027468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164.15470588235297</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0.20539576973777865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234.50672268907564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986.78571428571433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0.23764705882352941</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3422.3209999999999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3422.3209999999999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0.20539576973777865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702.93025608476432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102541.89775729048</v>
      </c>
      <c r="C5" s="17">
        <f>IF(ISERROR('Eigen informatie GS &amp; warmtenet'!B57),0,'Eigen informatie GS &amp; warmtenet'!B57)</f>
        <v>0</v>
      </c>
      <c r="D5" s="30">
        <f>(SUM(HH_hh_gas_kWh,HH_rest_gas_kWh)/1000)*0.902</f>
        <v>309729.51683775027</v>
      </c>
      <c r="E5" s="17">
        <f>B46*B57</f>
        <v>32086.638642337719</v>
      </c>
      <c r="F5" s="17">
        <f>B51*B62</f>
        <v>0</v>
      </c>
      <c r="G5" s="18"/>
      <c r="H5" s="17"/>
      <c r="I5" s="17"/>
      <c r="J5" s="17">
        <f>B50*B61+C50*C61</f>
        <v>3270.6081693959522</v>
      </c>
      <c r="K5" s="17"/>
      <c r="L5" s="17"/>
      <c r="M5" s="17"/>
      <c r="N5" s="17">
        <f>B48*B59+C48*C59</f>
        <v>59651.304963094313</v>
      </c>
      <c r="O5" s="17">
        <f>B69*B70*B71</f>
        <v>972.39333333333343</v>
      </c>
      <c r="P5" s="17">
        <f>B77*B78*B79/1000-B77*B78*B79/1000/B80</f>
        <v>4442.5333333333328</v>
      </c>
    </row>
    <row r="6" spans="1:16">
      <c r="A6" s="16" t="s">
        <v>620</v>
      </c>
      <c r="B6" s="762">
        <f>kWh_PV_kleiner_dan_10kW</f>
        <v>11603.510057496544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114145.40781478703</v>
      </c>
      <c r="C8" s="21">
        <f>C5</f>
        <v>0</v>
      </c>
      <c r="D8" s="21">
        <f>D5</f>
        <v>309729.51683775027</v>
      </c>
      <c r="E8" s="21">
        <f>E5</f>
        <v>32086.638642337719</v>
      </c>
      <c r="F8" s="21">
        <f>F5</f>
        <v>0</v>
      </c>
      <c r="G8" s="21"/>
      <c r="H8" s="21"/>
      <c r="I8" s="21"/>
      <c r="J8" s="21">
        <f>J5</f>
        <v>3270.6081693959522</v>
      </c>
      <c r="K8" s="21"/>
      <c r="L8" s="21">
        <f>L5</f>
        <v>0</v>
      </c>
      <c r="M8" s="21">
        <f>M5</f>
        <v>0</v>
      </c>
      <c r="N8" s="21">
        <f>N5</f>
        <v>59651.304963094313</v>
      </c>
      <c r="O8" s="21">
        <f>O5</f>
        <v>972.39333333333343</v>
      </c>
      <c r="P8" s="21">
        <f>P5</f>
        <v>4442.5333333333328</v>
      </c>
    </row>
    <row r="9" spans="1:16">
      <c r="B9" s="19"/>
      <c r="C9" s="19"/>
      <c r="D9" s="258"/>
      <c r="E9" s="19"/>
      <c r="F9" s="19"/>
      <c r="G9" s="19"/>
      <c r="H9" s="19"/>
      <c r="I9" s="19"/>
      <c r="J9" s="19"/>
      <c r="K9" s="19"/>
      <c r="L9" s="19"/>
      <c r="M9" s="19"/>
      <c r="N9" s="19"/>
      <c r="O9" s="19"/>
      <c r="P9" s="19"/>
    </row>
    <row r="10" spans="1:16">
      <c r="A10" s="24" t="s">
        <v>213</v>
      </c>
      <c r="B10" s="25">
        <f ca="1">'EF ele_warmte'!B12</f>
        <v>0.20539576973777865</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23444.983900150837</v>
      </c>
      <c r="C12" s="23">
        <f ca="1">C10*C8</f>
        <v>0</v>
      </c>
      <c r="D12" s="23">
        <f>D8*D10</f>
        <v>62565.36240122556</v>
      </c>
      <c r="E12" s="23">
        <f>E10*E8</f>
        <v>7283.6669718106623</v>
      </c>
      <c r="F12" s="23">
        <f>F10*F8</f>
        <v>0</v>
      </c>
      <c r="G12" s="23"/>
      <c r="H12" s="23"/>
      <c r="I12" s="23"/>
      <c r="J12" s="23">
        <f>J10*J8</f>
        <v>1157.795291966167</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16810</v>
      </c>
      <c r="C18" s="166" t="s">
        <v>110</v>
      </c>
      <c r="D18" s="228"/>
      <c r="E18" s="15"/>
    </row>
    <row r="19" spans="1:7">
      <c r="A19" s="171" t="s">
        <v>71</v>
      </c>
      <c r="B19" s="37">
        <f>aantalw2001_ander</f>
        <v>15</v>
      </c>
      <c r="C19" s="166" t="s">
        <v>110</v>
      </c>
      <c r="D19" s="229"/>
      <c r="E19" s="15"/>
    </row>
    <row r="20" spans="1:7">
      <c r="A20" s="171" t="s">
        <v>72</v>
      </c>
      <c r="B20" s="37">
        <f>aantalw2001_propaan</f>
        <v>215</v>
      </c>
      <c r="C20" s="167">
        <f>IF(ISERROR(B20/SUM($B$20,$B$21,$B$22)*100),0,B20/SUM($B$20,$B$21,$B$22)*100)</f>
        <v>8.3268783888458557</v>
      </c>
      <c r="D20" s="229"/>
      <c r="E20" s="15"/>
    </row>
    <row r="21" spans="1:7">
      <c r="A21" s="171" t="s">
        <v>73</v>
      </c>
      <c r="B21" s="37">
        <f>aantalw2001_elektriciteit</f>
        <v>2077</v>
      </c>
      <c r="C21" s="167">
        <f>IF(ISERROR(B21/SUM($B$20,$B$21,$B$22)*100),0,B21/SUM($B$20,$B$21,$B$22)*100)</f>
        <v>80.441518202943456</v>
      </c>
      <c r="D21" s="229"/>
      <c r="E21" s="15"/>
    </row>
    <row r="22" spans="1:7">
      <c r="A22" s="171" t="s">
        <v>74</v>
      </c>
      <c r="B22" s="37">
        <f>aantalw2001_hout</f>
        <v>290</v>
      </c>
      <c r="C22" s="167">
        <f>IF(ISERROR(B22/SUM($B$20,$B$21,$B$22)*100),0,B22/SUM($B$20,$B$21,$B$22)*100)</f>
        <v>11.23160340821069</v>
      </c>
      <c r="D22" s="229"/>
      <c r="E22" s="15"/>
    </row>
    <row r="23" spans="1:7">
      <c r="A23" s="171" t="s">
        <v>75</v>
      </c>
      <c r="B23" s="37">
        <f>aantalw2001_niet_gespec</f>
        <v>856</v>
      </c>
      <c r="C23" s="166" t="s">
        <v>110</v>
      </c>
      <c r="D23" s="228"/>
      <c r="E23" s="15"/>
    </row>
    <row r="24" spans="1:7">
      <c r="A24" s="171" t="s">
        <v>76</v>
      </c>
      <c r="B24" s="37">
        <f>aantalw2001_steenkool</f>
        <v>965</v>
      </c>
      <c r="C24" s="166" t="s">
        <v>110</v>
      </c>
      <c r="D24" s="229"/>
      <c r="E24" s="15"/>
    </row>
    <row r="25" spans="1:7">
      <c r="A25" s="171" t="s">
        <v>77</v>
      </c>
      <c r="B25" s="37">
        <f>aantalw2001_stookolie</f>
        <v>6412</v>
      </c>
      <c r="C25" s="166" t="s">
        <v>110</v>
      </c>
      <c r="D25" s="228"/>
      <c r="E25" s="52"/>
    </row>
    <row r="26" spans="1:7">
      <c r="A26" s="171" t="s">
        <v>78</v>
      </c>
      <c r="B26" s="37">
        <f>aantalw2001_WP</f>
        <v>32</v>
      </c>
      <c r="C26" s="166" t="s">
        <v>110</v>
      </c>
      <c r="D26" s="228"/>
      <c r="E26" s="15"/>
    </row>
    <row r="27" spans="1:7" s="15" customFormat="1">
      <c r="A27" s="171"/>
      <c r="B27" s="29"/>
      <c r="C27" s="36"/>
      <c r="D27" s="228"/>
    </row>
    <row r="28" spans="1:7" s="15" customFormat="1">
      <c r="A28" s="230" t="s">
        <v>780</v>
      </c>
      <c r="B28" s="37">
        <f>aantalHuishoudens</f>
        <v>31807</v>
      </c>
      <c r="C28" s="36"/>
      <c r="D28" s="228"/>
    </row>
    <row r="29" spans="1:7" s="15" customFormat="1">
      <c r="A29" s="230" t="s">
        <v>781</v>
      </c>
      <c r="B29" s="37">
        <f>SUM(HH_hh_gas_aantal,HH_rest_gas_aantal)</f>
        <v>24045</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24045</v>
      </c>
      <c r="C32" s="167">
        <f>IF(ISERROR(B32/SUM($B$32,$B$34,$B$35,$B$36,$B$38,$B$39)*100),0,B32/SUM($B$32,$B$34,$B$35,$B$36,$B$38,$B$39)*100)</f>
        <v>76.154430860834864</v>
      </c>
      <c r="D32" s="233"/>
      <c r="G32" s="15"/>
    </row>
    <row r="33" spans="1:7">
      <c r="A33" s="171" t="s">
        <v>71</v>
      </c>
      <c r="B33" s="34" t="s">
        <v>110</v>
      </c>
      <c r="C33" s="167"/>
      <c r="D33" s="233"/>
      <c r="G33" s="15"/>
    </row>
    <row r="34" spans="1:7">
      <c r="A34" s="171" t="s">
        <v>72</v>
      </c>
      <c r="B34" s="33">
        <f>IF((($B$28-$B$32-$B$39-$B$77-$B$38)*C20/100)&lt;0,0,($B$28-$B$32-$B$39-$B$77-$B$38)*C20/100)</f>
        <v>606.82126258714175</v>
      </c>
      <c r="C34" s="167">
        <f>IF(ISERROR(B34/SUM($B$32,$B$34,$B$35,$B$36,$B$38,$B$39)*100),0,B34/SUM($B$32,$B$34,$B$35,$B$36,$B$38,$B$39)*100)</f>
        <v>1.9219017628021213</v>
      </c>
      <c r="D34" s="233"/>
      <c r="G34" s="15"/>
    </row>
    <row r="35" spans="1:7">
      <c r="A35" s="171" t="s">
        <v>73</v>
      </c>
      <c r="B35" s="33">
        <f>IF((($B$28-$B$32-$B$39-$B$77-$B$38)*C21/100)&lt;0,0,($B$28-$B$32-$B$39-$B$77-$B$38)*C21/100)</f>
        <v>5862.1756390395039</v>
      </c>
      <c r="C35" s="167">
        <f>IF(ISERROR(B35/SUM($B$32,$B$34,$B$35,$B$36,$B$38,$B$39)*100),0,B35/SUM($B$32,$B$34,$B$35,$B$36,$B$38,$B$39)*100)</f>
        <v>18.566464936465142</v>
      </c>
      <c r="D35" s="233"/>
      <c r="G35" s="15"/>
    </row>
    <row r="36" spans="1:7">
      <c r="A36" s="171" t="s">
        <v>74</v>
      </c>
      <c r="B36" s="33">
        <f>IF((($B$28-$B$32-$B$39-$B$77-$B$38)*C22/100)&lt;0,0,($B$28-$B$32-$B$39-$B$77-$B$38)*C22/100)</f>
        <v>818.50309837335396</v>
      </c>
      <c r="C36" s="167">
        <f>IF(ISERROR(B36/SUM($B$32,$B$34,$B$35,$B$36,$B$38,$B$39)*100),0,B36/SUM($B$32,$B$34,$B$35,$B$36,$B$38,$B$39)*100)</f>
        <v>2.592332610291233</v>
      </c>
      <c r="D36" s="233"/>
      <c r="G36" s="15"/>
    </row>
    <row r="37" spans="1:7">
      <c r="A37" s="171" t="s">
        <v>75</v>
      </c>
      <c r="B37" s="34" t="s">
        <v>110</v>
      </c>
      <c r="C37" s="167"/>
      <c r="D37" s="173"/>
      <c r="G37" s="15"/>
    </row>
    <row r="38" spans="1:7">
      <c r="A38" s="171" t="s">
        <v>76</v>
      </c>
      <c r="B38" s="33">
        <f>IF((B24-(B29-B18)*0.1)&lt;0,0,B24-(B29-B18)*0.1)</f>
        <v>241.5</v>
      </c>
      <c r="C38" s="167">
        <f>IF(ISERROR(B38/SUM($B$32,$B$34,$B$35,$B$36,$B$38,$B$39)*100),0,B38/SUM($B$32,$B$34,$B$35,$B$36,$B$38,$B$39)*100)</f>
        <v>0.76486982960663841</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24045</v>
      </c>
      <c r="C44" s="34" t="s">
        <v>110</v>
      </c>
      <c r="D44" s="174"/>
    </row>
    <row r="45" spans="1:7">
      <c r="A45" s="171" t="s">
        <v>71</v>
      </c>
      <c r="B45" s="33" t="str">
        <f t="shared" si="0"/>
        <v>-</v>
      </c>
      <c r="C45" s="34" t="s">
        <v>110</v>
      </c>
      <c r="D45" s="174"/>
    </row>
    <row r="46" spans="1:7">
      <c r="A46" s="171" t="s">
        <v>72</v>
      </c>
      <c r="B46" s="33">
        <f t="shared" si="0"/>
        <v>606.82126258714175</v>
      </c>
      <c r="C46" s="34" t="s">
        <v>110</v>
      </c>
      <c r="D46" s="174"/>
    </row>
    <row r="47" spans="1:7">
      <c r="A47" s="171" t="s">
        <v>73</v>
      </c>
      <c r="B47" s="33">
        <f t="shared" si="0"/>
        <v>5862.1756390395039</v>
      </c>
      <c r="C47" s="34" t="s">
        <v>110</v>
      </c>
      <c r="D47" s="174"/>
    </row>
    <row r="48" spans="1:7">
      <c r="A48" s="171" t="s">
        <v>74</v>
      </c>
      <c r="B48" s="33">
        <f t="shared" si="0"/>
        <v>818.50309837335396</v>
      </c>
      <c r="C48" s="33">
        <f>B48*10</f>
        <v>8185.0309837335399</v>
      </c>
      <c r="D48" s="234"/>
    </row>
    <row r="49" spans="1:6">
      <c r="A49" s="171" t="s">
        <v>75</v>
      </c>
      <c r="B49" s="33" t="str">
        <f t="shared" si="0"/>
        <v>-</v>
      </c>
      <c r="C49" s="34" t="s">
        <v>110</v>
      </c>
      <c r="D49" s="234"/>
    </row>
    <row r="50" spans="1:6">
      <c r="A50" s="171" t="s">
        <v>76</v>
      </c>
      <c r="B50" s="33">
        <f t="shared" si="0"/>
        <v>241.5</v>
      </c>
      <c r="C50" s="33">
        <f>B50*2</f>
        <v>483</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622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233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127692.26712317104</v>
      </c>
      <c r="C5" s="17">
        <f>IF(ISERROR('Eigen informatie GS &amp; warmtenet'!B58),0,'Eigen informatie GS &amp; warmtenet'!B58)</f>
        <v>0</v>
      </c>
      <c r="D5" s="30">
        <f>SUM(D6:D12)</f>
        <v>168235.65521274778</v>
      </c>
      <c r="E5" s="17">
        <f>SUM(E6:E12)</f>
        <v>1862.2883009486734</v>
      </c>
      <c r="F5" s="17">
        <f>SUM(F6:F12)</f>
        <v>21923.751202314244</v>
      </c>
      <c r="G5" s="18"/>
      <c r="H5" s="17"/>
      <c r="I5" s="17"/>
      <c r="J5" s="17">
        <f>SUM(J6:J12)</f>
        <v>0.1947268622738047</v>
      </c>
      <c r="K5" s="17"/>
      <c r="L5" s="17"/>
      <c r="M5" s="17"/>
      <c r="N5" s="17">
        <f>SUM(N6:N12)</f>
        <v>8044.0833994399291</v>
      </c>
      <c r="O5" s="17">
        <f>B38*B39*B40</f>
        <v>17.196666666666669</v>
      </c>
      <c r="P5" s="17">
        <f>B46*B47*B48/1000-B46*B47*B48/1000/B49</f>
        <v>247.86666666666667</v>
      </c>
      <c r="R5" s="32"/>
    </row>
    <row r="6" spans="1:18">
      <c r="A6" s="32" t="s">
        <v>53</v>
      </c>
      <c r="B6" s="37">
        <f>B26</f>
        <v>35884.532390108099</v>
      </c>
      <c r="C6" s="33"/>
      <c r="D6" s="37">
        <f>IF(ISERROR(TER_kantoor_gas_kWh/1000),0,TER_kantoor_gas_kWh/1000)*0.902</f>
        <v>46968.691734439679</v>
      </c>
      <c r="E6" s="33">
        <f>$C$26*'E Balans VL '!I12/100/3.6*1000000</f>
        <v>0.22491231401270334</v>
      </c>
      <c r="F6" s="33">
        <f>$C$26*('E Balans VL '!L12+'E Balans VL '!N12)/100/3.6*1000000</f>
        <v>5392.4425087660929</v>
      </c>
      <c r="G6" s="34"/>
      <c r="H6" s="33"/>
      <c r="I6" s="33"/>
      <c r="J6" s="33">
        <f>$C$26*('E Balans VL '!D12+'E Balans VL '!E12)/100/3.6*1000000</f>
        <v>0</v>
      </c>
      <c r="K6" s="33"/>
      <c r="L6" s="33"/>
      <c r="M6" s="33"/>
      <c r="N6" s="33">
        <f>$C$26*'E Balans VL '!Y12/100/3.6*1000000</f>
        <v>34.318234765321478</v>
      </c>
      <c r="O6" s="33"/>
      <c r="P6" s="33"/>
      <c r="R6" s="32"/>
    </row>
    <row r="7" spans="1:18">
      <c r="A7" s="32" t="s">
        <v>52</v>
      </c>
      <c r="B7" s="37">
        <f t="shared" ref="B7:B12" si="0">B27</f>
        <v>9502.4561140528804</v>
      </c>
      <c r="C7" s="33"/>
      <c r="D7" s="37">
        <f>IF(ISERROR(TER_horeca_gas_kWh/1000),0,TER_horeca_gas_kWh/1000)*0.902</f>
        <v>11807.442131497412</v>
      </c>
      <c r="E7" s="33">
        <f>$C$27*'E Balans VL '!I9/100/3.6*1000000</f>
        <v>136.07358874620351</v>
      </c>
      <c r="F7" s="33">
        <f>$C$27*('E Balans VL '!L9+'E Balans VL '!N9)/100/3.6*1000000</f>
        <v>1203.3243471158607</v>
      </c>
      <c r="G7" s="34"/>
      <c r="H7" s="33"/>
      <c r="I7" s="33"/>
      <c r="J7" s="33">
        <f>$C$27*('E Balans VL '!D9+'E Balans VL '!E9)/100/3.6*1000000</f>
        <v>0</v>
      </c>
      <c r="K7" s="33"/>
      <c r="L7" s="33"/>
      <c r="M7" s="33"/>
      <c r="N7" s="33">
        <f>$C$27*'E Balans VL '!Y9/100/3.6*1000000</f>
        <v>2.7317466216172575</v>
      </c>
      <c r="O7" s="33"/>
      <c r="P7" s="33"/>
      <c r="R7" s="32"/>
    </row>
    <row r="8" spans="1:18">
      <c r="A8" s="6" t="s">
        <v>51</v>
      </c>
      <c r="B8" s="37">
        <f t="shared" si="0"/>
        <v>43035.136448682002</v>
      </c>
      <c r="C8" s="33"/>
      <c r="D8" s="37">
        <f>IF(ISERROR(TER_handel_gas_kWh/1000),0,TER_handel_gas_kWh/1000)*0.902</f>
        <v>33685.539212106756</v>
      </c>
      <c r="E8" s="33">
        <f>$C$28*'E Balans VL '!I13/100/3.6*1000000</f>
        <v>1560.879092138425</v>
      </c>
      <c r="F8" s="33">
        <f>$C$28*('E Balans VL '!L13+'E Balans VL '!N13)/100/3.6*1000000</f>
        <v>8289.0030384773545</v>
      </c>
      <c r="G8" s="34"/>
      <c r="H8" s="33"/>
      <c r="I8" s="33"/>
      <c r="J8" s="33">
        <f>$C$28*('E Balans VL '!D13+'E Balans VL '!E13)/100/3.6*1000000</f>
        <v>0</v>
      </c>
      <c r="K8" s="33"/>
      <c r="L8" s="33"/>
      <c r="M8" s="33"/>
      <c r="N8" s="33">
        <f>$C$28*'E Balans VL '!Y13/100/3.6*1000000</f>
        <v>59.613565924707977</v>
      </c>
      <c r="O8" s="33"/>
      <c r="P8" s="33"/>
      <c r="R8" s="32"/>
    </row>
    <row r="9" spans="1:18">
      <c r="A9" s="32" t="s">
        <v>50</v>
      </c>
      <c r="B9" s="37">
        <f t="shared" si="0"/>
        <v>19549.488423504801</v>
      </c>
      <c r="C9" s="33"/>
      <c r="D9" s="37">
        <f>IF(ISERROR(TER_gezond_gas_kWh/1000),0,TER_gezond_gas_kWh/1000)*0.902</f>
        <v>33007.56219666823</v>
      </c>
      <c r="E9" s="33">
        <f>$C$29*'E Balans VL '!I10/100/3.6*1000000</f>
        <v>1.2239909916391667</v>
      </c>
      <c r="F9" s="33">
        <f>$C$29*('E Balans VL '!L10+'E Balans VL '!N10)/100/3.6*1000000</f>
        <v>2904.1360278352631</v>
      </c>
      <c r="G9" s="34"/>
      <c r="H9" s="33"/>
      <c r="I9" s="33"/>
      <c r="J9" s="33">
        <f>$C$29*('E Balans VL '!D10+'E Balans VL '!E10)/100/3.6*1000000</f>
        <v>0</v>
      </c>
      <c r="K9" s="33"/>
      <c r="L9" s="33"/>
      <c r="M9" s="33"/>
      <c r="N9" s="33">
        <f>$C$29*'E Balans VL '!Y10/100/3.6*1000000</f>
        <v>302.39337329915838</v>
      </c>
      <c r="O9" s="33"/>
      <c r="P9" s="33"/>
      <c r="R9" s="32"/>
    </row>
    <row r="10" spans="1:18">
      <c r="A10" s="32" t="s">
        <v>49</v>
      </c>
      <c r="B10" s="37">
        <f t="shared" si="0"/>
        <v>8074.6803013407298</v>
      </c>
      <c r="C10" s="33"/>
      <c r="D10" s="37">
        <f>IF(ISERROR(TER_ander_gas_kWh/1000),0,TER_ander_gas_kWh/1000)*0.902</f>
        <v>19183.519167729584</v>
      </c>
      <c r="E10" s="33">
        <f>$C$30*'E Balans VL '!I14/100/3.6*1000000</f>
        <v>9.624730378878926</v>
      </c>
      <c r="F10" s="33">
        <f>$C$30*('E Balans VL '!L14+'E Balans VL '!N14)/100/3.6*1000000</f>
        <v>2112.6953389221362</v>
      </c>
      <c r="G10" s="34"/>
      <c r="H10" s="33"/>
      <c r="I10" s="33"/>
      <c r="J10" s="33">
        <f>$C$30*('E Balans VL '!D14+'E Balans VL '!E14)/100/3.6*1000000</f>
        <v>0.17526965746929618</v>
      </c>
      <c r="K10" s="33"/>
      <c r="L10" s="33"/>
      <c r="M10" s="33"/>
      <c r="N10" s="33">
        <f>$C$30*'E Balans VL '!Y14/100/3.6*1000000</f>
        <v>6856.8209272527747</v>
      </c>
      <c r="O10" s="33"/>
      <c r="P10" s="33"/>
      <c r="R10" s="32"/>
    </row>
    <row r="11" spans="1:18">
      <c r="A11" s="32" t="s">
        <v>54</v>
      </c>
      <c r="B11" s="37">
        <f t="shared" si="0"/>
        <v>3610.8703992364899</v>
      </c>
      <c r="C11" s="33"/>
      <c r="D11" s="37">
        <f>IF(ISERROR(TER_onderwijs_gas_kWh/1000),0,TER_onderwijs_gas_kWh/1000)*0.902</f>
        <v>10862.204090386142</v>
      </c>
      <c r="E11" s="33">
        <f>$C$31*'E Balans VL '!I11/100/3.6*1000000</f>
        <v>54.482218464672336</v>
      </c>
      <c r="F11" s="33">
        <f>$C$31*('E Balans VL '!L11+'E Balans VL '!N11)/100/3.6*1000000</f>
        <v>632.68217931698132</v>
      </c>
      <c r="G11" s="34"/>
      <c r="H11" s="33"/>
      <c r="I11" s="33"/>
      <c r="J11" s="33">
        <f>$C$31*('E Balans VL '!D11+'E Balans VL '!E11)/100/3.6*1000000</f>
        <v>0</v>
      </c>
      <c r="K11" s="33"/>
      <c r="L11" s="33"/>
      <c r="M11" s="33"/>
      <c r="N11" s="33">
        <f>$C$31*'E Balans VL '!Y11/100/3.6*1000000</f>
        <v>10.161263812273043</v>
      </c>
      <c r="O11" s="33"/>
      <c r="P11" s="33"/>
      <c r="R11" s="32"/>
    </row>
    <row r="12" spans="1:18">
      <c r="A12" s="32" t="s">
        <v>259</v>
      </c>
      <c r="B12" s="37">
        <f t="shared" si="0"/>
        <v>8035.1030462460394</v>
      </c>
      <c r="C12" s="33"/>
      <c r="D12" s="37">
        <f>IF(ISERROR(TER_rest_gas_kWh/1000),0,TER_rest_gas_kWh/1000)*0.902</f>
        <v>12720.696679919954</v>
      </c>
      <c r="E12" s="33">
        <f>$C$32*'E Balans VL '!I8/100/3.6*1000000</f>
        <v>99.779767914841742</v>
      </c>
      <c r="F12" s="33">
        <f>$C$32*('E Balans VL '!L8+'E Balans VL '!N8)/100/3.6*1000000</f>
        <v>1389.4677618805533</v>
      </c>
      <c r="G12" s="34"/>
      <c r="H12" s="33"/>
      <c r="I12" s="33"/>
      <c r="J12" s="33">
        <f>$C$32*('E Balans VL '!D8+'E Balans VL '!E8)/100/3.6*1000000</f>
        <v>1.9457204804508514E-2</v>
      </c>
      <c r="K12" s="33"/>
      <c r="L12" s="33"/>
      <c r="M12" s="33"/>
      <c r="N12" s="33">
        <f>$C$32*'E Balans VL '!Y8/100/3.6*1000000</f>
        <v>778.04428776407656</v>
      </c>
      <c r="O12" s="33"/>
      <c r="P12" s="33"/>
      <c r="R12" s="32"/>
    </row>
    <row r="13" spans="1:18">
      <c r="A13" s="16" t="s">
        <v>487</v>
      </c>
      <c r="B13" s="247">
        <f ca="1">'lokale energieproductie'!N40+'lokale energieproductie'!N33</f>
        <v>47.25</v>
      </c>
      <c r="C13" s="247">
        <f ca="1">'lokale energieproductie'!O40+'lokale energieproductie'!O33</f>
        <v>67.5</v>
      </c>
      <c r="D13" s="308">
        <f ca="1">('lokale energieproductie'!P33+'lokale energieproductie'!P40)*(-1)</f>
        <v>-135</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127739.51712317104</v>
      </c>
      <c r="C16" s="21">
        <f t="shared" ca="1" si="1"/>
        <v>67.5</v>
      </c>
      <c r="D16" s="21">
        <f t="shared" ca="1" si="1"/>
        <v>168100.65521274778</v>
      </c>
      <c r="E16" s="21">
        <f t="shared" si="1"/>
        <v>1862.2883009486734</v>
      </c>
      <c r="F16" s="21">
        <f t="shared" ca="1" si="1"/>
        <v>21923.751202314244</v>
      </c>
      <c r="G16" s="21">
        <f t="shared" si="1"/>
        <v>0</v>
      </c>
      <c r="H16" s="21">
        <f t="shared" si="1"/>
        <v>0</v>
      </c>
      <c r="I16" s="21">
        <f t="shared" si="1"/>
        <v>0</v>
      </c>
      <c r="J16" s="21">
        <f t="shared" si="1"/>
        <v>0.1947268622738047</v>
      </c>
      <c r="K16" s="21">
        <f t="shared" si="1"/>
        <v>0</v>
      </c>
      <c r="L16" s="21">
        <f t="shared" ca="1" si="1"/>
        <v>0</v>
      </c>
      <c r="M16" s="21">
        <f t="shared" si="1"/>
        <v>0</v>
      </c>
      <c r="N16" s="21">
        <f t="shared" ca="1" si="1"/>
        <v>8044.0833994399291</v>
      </c>
      <c r="O16" s="21">
        <f>O5</f>
        <v>17.196666666666669</v>
      </c>
      <c r="P16" s="21">
        <f>P5</f>
        <v>247.86666666666667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0.20539576973777865</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26237.156445445871</v>
      </c>
      <c r="C20" s="23">
        <f t="shared" ref="C20:P20" ca="1" si="2">C16*C18</f>
        <v>16.041176470588233</v>
      </c>
      <c r="D20" s="23">
        <f t="shared" ca="1" si="2"/>
        <v>33956.332352975056</v>
      </c>
      <c r="E20" s="23">
        <f t="shared" si="2"/>
        <v>422.73944431534886</v>
      </c>
      <c r="F20" s="23">
        <f t="shared" ca="1" si="2"/>
        <v>5853.6415710179035</v>
      </c>
      <c r="G20" s="23">
        <f t="shared" si="2"/>
        <v>0</v>
      </c>
      <c r="H20" s="23">
        <f t="shared" si="2"/>
        <v>0</v>
      </c>
      <c r="I20" s="23">
        <f t="shared" si="2"/>
        <v>0</v>
      </c>
      <c r="J20" s="23">
        <f t="shared" si="2"/>
        <v>6.8933309244926855E-2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35884.532390108099</v>
      </c>
      <c r="C26" s="39">
        <f>IF(ISERROR(B26*3.6/1000000/'E Balans VL '!Z12*100),0,B26*3.6/1000000/'E Balans VL '!Z12*100)</f>
        <v>0.75854216903586458</v>
      </c>
      <c r="D26" s="237" t="s">
        <v>744</v>
      </c>
      <c r="F26" s="6"/>
    </row>
    <row r="27" spans="1:18">
      <c r="A27" s="231" t="s">
        <v>52</v>
      </c>
      <c r="B27" s="33">
        <f>IF(ISERROR(TER_horeca_ele_kWh/1000),0,TER_horeca_ele_kWh/1000)</f>
        <v>9502.4561140528804</v>
      </c>
      <c r="C27" s="39">
        <f>IF(ISERROR(B27*3.6/1000000/'E Balans VL '!Z9*100),0,B27*3.6/1000000/'E Balans VL '!Z9*100)</f>
        <v>0.74907507372458226</v>
      </c>
      <c r="D27" s="237" t="s">
        <v>744</v>
      </c>
      <c r="F27" s="6"/>
    </row>
    <row r="28" spans="1:18">
      <c r="A28" s="171" t="s">
        <v>51</v>
      </c>
      <c r="B28" s="33">
        <f>IF(ISERROR(TER_handel_ele_kWh/1000),0,TER_handel_ele_kWh/1000)</f>
        <v>43035.136448682002</v>
      </c>
      <c r="C28" s="39">
        <f>IF(ISERROR(B28*3.6/1000000/'E Balans VL '!Z13*100),0,B28*3.6/1000000/'E Balans VL '!Z13*100)</f>
        <v>1.2490535411764807</v>
      </c>
      <c r="D28" s="237" t="s">
        <v>744</v>
      </c>
      <c r="F28" s="6"/>
    </row>
    <row r="29" spans="1:18">
      <c r="A29" s="231" t="s">
        <v>50</v>
      </c>
      <c r="B29" s="33">
        <f>IF(ISERROR(TER_gezond_ele_kWh/1000),0,TER_gezond_ele_kWh/1000)</f>
        <v>19549.488423504801</v>
      </c>
      <c r="C29" s="39">
        <f>IF(ISERROR(B29*3.6/1000000/'E Balans VL '!Z10*100),0,B29*3.6/1000000/'E Balans VL '!Z10*100)</f>
        <v>2.0588821420684211</v>
      </c>
      <c r="D29" s="237" t="s">
        <v>744</v>
      </c>
      <c r="F29" s="6"/>
    </row>
    <row r="30" spans="1:18">
      <c r="A30" s="231" t="s">
        <v>49</v>
      </c>
      <c r="B30" s="33">
        <f>IF(ISERROR(TER_ander_ele_kWh/1000),0,TER_ander_ele_kWh/1000)</f>
        <v>8074.6803013407298</v>
      </c>
      <c r="C30" s="39">
        <f>IF(ISERROR(B30*3.6/1000000/'E Balans VL '!Z14*100),0,B30*3.6/1000000/'E Balans VL '!Z14*100)</f>
        <v>0.5955901728387295</v>
      </c>
      <c r="D30" s="237" t="s">
        <v>744</v>
      </c>
      <c r="F30" s="6"/>
    </row>
    <row r="31" spans="1:18">
      <c r="A31" s="231" t="s">
        <v>54</v>
      </c>
      <c r="B31" s="33">
        <f>IF(ISERROR(TER_onderwijs_ele_kWh/1000),0,TER_onderwijs_ele_kWh/1000)</f>
        <v>3610.8703992364899</v>
      </c>
      <c r="C31" s="39">
        <f>IF(ISERROR(B31*3.6/1000000/'E Balans VL '!Z11*100),0,B31*3.6/1000000/'E Balans VL '!Z11*100)</f>
        <v>0.89674826326110801</v>
      </c>
      <c r="D31" s="237" t="s">
        <v>744</v>
      </c>
    </row>
    <row r="32" spans="1:18">
      <c r="A32" s="231" t="s">
        <v>259</v>
      </c>
      <c r="B32" s="33">
        <f>IF(ISERROR(TER_rest_ele_kWh/1000),0,TER_rest_ele_kWh/1000)</f>
        <v>8035.1030462460394</v>
      </c>
      <c r="C32" s="39">
        <f>IF(ISERROR(B32*3.6/1000000/'E Balans VL '!Z8*100),0,B32*3.6/1000000/'E Balans VL '!Z8*100)</f>
        <v>6.6118232555488765E-2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76948.91060286283</v>
      </c>
      <c r="C5" s="17">
        <f>IF(ISERROR('Eigen informatie GS &amp; warmtenet'!B59),0,'Eigen informatie GS &amp; warmtenet'!B59)</f>
        <v>0</v>
      </c>
      <c r="D5" s="30">
        <f>SUM(D6:D15)</f>
        <v>60790.055433241825</v>
      </c>
      <c r="E5" s="17">
        <f>SUM(E6:E15)</f>
        <v>4302.5017038228643</v>
      </c>
      <c r="F5" s="17">
        <f>SUM(F6:F15)</f>
        <v>15484.129448415544</v>
      </c>
      <c r="G5" s="18"/>
      <c r="H5" s="17"/>
      <c r="I5" s="17"/>
      <c r="J5" s="17">
        <f>SUM(J6:J15)</f>
        <v>136.57953472103381</v>
      </c>
      <c r="K5" s="17"/>
      <c r="L5" s="17"/>
      <c r="M5" s="17"/>
      <c r="N5" s="17">
        <f>SUM(N6:N15)</f>
        <v>5279.0349525021156</v>
      </c>
      <c r="O5" s="17">
        <f>B43*B44*B45</f>
        <v>0</v>
      </c>
      <c r="P5" s="17">
        <f>B51*B52*B53/1000-B51*B52*B53/1000/B54</f>
        <v>0</v>
      </c>
      <c r="R5" s="32"/>
    </row>
    <row r="6" spans="1:18">
      <c r="A6" s="6" t="s">
        <v>34</v>
      </c>
      <c r="B6" s="37">
        <f>IF( ISERROR(IND_ijzer_ele_kWh/1000),0,IND_ijzer_ele_kWh/1000)</f>
        <v>18.898927528216799</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12388.2412478475</v>
      </c>
      <c r="C8" s="33"/>
      <c r="D8" s="37">
        <f>IF( ISERROR(IND_metaal_Gas_kWH/1000),0,IND_metaal_Gas_kWH/1000)*0.902</f>
        <v>9548.9805942848252</v>
      </c>
      <c r="E8" s="33">
        <f>C30*'E Balans VL '!I18/100/3.6*1000000</f>
        <v>113.89791359677618</v>
      </c>
      <c r="F8" s="33">
        <f>C30*'E Balans VL '!L18/100/3.6*1000000+C30*'E Balans VL '!N18/100/3.6*1000000</f>
        <v>1161.6045827472492</v>
      </c>
      <c r="G8" s="34"/>
      <c r="H8" s="33"/>
      <c r="I8" s="33"/>
      <c r="J8" s="40">
        <f>C30*'E Balans VL '!D18/100/3.6*1000000+C30*'E Balans VL '!E18/100/3.6*1000000</f>
        <v>0</v>
      </c>
      <c r="K8" s="33"/>
      <c r="L8" s="33"/>
      <c r="M8" s="33"/>
      <c r="N8" s="33">
        <f>C30*'E Balans VL '!Y18/100/3.6*1000000</f>
        <v>176.73873383132218</v>
      </c>
      <c r="O8" s="33"/>
      <c r="P8" s="33"/>
      <c r="R8" s="32"/>
    </row>
    <row r="9" spans="1:18">
      <c r="A9" s="6" t="s">
        <v>32</v>
      </c>
      <c r="B9" s="37">
        <f t="shared" si="0"/>
        <v>6991.5204210751508</v>
      </c>
      <c r="C9" s="33"/>
      <c r="D9" s="37">
        <f>IF( ISERROR(IND_andere_gas_kWh/1000),0,IND_andere_gas_kWh/1000)*0.902</f>
        <v>6353.6127832079064</v>
      </c>
      <c r="E9" s="33">
        <f>C31*'E Balans VL '!I19/100/3.6*1000000</f>
        <v>2043.7575279289194</v>
      </c>
      <c r="F9" s="33">
        <f>C31*'E Balans VL '!L19/100/3.6*1000000+C31*'E Balans VL '!N19/100/3.6*1000000</f>
        <v>5618.2158678028591</v>
      </c>
      <c r="G9" s="34"/>
      <c r="H9" s="33"/>
      <c r="I9" s="33"/>
      <c r="J9" s="40">
        <f>C31*'E Balans VL '!D19/100/3.6*1000000+C31*'E Balans VL '!E19/100/3.6*1000000</f>
        <v>0</v>
      </c>
      <c r="K9" s="33"/>
      <c r="L9" s="33"/>
      <c r="M9" s="33"/>
      <c r="N9" s="33">
        <f>C31*'E Balans VL '!Y19/100/3.6*1000000</f>
        <v>548.40536616374402</v>
      </c>
      <c r="O9" s="33"/>
      <c r="P9" s="33"/>
      <c r="R9" s="32"/>
    </row>
    <row r="10" spans="1:18">
      <c r="A10" s="6" t="s">
        <v>40</v>
      </c>
      <c r="B10" s="37">
        <f t="shared" si="0"/>
        <v>13548.484293174499</v>
      </c>
      <c r="C10" s="33"/>
      <c r="D10" s="37">
        <f>IF( ISERROR(IND_voed_gas_kWh/1000),0,IND_voed_gas_kWh/1000)*0.902</f>
        <v>7567.6512211274685</v>
      </c>
      <c r="E10" s="33">
        <f>C32*'E Balans VL '!I20/100/3.6*1000000</f>
        <v>28.662028593947682</v>
      </c>
      <c r="F10" s="33">
        <f>C32*'E Balans VL '!L20/100/3.6*1000000+C32*'E Balans VL '!N20/100/3.6*1000000</f>
        <v>861.42647073090677</v>
      </c>
      <c r="G10" s="34"/>
      <c r="H10" s="33"/>
      <c r="I10" s="33"/>
      <c r="J10" s="40">
        <f>C32*'E Balans VL '!D20/100/3.6*1000000+C32*'E Balans VL '!E20/100/3.6*1000000</f>
        <v>0</v>
      </c>
      <c r="K10" s="33"/>
      <c r="L10" s="33"/>
      <c r="M10" s="33"/>
      <c r="N10" s="33">
        <f>C32*'E Balans VL '!Y20/100/3.6*1000000</f>
        <v>934.97911593894207</v>
      </c>
      <c r="O10" s="33"/>
      <c r="P10" s="33"/>
      <c r="R10" s="32"/>
    </row>
    <row r="11" spans="1:18">
      <c r="A11" s="6" t="s">
        <v>39</v>
      </c>
      <c r="B11" s="37">
        <f t="shared" si="0"/>
        <v>1733.72637319656</v>
      </c>
      <c r="C11" s="33"/>
      <c r="D11" s="37">
        <f>IF( ISERROR(IND_textiel_gas_kWh/1000),0,IND_textiel_gas_kWh/1000)*0.902</f>
        <v>166.40515060578323</v>
      </c>
      <c r="E11" s="33">
        <f>C33*'E Balans VL '!I21/100/3.6*1000000</f>
        <v>5.1490178524447732</v>
      </c>
      <c r="F11" s="33">
        <f>C33*'E Balans VL '!L21/100/3.6*1000000+C33*'E Balans VL '!N21/100/3.6*1000000</f>
        <v>175.15396161887722</v>
      </c>
      <c r="G11" s="34"/>
      <c r="H11" s="33"/>
      <c r="I11" s="33"/>
      <c r="J11" s="40">
        <f>C33*'E Balans VL '!D21/100/3.6*1000000+C33*'E Balans VL '!E21/100/3.6*1000000</f>
        <v>0</v>
      </c>
      <c r="K11" s="33"/>
      <c r="L11" s="33"/>
      <c r="M11" s="33"/>
      <c r="N11" s="33">
        <f>C33*'E Balans VL '!Y21/100/3.6*1000000</f>
        <v>95.620542416821934</v>
      </c>
      <c r="O11" s="33"/>
      <c r="P11" s="33"/>
      <c r="R11" s="32"/>
    </row>
    <row r="12" spans="1:18">
      <c r="A12" s="6" t="s">
        <v>36</v>
      </c>
      <c r="B12" s="37">
        <f t="shared" si="0"/>
        <v>229.34146295931001</v>
      </c>
      <c r="C12" s="33"/>
      <c r="D12" s="37">
        <f>IF( ISERROR(IND_min_gas_kWh/1000),0,IND_min_gas_kWh/1000)*0.902</f>
        <v>0</v>
      </c>
      <c r="E12" s="33">
        <f>C34*'E Balans VL '!I22/100/3.6*1000000</f>
        <v>6.6476646600746117</v>
      </c>
      <c r="F12" s="33">
        <f>C34*'E Balans VL '!L22/100/3.6*1000000+C34*'E Balans VL '!N22/100/3.6*1000000</f>
        <v>78.85018658170182</v>
      </c>
      <c r="G12" s="34"/>
      <c r="H12" s="33"/>
      <c r="I12" s="33"/>
      <c r="J12" s="40">
        <f>C34*'E Balans VL '!D22/100/3.6*1000000+C34*'E Balans VL '!E22/100/3.6*1000000</f>
        <v>0.37687713466112754</v>
      </c>
      <c r="K12" s="33"/>
      <c r="L12" s="33"/>
      <c r="M12" s="33"/>
      <c r="N12" s="33">
        <f>C34*'E Balans VL '!Y22/100/3.6*1000000</f>
        <v>50.20661507685741</v>
      </c>
      <c r="O12" s="33"/>
      <c r="P12" s="33"/>
      <c r="R12" s="32"/>
    </row>
    <row r="13" spans="1:18">
      <c r="A13" s="6" t="s">
        <v>38</v>
      </c>
      <c r="B13" s="37">
        <f t="shared" si="0"/>
        <v>1856.6862134323599</v>
      </c>
      <c r="C13" s="33"/>
      <c r="D13" s="37">
        <f>IF( ISERROR(IND_papier_gas_kWh/1000),0,IND_papier_gas_kWh/1000)*0.902</f>
        <v>1417.5242065425007</v>
      </c>
      <c r="E13" s="33">
        <f>C35*'E Balans VL '!I23/100/3.6*1000000</f>
        <v>2.6342131160198292</v>
      </c>
      <c r="F13" s="33">
        <f>C35*'E Balans VL '!L23/100/3.6*1000000+C35*'E Balans VL '!N23/100/3.6*1000000</f>
        <v>45.328692060180316</v>
      </c>
      <c r="G13" s="34"/>
      <c r="H13" s="33"/>
      <c r="I13" s="33"/>
      <c r="J13" s="40">
        <f>C35*'E Balans VL '!D23/100/3.6*1000000+C35*'E Balans VL '!E23/100/3.6*1000000</f>
        <v>0.28715395453972542</v>
      </c>
      <c r="K13" s="33"/>
      <c r="L13" s="33"/>
      <c r="M13" s="33"/>
      <c r="N13" s="33">
        <f>C35*'E Balans VL '!Y23/100/3.6*1000000</f>
        <v>758.61506666379466</v>
      </c>
      <c r="O13" s="33"/>
      <c r="P13" s="33"/>
      <c r="R13" s="32"/>
    </row>
    <row r="14" spans="1:18">
      <c r="A14" s="6" t="s">
        <v>33</v>
      </c>
      <c r="B14" s="37">
        <f t="shared" si="0"/>
        <v>2216.5855272681401</v>
      </c>
      <c r="C14" s="33"/>
      <c r="D14" s="37">
        <f>IF( ISERROR(IND_chemie_gas_kWh/1000),0,IND_chemie_gas_kWh/1000)*0.902</f>
        <v>4331.9228872244666</v>
      </c>
      <c r="E14" s="33">
        <f>C36*'E Balans VL '!I24/100/3.6*1000000</f>
        <v>5.4565984746955953</v>
      </c>
      <c r="F14" s="33">
        <f>C36*'E Balans VL '!L24/100/3.6*1000000+C36*'E Balans VL '!N24/100/3.6*1000000</f>
        <v>23.735093866161115</v>
      </c>
      <c r="G14" s="34"/>
      <c r="H14" s="33"/>
      <c r="I14" s="33"/>
      <c r="J14" s="40">
        <f>C36*'E Balans VL '!D24/100/3.6*1000000+C36*'E Balans VL '!E24/100/3.6*1000000</f>
        <v>0</v>
      </c>
      <c r="K14" s="33"/>
      <c r="L14" s="33"/>
      <c r="M14" s="33"/>
      <c r="N14" s="33">
        <f>C36*'E Balans VL '!Y24/100/3.6*1000000</f>
        <v>49.501826516734624</v>
      </c>
      <c r="O14" s="33"/>
      <c r="P14" s="33"/>
      <c r="R14" s="32"/>
    </row>
    <row r="15" spans="1:18">
      <c r="A15" s="6" t="s">
        <v>269</v>
      </c>
      <c r="B15" s="37">
        <f t="shared" si="0"/>
        <v>37965.426136381095</v>
      </c>
      <c r="C15" s="33"/>
      <c r="D15" s="37">
        <f>IF( ISERROR(IND_rest_gas_kWh/1000),0,IND_rest_gas_kWh/1000)*0.902</f>
        <v>31403.958590248876</v>
      </c>
      <c r="E15" s="33">
        <f>C37*'E Balans VL '!I15/100/3.6*1000000</f>
        <v>2096.2967395999867</v>
      </c>
      <c r="F15" s="33">
        <f>C37*'E Balans VL '!L15/100/3.6*1000000+C37*'E Balans VL '!N15/100/3.6*1000000</f>
        <v>7519.8145930076089</v>
      </c>
      <c r="G15" s="34"/>
      <c r="H15" s="33"/>
      <c r="I15" s="33"/>
      <c r="J15" s="40">
        <f>C37*'E Balans VL '!D15/100/3.6*1000000+C37*'E Balans VL '!E15/100/3.6*1000000</f>
        <v>135.91550363183296</v>
      </c>
      <c r="K15" s="33"/>
      <c r="L15" s="33"/>
      <c r="M15" s="33"/>
      <c r="N15" s="33">
        <f>C37*'E Balans VL '!Y15/100/3.6*1000000</f>
        <v>2664.9676858938988</v>
      </c>
      <c r="O15" s="33"/>
      <c r="P15" s="33"/>
      <c r="R15" s="32"/>
    </row>
    <row r="16" spans="1:18">
      <c r="A16" s="16" t="s">
        <v>487</v>
      </c>
      <c r="B16" s="247">
        <f>'lokale energieproductie'!N39+'lokale energieproductie'!N32</f>
        <v>643.5</v>
      </c>
      <c r="C16" s="247">
        <f>'lokale energieproductie'!O39+'lokale energieproductie'!O32</f>
        <v>919.28571428571433</v>
      </c>
      <c r="D16" s="308">
        <f>('lokale energieproductie'!P32+'lokale energieproductie'!P39)*(-1)</f>
        <v>-1838.5714285714287</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77592.41060286283</v>
      </c>
      <c r="C18" s="21">
        <f>C5+C16</f>
        <v>919.28571428571433</v>
      </c>
      <c r="D18" s="21">
        <f>MAX((D5+D16),0)</f>
        <v>58951.484004670398</v>
      </c>
      <c r="E18" s="21">
        <f>MAX((E5+E16),0)</f>
        <v>4302.5017038228643</v>
      </c>
      <c r="F18" s="21">
        <f>MAX((F5+F16),0)</f>
        <v>15484.129448415544</v>
      </c>
      <c r="G18" s="21"/>
      <c r="H18" s="21"/>
      <c r="I18" s="21"/>
      <c r="J18" s="21">
        <f>MAX((J5+J16),0)</f>
        <v>136.57953472103381</v>
      </c>
      <c r="K18" s="21"/>
      <c r="L18" s="21">
        <f>MAX((L5+L16),0)</f>
        <v>0</v>
      </c>
      <c r="M18" s="21"/>
      <c r="N18" s="21">
        <f>MAX((N5+N16),0)</f>
        <v>5279.0349525021156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0.20539576973777865</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15937.152901584788</v>
      </c>
      <c r="C22" s="23">
        <f ca="1">C18*C20</f>
        <v>218.46554621848739</v>
      </c>
      <c r="D22" s="23">
        <f>D18*D20</f>
        <v>11908.199768943421</v>
      </c>
      <c r="E22" s="23">
        <f>E18*E20</f>
        <v>976.66788676779026</v>
      </c>
      <c r="F22" s="23">
        <f>F18*F20</f>
        <v>4134.2625627269508</v>
      </c>
      <c r="G22" s="23"/>
      <c r="H22" s="23"/>
      <c r="I22" s="23"/>
      <c r="J22" s="23">
        <f>J18*J20</f>
        <v>48.349155291245964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12388.2412478475</v>
      </c>
      <c r="C30" s="39">
        <f>IF(ISERROR(B30*3.6/1000000/'E Balans VL '!Z18*100),0,B30*3.6/1000000/'E Balans VL '!Z18*100)</f>
        <v>0.70207339704369665</v>
      </c>
      <c r="D30" s="237" t="s">
        <v>744</v>
      </c>
    </row>
    <row r="31" spans="1:18">
      <c r="A31" s="6" t="s">
        <v>32</v>
      </c>
      <c r="B31" s="37">
        <f>IF( ISERROR(IND_ander_ele_kWh/1000),0,IND_ander_ele_kWh/1000)</f>
        <v>6991.5204210751508</v>
      </c>
      <c r="C31" s="39">
        <f>IF(ISERROR(B31*3.6/1000000/'E Balans VL '!Z19*100),0,B31*3.6/1000000/'E Balans VL '!Z19*100)</f>
        <v>0.31710625411562421</v>
      </c>
      <c r="D31" s="237" t="s">
        <v>744</v>
      </c>
    </row>
    <row r="32" spans="1:18">
      <c r="A32" s="171" t="s">
        <v>40</v>
      </c>
      <c r="B32" s="37">
        <f>IF( ISERROR(IND_voed_ele_kWh/1000),0,IND_voed_ele_kWh/1000)</f>
        <v>13548.484293174499</v>
      </c>
      <c r="C32" s="39">
        <f>IF(ISERROR(B32*3.6/1000000/'E Balans VL '!Z20*100),0,B32*3.6/1000000/'E Balans VL '!Z20*100)</f>
        <v>0.41911612411337956</v>
      </c>
      <c r="D32" s="237" t="s">
        <v>744</v>
      </c>
    </row>
    <row r="33" spans="1:5">
      <c r="A33" s="171" t="s">
        <v>39</v>
      </c>
      <c r="B33" s="37">
        <f>IF( ISERROR(IND_textiel_ele_kWh/1000),0,IND_textiel_ele_kWh/1000)</f>
        <v>1733.72637319656</v>
      </c>
      <c r="C33" s="39">
        <f>IF(ISERROR(B33*3.6/1000000/'E Balans VL '!Z21*100),0,B33*3.6/1000000/'E Balans VL '!Z21*100)</f>
        <v>0.22605864771489359</v>
      </c>
      <c r="D33" s="237" t="s">
        <v>744</v>
      </c>
    </row>
    <row r="34" spans="1:5">
      <c r="A34" s="171" t="s">
        <v>36</v>
      </c>
      <c r="B34" s="37">
        <f>IF( ISERROR(IND_min_ele_kWh/1000),0,IND_min_ele_kWh/1000)</f>
        <v>229.34146295931001</v>
      </c>
      <c r="C34" s="39">
        <f>IF(ISERROR(B34*3.6/1000000/'E Balans VL '!Z22*100),0,B34*3.6/1000000/'E Balans VL '!Z22*100)</f>
        <v>4.125137381514335E-2</v>
      </c>
      <c r="D34" s="237" t="s">
        <v>744</v>
      </c>
    </row>
    <row r="35" spans="1:5">
      <c r="A35" s="171" t="s">
        <v>38</v>
      </c>
      <c r="B35" s="37">
        <f>IF( ISERROR(IND_papier_ele_kWh/1000),0,IND_papier_ele_kWh/1000)</f>
        <v>1856.6862134323599</v>
      </c>
      <c r="C35" s="39">
        <f>IF(ISERROR(B35*3.6/1000000/'E Balans VL '!Z22*100),0,B35*3.6/1000000/'E Balans VL '!Z22*100)</f>
        <v>0.33395992185377366</v>
      </c>
      <c r="D35" s="237" t="s">
        <v>744</v>
      </c>
    </row>
    <row r="36" spans="1:5">
      <c r="A36" s="171" t="s">
        <v>33</v>
      </c>
      <c r="B36" s="37">
        <f>IF( ISERROR(IND_chemie_ele_kWh/1000),0,IND_chemie_ele_kWh/1000)</f>
        <v>2216.5855272681401</v>
      </c>
      <c r="C36" s="39">
        <f>IF(ISERROR(B36*3.6/1000000/'E Balans VL '!Z24*100),0,B36*3.6/1000000/'E Balans VL '!Z24*100)</f>
        <v>6.7592614190225095E-2</v>
      </c>
      <c r="D36" s="237" t="s">
        <v>744</v>
      </c>
    </row>
    <row r="37" spans="1:5">
      <c r="A37" s="171" t="s">
        <v>269</v>
      </c>
      <c r="B37" s="37">
        <f>IF( ISERROR(IND_rest_ele_kWh/1000),0,IND_rest_ele_kWh/1000)</f>
        <v>37965.426136381095</v>
      </c>
      <c r="C37" s="39">
        <f>IF(ISERROR(B37*3.6/1000000/'E Balans VL '!Z15*100),0,B37*3.6/1000000/'E Balans VL '!Z15*100)</f>
        <v>0.30092262810847059</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4062.1486441316565</v>
      </c>
      <c r="C5" s="17">
        <f>'Eigen informatie GS &amp; warmtenet'!B60</f>
        <v>0</v>
      </c>
      <c r="D5" s="30">
        <f>IF(ISERROR(SUM(LB_lb_gas_kWh,LB_rest_gas_kWh)/1000),0,SUM(LB_lb_gas_kWh,LB_rest_gas_kWh)/1000)*0.902</f>
        <v>2221.7824287339158</v>
      </c>
      <c r="E5" s="17">
        <f>B17*'E Balans VL '!I25/3.6*1000000/100</f>
        <v>119.39895588505011</v>
      </c>
      <c r="F5" s="17">
        <f>B17*('E Balans VL '!L25/3.6*1000000+'E Balans VL '!N25/3.6*1000000)/100</f>
        <v>16922.691744461164</v>
      </c>
      <c r="G5" s="18"/>
      <c r="H5" s="17"/>
      <c r="I5" s="17"/>
      <c r="J5" s="17">
        <f>('E Balans VL '!D25+'E Balans VL '!E25)/3.6*1000000*landbouw!B17/100</f>
        <v>588.51810289396792</v>
      </c>
      <c r="K5" s="17"/>
      <c r="L5" s="17">
        <f>L6*(-1)</f>
        <v>0</v>
      </c>
      <c r="M5" s="17"/>
      <c r="N5" s="17">
        <f>N6*(-1)</f>
        <v>0</v>
      </c>
      <c r="O5" s="17"/>
      <c r="P5" s="17"/>
      <c r="R5" s="32"/>
    </row>
    <row r="6" spans="1:18">
      <c r="A6" s="16" t="s">
        <v>487</v>
      </c>
      <c r="B6" s="17" t="s">
        <v>210</v>
      </c>
      <c r="C6" s="17">
        <f>'lokale energieproductie'!O41+'lokale energieproductie'!O34</f>
        <v>0</v>
      </c>
      <c r="D6" s="308">
        <f>('lokale energieproductie'!P34+'lokale energieproductie'!P41)*(-1)</f>
        <v>0</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4062.1486441316565</v>
      </c>
      <c r="C8" s="21">
        <f>C5+C6</f>
        <v>0</v>
      </c>
      <c r="D8" s="21">
        <f>MAX((D5+D6),0)</f>
        <v>2221.7824287339158</v>
      </c>
      <c r="E8" s="21">
        <f>MAX((E5+E6),0)</f>
        <v>119.39895588505011</v>
      </c>
      <c r="F8" s="21">
        <f>MAX((F5+F6),0)</f>
        <v>16922.691744461164</v>
      </c>
      <c r="G8" s="21"/>
      <c r="H8" s="21"/>
      <c r="I8" s="21"/>
      <c r="J8" s="21">
        <f>MAX((J5+J6),0)</f>
        <v>588.51810289396792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0.20539576973777865</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834.34814755069544</v>
      </c>
      <c r="C12" s="23">
        <f ca="1">C8*C10</f>
        <v>0</v>
      </c>
      <c r="D12" s="23">
        <f>D8*D10</f>
        <v>448.800050604251</v>
      </c>
      <c r="E12" s="23">
        <f>E8*E10</f>
        <v>27.103562985906375</v>
      </c>
      <c r="F12" s="23">
        <f>F8*F10</f>
        <v>4518.3586957711314</v>
      </c>
      <c r="G12" s="23"/>
      <c r="H12" s="23"/>
      <c r="I12" s="23"/>
      <c r="J12" s="23">
        <f>J8*J10</f>
        <v>208.33540842446465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0.57643163720498236</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708.20156167549862</v>
      </c>
      <c r="C26" s="247">
        <f>B26*'GWP N2O_CH4'!B5</f>
        <v>14872.232795185471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308.0267918775769</v>
      </c>
      <c r="C27" s="247">
        <f>B27*'GWP N2O_CH4'!B5</f>
        <v>6468.5626294291151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9.038305369247654</v>
      </c>
      <c r="C28" s="247">
        <f>B28*'GWP N2O_CH4'!B4</f>
        <v>2801.8746644667726</v>
      </c>
      <c r="D28" s="50"/>
    </row>
    <row r="29" spans="1:4">
      <c r="A29" s="41" t="s">
        <v>276</v>
      </c>
      <c r="B29" s="247">
        <f>B34*'ha_N2O bodem landbouw'!B4</f>
        <v>24.80484628067434</v>
      </c>
      <c r="C29" s="247">
        <f>B29*'GWP N2O_CH4'!B4</f>
        <v>7689.5023470090455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5.6603804399467878E-3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5.8294758752161155E-4</v>
      </c>
      <c r="C5" s="437" t="s">
        <v>210</v>
      </c>
      <c r="D5" s="422">
        <f>SUM(D6:D11)</f>
        <v>1.7910841164038851E-3</v>
      </c>
      <c r="E5" s="422">
        <f>SUM(E6:E11)</f>
        <v>3.174418123552084E-3</v>
      </c>
      <c r="F5" s="435" t="s">
        <v>210</v>
      </c>
      <c r="G5" s="422">
        <f>SUM(G6:G11)</f>
        <v>1.5520573486304585</v>
      </c>
      <c r="H5" s="422">
        <f>SUM(H6:H11)</f>
        <v>0.30419045680922968</v>
      </c>
      <c r="I5" s="437" t="s">
        <v>210</v>
      </c>
      <c r="J5" s="437" t="s">
        <v>210</v>
      </c>
      <c r="K5" s="437" t="s">
        <v>210</v>
      </c>
      <c r="L5" s="437" t="s">
        <v>210</v>
      </c>
      <c r="M5" s="422">
        <f>SUM(M6:M11)</f>
        <v>9.9635037488929282E-2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2.1554486420260219E-4</v>
      </c>
      <c r="C6" s="423"/>
      <c r="D6" s="865">
        <f>vkm_GW_PW*SUMIFS(TableVerdeelsleutelVkm[CNG],TableVerdeelsleutelVkm[Voertuigtype],"Lichte voertuigen")*SUMIFS(TableECFTransport[EnergieConsumptieFactor (PJ per km)],TableECFTransport[Index],CONCATENATE($A6,"_CNG_CNG"))</f>
        <v>5.3417280275455084E-4</v>
      </c>
      <c r="E6" s="865">
        <f>vkm_GW_PW*SUMIFS(TableVerdeelsleutelVkm[LPG],TableVerdeelsleutelVkm[Voertuigtype],"Lichte voertuigen")*SUMIFS(TableECFTransport[EnergieConsumptieFactor (PJ per km)],TableECFTransport[Index],CONCATENATE($A6,"_LPG_LPG"))</f>
        <v>9.1704131200061626E-4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0.28099477523251259</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9.0758190652269616E-2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1.9089244086186681E-2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0.20452194880486635</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3.421280183011634E-6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1.1949308576669971E-2</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2.026338111390095E-4</v>
      </c>
      <c r="C8" s="423"/>
      <c r="D8" s="425">
        <f>vkm_NGW_PW*SUMIFS(TableVerdeelsleutelVkm[CNG],TableVerdeelsleutelVkm[Voertuigtype],"Lichte voertuigen")*SUMIFS(TableECFTransport[EnergieConsumptieFactor (PJ per km)],TableECFTransport[Index],CONCATENATE($A8,"_CNG_CNG"))</f>
        <v>8.4878649610855498E-4</v>
      </c>
      <c r="E8" s="425">
        <f>vkm_NGW_PW*SUMIFS(TableVerdeelsleutelVkm[LPG],TableVerdeelsleutelVkm[Voertuigtype],"Lichte voertuigen")*SUMIFS(TableECFTransport[EnergieConsumptieFactor (PJ per km)],TableECFTransport[Index],CONCATENATE($A8,"_LPG_LPG"))</f>
        <v>1.3837969225158886E-3</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0.39884311608391831</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0.141040484676242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2.7454954317725662E-2</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0.13583888554117746</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2.7992240111276282E-6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7.9364779291322164E-3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1.6476891217999992E-4</v>
      </c>
      <c r="C10" s="423"/>
      <c r="D10" s="425">
        <f>vkm_SW_PW*SUMIFS(TableVerdeelsleutelVkm[CNG],TableVerdeelsleutelVkm[Voertuigtype],"Lichte voertuigen")*SUMIFS(TableECFTransport[EnergieConsumptieFactor (PJ per km)],TableECFTransport[Index],CONCATENATE($A10,"_CNG_CNG"))</f>
        <v>4.0812481754077932E-4</v>
      </c>
      <c r="E10" s="425">
        <f>vkm_SW_PW*SUMIFS(TableVerdeelsleutelVkm[LPG],TableVerdeelsleutelVkm[Voertuigtype],"Lichte voertuigen")*SUMIFS(TableECFTransport[EnergieConsumptieFactor (PJ per km)],TableECFTransport[Index],CONCATENATE($A10,"_LPG_LPG"))</f>
        <v>8.7357988903557929E-4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0.23947326194937216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7.2380350722385661E-2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1.612226589309939E-2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0.29238536101861162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5.210254138320747E-6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1.7082786686115365E-2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161.92988542266988</v>
      </c>
      <c r="C14" s="21"/>
      <c r="D14" s="21">
        <f t="shared" ref="D14:M14" si="0">((D5)*10^9/3600)+D12</f>
        <v>497.52336566774591</v>
      </c>
      <c r="E14" s="21">
        <f t="shared" si="0"/>
        <v>881.78281209780107</v>
      </c>
      <c r="F14" s="21"/>
      <c r="G14" s="21">
        <f t="shared" si="0"/>
        <v>431127.04128623847</v>
      </c>
      <c r="H14" s="21">
        <f t="shared" si="0"/>
        <v>84497.349113674907</v>
      </c>
      <c r="I14" s="21"/>
      <c r="J14" s="21"/>
      <c r="K14" s="21"/>
      <c r="L14" s="21"/>
      <c r="M14" s="21">
        <f t="shared" si="0"/>
        <v>27676.399302480357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0.20539576973777865</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33.259713459939583</v>
      </c>
      <c r="C18" s="23"/>
      <c r="D18" s="23">
        <f t="shared" ref="D18:M18" si="1">D14*D16</f>
        <v>100.49971986488468</v>
      </c>
      <c r="E18" s="23">
        <f t="shared" si="1"/>
        <v>200.16469834620085</v>
      </c>
      <c r="F18" s="23"/>
      <c r="G18" s="23">
        <f t="shared" si="1"/>
        <v>115110.92002342567</v>
      </c>
      <c r="H18" s="23">
        <f t="shared" si="1"/>
        <v>21039.839929305053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3.466332427116927E-2</v>
      </c>
      <c r="H50" s="319">
        <f t="shared" si="2"/>
        <v>0</v>
      </c>
      <c r="I50" s="319">
        <f t="shared" si="2"/>
        <v>0</v>
      </c>
      <c r="J50" s="319">
        <f t="shared" si="2"/>
        <v>0</v>
      </c>
      <c r="K50" s="319">
        <f t="shared" si="2"/>
        <v>0</v>
      </c>
      <c r="L50" s="319">
        <f t="shared" si="2"/>
        <v>0</v>
      </c>
      <c r="M50" s="319">
        <f t="shared" si="2"/>
        <v>1.9685750789967481E-3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3.466332427116927E-2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1.9685750789967481E-3</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9628.7011864359083</v>
      </c>
      <c r="H54" s="21">
        <f t="shared" si="3"/>
        <v>0</v>
      </c>
      <c r="I54" s="21">
        <f t="shared" si="3"/>
        <v>0</v>
      </c>
      <c r="J54" s="21">
        <f t="shared" si="3"/>
        <v>0</v>
      </c>
      <c r="K54" s="21">
        <f t="shared" si="3"/>
        <v>0</v>
      </c>
      <c r="L54" s="21">
        <f t="shared" si="3"/>
        <v>0</v>
      </c>
      <c r="M54" s="21">
        <f t="shared" si="3"/>
        <v>546.82641083243004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0.20539576973777865</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2570.8632167783876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131161.83812317104</v>
      </c>
      <c r="D10" s="979">
        <f ca="1">tertiair!C16</f>
        <v>67.5</v>
      </c>
      <c r="E10" s="979">
        <f ca="1">tertiair!D16</f>
        <v>168100.65521274778</v>
      </c>
      <c r="F10" s="979">
        <f>tertiair!E16</f>
        <v>1862.2883009486734</v>
      </c>
      <c r="G10" s="979">
        <f ca="1">tertiair!F16</f>
        <v>21923.751202314244</v>
      </c>
      <c r="H10" s="979">
        <f>tertiair!G16</f>
        <v>0</v>
      </c>
      <c r="I10" s="979">
        <f>tertiair!H16</f>
        <v>0</v>
      </c>
      <c r="J10" s="979">
        <f>tertiair!I16</f>
        <v>0</v>
      </c>
      <c r="K10" s="979">
        <f>tertiair!J16</f>
        <v>0.1947268622738047</v>
      </c>
      <c r="L10" s="979">
        <f>tertiair!K16</f>
        <v>0</v>
      </c>
      <c r="M10" s="979">
        <f ca="1">tertiair!L16</f>
        <v>0</v>
      </c>
      <c r="N10" s="979">
        <f>tertiair!M16</f>
        <v>0</v>
      </c>
      <c r="O10" s="979">
        <f ca="1">tertiair!N16</f>
        <v>8044.0833994399291</v>
      </c>
      <c r="P10" s="979">
        <f>tertiair!O16</f>
        <v>17.196666666666669</v>
      </c>
      <c r="Q10" s="980">
        <f>tertiair!P16</f>
        <v>247.86666666666667</v>
      </c>
      <c r="R10" s="674">
        <f ca="1">SUM(C10:Q10)</f>
        <v>331425.37429881719</v>
      </c>
      <c r="S10" s="67"/>
    </row>
    <row r="11" spans="1:19" s="447" customFormat="1">
      <c r="A11" s="783" t="s">
        <v>224</v>
      </c>
      <c r="B11" s="788"/>
      <c r="C11" s="979">
        <f>huishoudens!B8</f>
        <v>114145.40781478703</v>
      </c>
      <c r="D11" s="979">
        <f>huishoudens!C8</f>
        <v>0</v>
      </c>
      <c r="E11" s="979">
        <f>huishoudens!D8</f>
        <v>309729.51683775027</v>
      </c>
      <c r="F11" s="979">
        <f>huishoudens!E8</f>
        <v>32086.638642337719</v>
      </c>
      <c r="G11" s="979">
        <f>huishoudens!F8</f>
        <v>0</v>
      </c>
      <c r="H11" s="979">
        <f>huishoudens!G8</f>
        <v>0</v>
      </c>
      <c r="I11" s="979">
        <f>huishoudens!H8</f>
        <v>0</v>
      </c>
      <c r="J11" s="979">
        <f>huishoudens!I8</f>
        <v>0</v>
      </c>
      <c r="K11" s="979">
        <f>huishoudens!J8</f>
        <v>3270.6081693959522</v>
      </c>
      <c r="L11" s="979">
        <f>huishoudens!K8</f>
        <v>0</v>
      </c>
      <c r="M11" s="979">
        <f>huishoudens!L8</f>
        <v>0</v>
      </c>
      <c r="N11" s="979">
        <f>huishoudens!M8</f>
        <v>0</v>
      </c>
      <c r="O11" s="979">
        <f>huishoudens!N8</f>
        <v>59651.304963094313</v>
      </c>
      <c r="P11" s="979">
        <f>huishoudens!O8</f>
        <v>972.39333333333343</v>
      </c>
      <c r="Q11" s="980">
        <f>huishoudens!P8</f>
        <v>4442.5333333333328</v>
      </c>
      <c r="R11" s="674">
        <f>SUM(C11:Q11)</f>
        <v>524298.40309403196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77592.41060286283</v>
      </c>
      <c r="D13" s="979">
        <f>industrie!C18</f>
        <v>919.28571428571433</v>
      </c>
      <c r="E13" s="979">
        <f>industrie!D18</f>
        <v>58951.484004670398</v>
      </c>
      <c r="F13" s="979">
        <f>industrie!E18</f>
        <v>4302.5017038228643</v>
      </c>
      <c r="G13" s="979">
        <f>industrie!F18</f>
        <v>15484.129448415544</v>
      </c>
      <c r="H13" s="979">
        <f>industrie!G18</f>
        <v>0</v>
      </c>
      <c r="I13" s="979">
        <f>industrie!H18</f>
        <v>0</v>
      </c>
      <c r="J13" s="979">
        <f>industrie!I18</f>
        <v>0</v>
      </c>
      <c r="K13" s="979">
        <f>industrie!J18</f>
        <v>136.57953472103381</v>
      </c>
      <c r="L13" s="979">
        <f>industrie!K18</f>
        <v>0</v>
      </c>
      <c r="M13" s="979">
        <f>industrie!L18</f>
        <v>0</v>
      </c>
      <c r="N13" s="979">
        <f>industrie!M18</f>
        <v>0</v>
      </c>
      <c r="O13" s="979">
        <f>industrie!N18</f>
        <v>5279.0349525021156</v>
      </c>
      <c r="P13" s="979">
        <f>industrie!O18</f>
        <v>0</v>
      </c>
      <c r="Q13" s="980">
        <f>industrie!P18</f>
        <v>0</v>
      </c>
      <c r="R13" s="674">
        <f>SUM(C13:Q13)</f>
        <v>162665.4259612805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322899.6565408209</v>
      </c>
      <c r="D16" s="706">
        <f t="shared" ref="D16:R16" ca="1" si="0">SUM(D9:D15)</f>
        <v>986.78571428571433</v>
      </c>
      <c r="E16" s="706">
        <f t="shared" ca="1" si="0"/>
        <v>536781.65605516848</v>
      </c>
      <c r="F16" s="706">
        <f t="shared" si="0"/>
        <v>38251.428647109256</v>
      </c>
      <c r="G16" s="706">
        <f t="shared" ca="1" si="0"/>
        <v>37407.880650729785</v>
      </c>
      <c r="H16" s="706">
        <f t="shared" si="0"/>
        <v>0</v>
      </c>
      <c r="I16" s="706">
        <f t="shared" si="0"/>
        <v>0</v>
      </c>
      <c r="J16" s="706">
        <f t="shared" si="0"/>
        <v>0</v>
      </c>
      <c r="K16" s="706">
        <f t="shared" si="0"/>
        <v>3407.3824309792599</v>
      </c>
      <c r="L16" s="706">
        <f t="shared" si="0"/>
        <v>0</v>
      </c>
      <c r="M16" s="706">
        <f t="shared" ca="1" si="0"/>
        <v>0</v>
      </c>
      <c r="N16" s="706">
        <f t="shared" si="0"/>
        <v>0</v>
      </c>
      <c r="O16" s="706">
        <f t="shared" ca="1" si="0"/>
        <v>72974.423315036358</v>
      </c>
      <c r="P16" s="706">
        <f t="shared" si="0"/>
        <v>989.59000000000015</v>
      </c>
      <c r="Q16" s="706">
        <f t="shared" si="0"/>
        <v>4690.3999999999996</v>
      </c>
      <c r="R16" s="706">
        <f t="shared" ca="1" si="0"/>
        <v>1018389.2033541296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9628.7011864359083</v>
      </c>
      <c r="I19" s="979">
        <f>transport!H54</f>
        <v>0</v>
      </c>
      <c r="J19" s="979">
        <f>transport!I54</f>
        <v>0</v>
      </c>
      <c r="K19" s="979">
        <f>transport!J54</f>
        <v>0</v>
      </c>
      <c r="L19" s="979">
        <f>transport!K54</f>
        <v>0</v>
      </c>
      <c r="M19" s="979">
        <f>transport!L54</f>
        <v>0</v>
      </c>
      <c r="N19" s="979">
        <f>transport!M54</f>
        <v>546.82641083243004</v>
      </c>
      <c r="O19" s="979">
        <f>transport!N54</f>
        <v>0</v>
      </c>
      <c r="P19" s="979">
        <f>transport!O54</f>
        <v>0</v>
      </c>
      <c r="Q19" s="980">
        <f>transport!P54</f>
        <v>0</v>
      </c>
      <c r="R19" s="674">
        <f>SUM(C19:Q19)</f>
        <v>10175.527597268338</v>
      </c>
      <c r="S19" s="67"/>
    </row>
    <row r="20" spans="1:19" s="447" customFormat="1">
      <c r="A20" s="783" t="s">
        <v>306</v>
      </c>
      <c r="B20" s="788"/>
      <c r="C20" s="979">
        <f>transport!B14</f>
        <v>161.92988542266988</v>
      </c>
      <c r="D20" s="979">
        <f>transport!C14</f>
        <v>0</v>
      </c>
      <c r="E20" s="979">
        <f>transport!D14</f>
        <v>497.52336566774591</v>
      </c>
      <c r="F20" s="979">
        <f>transport!E14</f>
        <v>881.78281209780107</v>
      </c>
      <c r="G20" s="979">
        <f>transport!F14</f>
        <v>0</v>
      </c>
      <c r="H20" s="979">
        <f>transport!G14</f>
        <v>431127.04128623847</v>
      </c>
      <c r="I20" s="979">
        <f>transport!H14</f>
        <v>84497.349113674907</v>
      </c>
      <c r="J20" s="979">
        <f>transport!I14</f>
        <v>0</v>
      </c>
      <c r="K20" s="979">
        <f>transport!J14</f>
        <v>0</v>
      </c>
      <c r="L20" s="979">
        <f>transport!K14</f>
        <v>0</v>
      </c>
      <c r="M20" s="979">
        <f>transport!L14</f>
        <v>0</v>
      </c>
      <c r="N20" s="979">
        <f>transport!M14</f>
        <v>27676.399302480357</v>
      </c>
      <c r="O20" s="979">
        <f>transport!N14</f>
        <v>0</v>
      </c>
      <c r="P20" s="979">
        <f>transport!O14</f>
        <v>0</v>
      </c>
      <c r="Q20" s="980">
        <f>transport!P14</f>
        <v>0</v>
      </c>
      <c r="R20" s="674">
        <f>SUM(C20:Q20)</f>
        <v>544842.02576558199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161.92988542266988</v>
      </c>
      <c r="D22" s="786">
        <f t="shared" ref="D22:R22" si="1">SUM(D18:D21)</f>
        <v>0</v>
      </c>
      <c r="E22" s="786">
        <f t="shared" si="1"/>
        <v>497.52336566774591</v>
      </c>
      <c r="F22" s="786">
        <f t="shared" si="1"/>
        <v>881.78281209780107</v>
      </c>
      <c r="G22" s="786">
        <f t="shared" si="1"/>
        <v>0</v>
      </c>
      <c r="H22" s="786">
        <f t="shared" si="1"/>
        <v>440755.74247267435</v>
      </c>
      <c r="I22" s="786">
        <f t="shared" si="1"/>
        <v>84497.349113674907</v>
      </c>
      <c r="J22" s="786">
        <f t="shared" si="1"/>
        <v>0</v>
      </c>
      <c r="K22" s="786">
        <f t="shared" si="1"/>
        <v>0</v>
      </c>
      <c r="L22" s="786">
        <f t="shared" si="1"/>
        <v>0</v>
      </c>
      <c r="M22" s="786">
        <f t="shared" si="1"/>
        <v>0</v>
      </c>
      <c r="N22" s="786">
        <f t="shared" si="1"/>
        <v>28223.225713312786</v>
      </c>
      <c r="O22" s="786">
        <f t="shared" si="1"/>
        <v>0</v>
      </c>
      <c r="P22" s="786">
        <f t="shared" si="1"/>
        <v>0</v>
      </c>
      <c r="Q22" s="786">
        <f t="shared" si="1"/>
        <v>0</v>
      </c>
      <c r="R22" s="786">
        <f t="shared" si="1"/>
        <v>555017.55336285033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4062.1486441316565</v>
      </c>
      <c r="D24" s="979">
        <f>+landbouw!C8</f>
        <v>0</v>
      </c>
      <c r="E24" s="979">
        <f>+landbouw!D8</f>
        <v>2221.7824287339158</v>
      </c>
      <c r="F24" s="979">
        <f>+landbouw!E8</f>
        <v>119.39895588505011</v>
      </c>
      <c r="G24" s="979">
        <f>+landbouw!F8</f>
        <v>16922.691744461164</v>
      </c>
      <c r="H24" s="979">
        <f>+landbouw!G8</f>
        <v>0</v>
      </c>
      <c r="I24" s="979">
        <f>+landbouw!H8</f>
        <v>0</v>
      </c>
      <c r="J24" s="979">
        <f>+landbouw!I8</f>
        <v>0</v>
      </c>
      <c r="K24" s="979">
        <f>+landbouw!J8</f>
        <v>588.51810289396792</v>
      </c>
      <c r="L24" s="979">
        <f>+landbouw!K8</f>
        <v>0</v>
      </c>
      <c r="M24" s="979">
        <f>+landbouw!L8</f>
        <v>0</v>
      </c>
      <c r="N24" s="979">
        <f>+landbouw!M8</f>
        <v>0</v>
      </c>
      <c r="O24" s="979">
        <f>+landbouw!N8</f>
        <v>0</v>
      </c>
      <c r="P24" s="979">
        <f>+landbouw!O8</f>
        <v>0</v>
      </c>
      <c r="Q24" s="980">
        <f>+landbouw!P8</f>
        <v>0</v>
      </c>
      <c r="R24" s="674">
        <f>SUM(C24:Q24)</f>
        <v>23914.539876105759</v>
      </c>
      <c r="S24" s="67"/>
    </row>
    <row r="25" spans="1:19" s="447" customFormat="1" ht="15" thickBot="1">
      <c r="A25" s="805" t="s">
        <v>823</v>
      </c>
      <c r="B25" s="982"/>
      <c r="C25" s="983">
        <f>IF(Onbekend_ele_kWh="---",0,Onbekend_ele_kWh)/1000+IF(REST_rest_ele_kWh="---",0,REST_rest_ele_kWh)/1000</f>
        <v>4549.9541484961801</v>
      </c>
      <c r="D25" s="983"/>
      <c r="E25" s="983">
        <f>IF(onbekend_gas_kWh="---",0,onbekend_gas_kWh)/1000+IF(REST_rest_gas_kWh="---",0,REST_rest_gas_kWh)/1000</f>
        <v>14747.0097813582</v>
      </c>
      <c r="F25" s="983"/>
      <c r="G25" s="983"/>
      <c r="H25" s="983"/>
      <c r="I25" s="983"/>
      <c r="J25" s="983"/>
      <c r="K25" s="983"/>
      <c r="L25" s="983"/>
      <c r="M25" s="983"/>
      <c r="N25" s="983"/>
      <c r="O25" s="983"/>
      <c r="P25" s="983"/>
      <c r="Q25" s="984"/>
      <c r="R25" s="674">
        <f>SUM(C25:Q25)</f>
        <v>19296.963929854381</v>
      </c>
      <c r="S25" s="67"/>
    </row>
    <row r="26" spans="1:19" s="447" customFormat="1" ht="15.75" thickBot="1">
      <c r="A26" s="679" t="s">
        <v>824</v>
      </c>
      <c r="B26" s="791"/>
      <c r="C26" s="786">
        <f>SUM(C24:C25)</f>
        <v>8612.1027926278366</v>
      </c>
      <c r="D26" s="786">
        <f t="shared" ref="D26:R26" si="2">SUM(D24:D25)</f>
        <v>0</v>
      </c>
      <c r="E26" s="786">
        <f t="shared" si="2"/>
        <v>16968.792210092117</v>
      </c>
      <c r="F26" s="786">
        <f t="shared" si="2"/>
        <v>119.39895588505011</v>
      </c>
      <c r="G26" s="786">
        <f t="shared" si="2"/>
        <v>16922.691744461164</v>
      </c>
      <c r="H26" s="786">
        <f t="shared" si="2"/>
        <v>0</v>
      </c>
      <c r="I26" s="786">
        <f t="shared" si="2"/>
        <v>0</v>
      </c>
      <c r="J26" s="786">
        <f t="shared" si="2"/>
        <v>0</v>
      </c>
      <c r="K26" s="786">
        <f t="shared" si="2"/>
        <v>588.51810289396792</v>
      </c>
      <c r="L26" s="786">
        <f t="shared" si="2"/>
        <v>0</v>
      </c>
      <c r="M26" s="786">
        <f t="shared" si="2"/>
        <v>0</v>
      </c>
      <c r="N26" s="786">
        <f t="shared" si="2"/>
        <v>0</v>
      </c>
      <c r="O26" s="786">
        <f t="shared" si="2"/>
        <v>0</v>
      </c>
      <c r="P26" s="786">
        <f t="shared" si="2"/>
        <v>0</v>
      </c>
      <c r="Q26" s="786">
        <f t="shared" si="2"/>
        <v>0</v>
      </c>
      <c r="R26" s="786">
        <f t="shared" si="2"/>
        <v>43211.503805960136</v>
      </c>
      <c r="S26" s="67"/>
    </row>
    <row r="27" spans="1:19" s="447" customFormat="1" ht="17.25" thickTop="1" thickBot="1">
      <c r="A27" s="680" t="s">
        <v>115</v>
      </c>
      <c r="B27" s="779"/>
      <c r="C27" s="681">
        <f ca="1">C22+C16+C26</f>
        <v>331673.68921887141</v>
      </c>
      <c r="D27" s="681">
        <f t="shared" ref="D27:R27" ca="1" si="3">D22+D16+D26</f>
        <v>986.78571428571433</v>
      </c>
      <c r="E27" s="681">
        <f t="shared" ca="1" si="3"/>
        <v>554247.97163092834</v>
      </c>
      <c r="F27" s="681">
        <f t="shared" si="3"/>
        <v>39252.610415092109</v>
      </c>
      <c r="G27" s="681">
        <f t="shared" ca="1" si="3"/>
        <v>54330.572395190946</v>
      </c>
      <c r="H27" s="681">
        <f t="shared" si="3"/>
        <v>440755.74247267435</v>
      </c>
      <c r="I27" s="681">
        <f t="shared" si="3"/>
        <v>84497.349113674907</v>
      </c>
      <c r="J27" s="681">
        <f t="shared" si="3"/>
        <v>0</v>
      </c>
      <c r="K27" s="681">
        <f t="shared" si="3"/>
        <v>3995.9005338732277</v>
      </c>
      <c r="L27" s="681">
        <f t="shared" si="3"/>
        <v>0</v>
      </c>
      <c r="M27" s="681">
        <f t="shared" ca="1" si="3"/>
        <v>0</v>
      </c>
      <c r="N27" s="681">
        <f t="shared" si="3"/>
        <v>28223.225713312786</v>
      </c>
      <c r="O27" s="681">
        <f t="shared" ca="1" si="3"/>
        <v>72974.423315036358</v>
      </c>
      <c r="P27" s="681">
        <f t="shared" si="3"/>
        <v>989.59000000000015</v>
      </c>
      <c r="Q27" s="681">
        <f t="shared" si="3"/>
        <v>4690.3999999999996</v>
      </c>
      <c r="R27" s="681">
        <f t="shared" ca="1" si="3"/>
        <v>1616618.26052294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26940.086701530636</v>
      </c>
      <c r="D40" s="979">
        <f ca="1">tertiair!C20</f>
        <v>16.041176470588233</v>
      </c>
      <c r="E40" s="979">
        <f ca="1">tertiair!D20</f>
        <v>33956.332352975056</v>
      </c>
      <c r="F40" s="979">
        <f>tertiair!E20</f>
        <v>422.73944431534886</v>
      </c>
      <c r="G40" s="979">
        <f ca="1">tertiair!F20</f>
        <v>5853.6415710179035</v>
      </c>
      <c r="H40" s="979">
        <f>tertiair!G20</f>
        <v>0</v>
      </c>
      <c r="I40" s="979">
        <f>tertiair!H20</f>
        <v>0</v>
      </c>
      <c r="J40" s="979">
        <f>tertiair!I20</f>
        <v>0</v>
      </c>
      <c r="K40" s="979">
        <f>tertiair!J20</f>
        <v>6.8933309244926855E-2</v>
      </c>
      <c r="L40" s="979">
        <f>tertiair!K20</f>
        <v>0</v>
      </c>
      <c r="M40" s="979">
        <f ca="1">tertiair!L20</f>
        <v>0</v>
      </c>
      <c r="N40" s="979">
        <f>tertiair!M20</f>
        <v>0</v>
      </c>
      <c r="O40" s="979">
        <f ca="1">tertiair!N20</f>
        <v>0</v>
      </c>
      <c r="P40" s="979">
        <f>tertiair!O20</f>
        <v>0</v>
      </c>
      <c r="Q40" s="748">
        <f>tertiair!P20</f>
        <v>0</v>
      </c>
      <c r="R40" s="824">
        <f t="shared" ca="1" si="4"/>
        <v>67188.910179618775</v>
      </c>
    </row>
    <row r="41" spans="1:18">
      <c r="A41" s="796" t="s">
        <v>224</v>
      </c>
      <c r="B41" s="803"/>
      <c r="C41" s="979">
        <f ca="1">huishoudens!B12</f>
        <v>23444.983900150837</v>
      </c>
      <c r="D41" s="979">
        <f ca="1">huishoudens!C12</f>
        <v>0</v>
      </c>
      <c r="E41" s="979">
        <f>huishoudens!D12</f>
        <v>62565.36240122556</v>
      </c>
      <c r="F41" s="979">
        <f>huishoudens!E12</f>
        <v>7283.6669718106623</v>
      </c>
      <c r="G41" s="979">
        <f>huishoudens!F12</f>
        <v>0</v>
      </c>
      <c r="H41" s="979">
        <f>huishoudens!G12</f>
        <v>0</v>
      </c>
      <c r="I41" s="979">
        <f>huishoudens!H12</f>
        <v>0</v>
      </c>
      <c r="J41" s="979">
        <f>huishoudens!I12</f>
        <v>0</v>
      </c>
      <c r="K41" s="979">
        <f>huishoudens!J12</f>
        <v>1157.795291966167</v>
      </c>
      <c r="L41" s="979">
        <f>huishoudens!K12</f>
        <v>0</v>
      </c>
      <c r="M41" s="979">
        <f>huishoudens!L12</f>
        <v>0</v>
      </c>
      <c r="N41" s="979">
        <f>huishoudens!M12</f>
        <v>0</v>
      </c>
      <c r="O41" s="979">
        <f>huishoudens!N12</f>
        <v>0</v>
      </c>
      <c r="P41" s="979">
        <f>huishoudens!O12</f>
        <v>0</v>
      </c>
      <c r="Q41" s="748">
        <f>huishoudens!P12</f>
        <v>0</v>
      </c>
      <c r="R41" s="824">
        <f t="shared" ca="1" si="4"/>
        <v>94451.808565153216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15937.152901584788</v>
      </c>
      <c r="D43" s="979">
        <f ca="1">industrie!C22</f>
        <v>218.46554621848739</v>
      </c>
      <c r="E43" s="979">
        <f>industrie!D22</f>
        <v>11908.199768943421</v>
      </c>
      <c r="F43" s="979">
        <f>industrie!E22</f>
        <v>976.66788676779026</v>
      </c>
      <c r="G43" s="979">
        <f>industrie!F22</f>
        <v>4134.2625627269508</v>
      </c>
      <c r="H43" s="979">
        <f>industrie!G22</f>
        <v>0</v>
      </c>
      <c r="I43" s="979">
        <f>industrie!H22</f>
        <v>0</v>
      </c>
      <c r="J43" s="979">
        <f>industrie!I22</f>
        <v>0</v>
      </c>
      <c r="K43" s="979">
        <f>industrie!J22</f>
        <v>48.349155291245964</v>
      </c>
      <c r="L43" s="979">
        <f>industrie!K22</f>
        <v>0</v>
      </c>
      <c r="M43" s="979">
        <f>industrie!L22</f>
        <v>0</v>
      </c>
      <c r="N43" s="979">
        <f>industrie!M22</f>
        <v>0</v>
      </c>
      <c r="O43" s="979">
        <f>industrie!N22</f>
        <v>0</v>
      </c>
      <c r="P43" s="979">
        <f>industrie!O22</f>
        <v>0</v>
      </c>
      <c r="Q43" s="748">
        <f>industrie!P22</f>
        <v>0</v>
      </c>
      <c r="R43" s="823">
        <f t="shared" ca="1" si="4"/>
        <v>33223.097821532683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66322.223503266257</v>
      </c>
      <c r="D46" s="706">
        <f t="shared" ref="D46:Q46" ca="1" si="5">SUM(D39:D45)</f>
        <v>234.50672268907562</v>
      </c>
      <c r="E46" s="706">
        <f t="shared" ca="1" si="5"/>
        <v>108429.89452314403</v>
      </c>
      <c r="F46" s="706">
        <f t="shared" si="5"/>
        <v>8683.0743028938014</v>
      </c>
      <c r="G46" s="706">
        <f t="shared" ca="1" si="5"/>
        <v>9987.9041337448543</v>
      </c>
      <c r="H46" s="706">
        <f t="shared" si="5"/>
        <v>0</v>
      </c>
      <c r="I46" s="706">
        <f t="shared" si="5"/>
        <v>0</v>
      </c>
      <c r="J46" s="706">
        <f t="shared" si="5"/>
        <v>0</v>
      </c>
      <c r="K46" s="706">
        <f t="shared" si="5"/>
        <v>1206.2133805666581</v>
      </c>
      <c r="L46" s="706">
        <f t="shared" si="5"/>
        <v>0</v>
      </c>
      <c r="M46" s="706">
        <f t="shared" ca="1" si="5"/>
        <v>0</v>
      </c>
      <c r="N46" s="706">
        <f t="shared" si="5"/>
        <v>0</v>
      </c>
      <c r="O46" s="706">
        <f t="shared" ca="1" si="5"/>
        <v>0</v>
      </c>
      <c r="P46" s="706">
        <f t="shared" si="5"/>
        <v>0</v>
      </c>
      <c r="Q46" s="706">
        <f t="shared" si="5"/>
        <v>0</v>
      </c>
      <c r="R46" s="706">
        <f ca="1">SUM(R39:R45)</f>
        <v>194863.81656630468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2570.8632167783876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2570.8632167783876</v>
      </c>
    </row>
    <row r="50" spans="1:18">
      <c r="A50" s="799" t="s">
        <v>306</v>
      </c>
      <c r="B50" s="809"/>
      <c r="C50" s="677">
        <f ca="1">transport!B18</f>
        <v>33.259713459939583</v>
      </c>
      <c r="D50" s="677">
        <f>transport!C18</f>
        <v>0</v>
      </c>
      <c r="E50" s="677">
        <f>transport!D18</f>
        <v>100.49971986488468</v>
      </c>
      <c r="F50" s="677">
        <f>transport!E18</f>
        <v>200.16469834620085</v>
      </c>
      <c r="G50" s="677">
        <f>transport!F18</f>
        <v>0</v>
      </c>
      <c r="H50" s="677">
        <f>transport!G18</f>
        <v>115110.92002342567</v>
      </c>
      <c r="I50" s="677">
        <f>transport!H18</f>
        <v>21039.839929305053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136484.68408440176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33.259713459939583</v>
      </c>
      <c r="D52" s="706">
        <f t="shared" ref="D52:Q52" ca="1" si="6">SUM(D48:D51)</f>
        <v>0</v>
      </c>
      <c r="E52" s="706">
        <f t="shared" si="6"/>
        <v>100.49971986488468</v>
      </c>
      <c r="F52" s="706">
        <f t="shared" si="6"/>
        <v>200.16469834620085</v>
      </c>
      <c r="G52" s="706">
        <f t="shared" si="6"/>
        <v>0</v>
      </c>
      <c r="H52" s="706">
        <f t="shared" si="6"/>
        <v>117681.78324020407</v>
      </c>
      <c r="I52" s="706">
        <f t="shared" si="6"/>
        <v>21039.839929305053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139055.54730118014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834.34814755069544</v>
      </c>
      <c r="D54" s="677">
        <f ca="1">+landbouw!C12</f>
        <v>0</v>
      </c>
      <c r="E54" s="677">
        <f>+landbouw!D12</f>
        <v>448.800050604251</v>
      </c>
      <c r="F54" s="677">
        <f>+landbouw!E12</f>
        <v>27.103562985906375</v>
      </c>
      <c r="G54" s="677">
        <f>+landbouw!F12</f>
        <v>4518.3586957711314</v>
      </c>
      <c r="H54" s="677">
        <f>+landbouw!G12</f>
        <v>0</v>
      </c>
      <c r="I54" s="677">
        <f>+landbouw!H12</f>
        <v>0</v>
      </c>
      <c r="J54" s="677">
        <f>+landbouw!I12</f>
        <v>0</v>
      </c>
      <c r="K54" s="677">
        <f>+landbouw!J12</f>
        <v>208.33540842446465</v>
      </c>
      <c r="L54" s="677">
        <f>+landbouw!K12</f>
        <v>0</v>
      </c>
      <c r="M54" s="677">
        <f>+landbouw!L12</f>
        <v>0</v>
      </c>
      <c r="N54" s="677">
        <f>+landbouw!M12</f>
        <v>0</v>
      </c>
      <c r="O54" s="677">
        <f>+landbouw!N12</f>
        <v>0</v>
      </c>
      <c r="P54" s="677">
        <f>+landbouw!O12</f>
        <v>0</v>
      </c>
      <c r="Q54" s="678">
        <f>+landbouw!P12</f>
        <v>0</v>
      </c>
      <c r="R54" s="705">
        <f ca="1">SUM(C54:Q54)</f>
        <v>6036.9458653364491</v>
      </c>
    </row>
    <row r="55" spans="1:18" ht="15" thickBot="1">
      <c r="A55" s="799" t="s">
        <v>823</v>
      </c>
      <c r="B55" s="809"/>
      <c r="C55" s="677">
        <f ca="1">C25*'EF ele_warmte'!B12</f>
        <v>934.54133460197215</v>
      </c>
      <c r="D55" s="677"/>
      <c r="E55" s="677">
        <f>E25*EF_CO2_aardgas</f>
        <v>2978.8959758343567</v>
      </c>
      <c r="F55" s="677"/>
      <c r="G55" s="677"/>
      <c r="H55" s="677"/>
      <c r="I55" s="677"/>
      <c r="J55" s="677"/>
      <c r="K55" s="677"/>
      <c r="L55" s="677"/>
      <c r="M55" s="677"/>
      <c r="N55" s="677"/>
      <c r="O55" s="677"/>
      <c r="P55" s="677"/>
      <c r="Q55" s="678"/>
      <c r="R55" s="705">
        <f ca="1">SUM(C55:Q55)</f>
        <v>3913.437310436329</v>
      </c>
    </row>
    <row r="56" spans="1:18" ht="15.75" thickBot="1">
      <c r="A56" s="797" t="s">
        <v>824</v>
      </c>
      <c r="B56" s="810"/>
      <c r="C56" s="706">
        <f ca="1">SUM(C54:C55)</f>
        <v>1768.8894821526676</v>
      </c>
      <c r="D56" s="706">
        <f t="shared" ref="D56:Q56" ca="1" si="7">SUM(D54:D55)</f>
        <v>0</v>
      </c>
      <c r="E56" s="706">
        <f t="shared" si="7"/>
        <v>3427.6960264386075</v>
      </c>
      <c r="F56" s="706">
        <f t="shared" si="7"/>
        <v>27.103562985906375</v>
      </c>
      <c r="G56" s="706">
        <f t="shared" si="7"/>
        <v>4518.3586957711314</v>
      </c>
      <c r="H56" s="706">
        <f t="shared" si="7"/>
        <v>0</v>
      </c>
      <c r="I56" s="706">
        <f t="shared" si="7"/>
        <v>0</v>
      </c>
      <c r="J56" s="706">
        <f t="shared" si="7"/>
        <v>0</v>
      </c>
      <c r="K56" s="706">
        <f t="shared" si="7"/>
        <v>208.33540842446465</v>
      </c>
      <c r="L56" s="706">
        <f t="shared" si="7"/>
        <v>0</v>
      </c>
      <c r="M56" s="706">
        <f t="shared" si="7"/>
        <v>0</v>
      </c>
      <c r="N56" s="706">
        <f t="shared" si="7"/>
        <v>0</v>
      </c>
      <c r="O56" s="706">
        <f t="shared" si="7"/>
        <v>0</v>
      </c>
      <c r="P56" s="706">
        <f t="shared" si="7"/>
        <v>0</v>
      </c>
      <c r="Q56" s="707">
        <f t="shared" si="7"/>
        <v>0</v>
      </c>
      <c r="R56" s="708">
        <f ca="1">SUM(R54:R55)</f>
        <v>9950.3831757727785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68124.372698878855</v>
      </c>
      <c r="D61" s="714">
        <f t="shared" ref="D61:Q61" ca="1" si="8">D46+D52+D56</f>
        <v>234.50672268907562</v>
      </c>
      <c r="E61" s="714">
        <f t="shared" ca="1" si="8"/>
        <v>111958.09026944752</v>
      </c>
      <c r="F61" s="714">
        <f t="shared" si="8"/>
        <v>8910.3425642259099</v>
      </c>
      <c r="G61" s="714">
        <f t="shared" ca="1" si="8"/>
        <v>14506.262829515985</v>
      </c>
      <c r="H61" s="714">
        <f t="shared" si="8"/>
        <v>117681.78324020407</v>
      </c>
      <c r="I61" s="714">
        <f t="shared" si="8"/>
        <v>21039.839929305053</v>
      </c>
      <c r="J61" s="714">
        <f t="shared" si="8"/>
        <v>0</v>
      </c>
      <c r="K61" s="714">
        <f t="shared" si="8"/>
        <v>1414.5487889911228</v>
      </c>
      <c r="L61" s="714">
        <f t="shared" si="8"/>
        <v>0</v>
      </c>
      <c r="M61" s="714">
        <f t="shared" ca="1" si="8"/>
        <v>0</v>
      </c>
      <c r="N61" s="714">
        <f t="shared" si="8"/>
        <v>0</v>
      </c>
      <c r="O61" s="714">
        <f t="shared" ca="1" si="8"/>
        <v>0</v>
      </c>
      <c r="P61" s="714">
        <f t="shared" si="8"/>
        <v>0</v>
      </c>
      <c r="Q61" s="714">
        <f t="shared" si="8"/>
        <v>0</v>
      </c>
      <c r="R61" s="714">
        <f ca="1">R46+R52+R56</f>
        <v>343869.74704325764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0.20539576973777859</v>
      </c>
      <c r="D63" s="755">
        <f t="shared" ca="1" si="9"/>
        <v>0.23764705882352938</v>
      </c>
      <c r="E63" s="990">
        <f t="shared" ca="1" si="9"/>
        <v>0.20199999999999999</v>
      </c>
      <c r="F63" s="755">
        <f t="shared" si="9"/>
        <v>0.22700000000000004</v>
      </c>
      <c r="G63" s="755">
        <f t="shared" ca="1" si="9"/>
        <v>0.26700000000000002</v>
      </c>
      <c r="H63" s="755">
        <f t="shared" si="9"/>
        <v>0.26700000000000002</v>
      </c>
      <c r="I63" s="755">
        <f t="shared" si="9"/>
        <v>0.24900000000000003</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23470.640608027468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690.75</v>
      </c>
      <c r="D76" s="1000">
        <f>'lokale energieproductie'!C8</f>
        <v>812.64705882352951</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164.15470588235297</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23470.640608027468</v>
      </c>
      <c r="C78" s="729">
        <f>SUM(C72:C77)</f>
        <v>690.75</v>
      </c>
      <c r="D78" s="730">
        <f t="shared" ref="D78:H78" si="10">SUM(D76:D77)</f>
        <v>812.64705882352951</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164.15470588235297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986.78571428571433</v>
      </c>
      <c r="D87" s="751">
        <f>'lokale energieproductie'!C17</f>
        <v>1160.9243697478992</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234.50672268907564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986.78571428571433</v>
      </c>
      <c r="D90" s="729">
        <f t="shared" ref="D90:H90" si="12">SUM(D87:D89)</f>
        <v>1160.9243697478992</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234.50672268907564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316" zoomScaleNormal="100"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23470.640608027468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N31</f>
        <v>690.75</v>
      </c>
      <c r="C8" s="544">
        <f>B50</f>
        <v>812.64705882352951</v>
      </c>
      <c r="D8" s="1010"/>
      <c r="E8" s="1010">
        <f>E50</f>
        <v>0</v>
      </c>
      <c r="F8" s="1011"/>
      <c r="G8" s="545"/>
      <c r="H8" s="1010">
        <f>I50</f>
        <v>0</v>
      </c>
      <c r="I8" s="1010">
        <f>G50+F50</f>
        <v>0</v>
      </c>
      <c r="J8" s="1010">
        <f>H50+D50+C50</f>
        <v>0</v>
      </c>
      <c r="K8" s="1010"/>
      <c r="L8" s="1010"/>
      <c r="M8" s="1010"/>
      <c r="N8" s="546"/>
      <c r="O8" s="547">
        <f>C8*$C$12+D8*$D$12+E8*$E$12+F8*$F$12+G8*$G$12+H8*$H$12+I8*$I$12+J8*$J$12</f>
        <v>164.15470588235297</v>
      </c>
      <c r="P8" s="1250"/>
      <c r="Q8" s="1251"/>
      <c r="S8" s="973"/>
      <c r="T8" s="1225"/>
      <c r="U8" s="1225"/>
    </row>
    <row r="9" spans="1:21" s="533" customFormat="1" ht="17.45" customHeight="1" thickBot="1">
      <c r="A9" s="548" t="s">
        <v>247</v>
      </c>
      <c r="B9" s="549">
        <f>N38+'Eigen informatie GS &amp; warmtenet'!B12</f>
        <v>0</v>
      </c>
      <c r="C9" s="550">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24161.390608027468</v>
      </c>
      <c r="C10" s="557">
        <f t="shared" ref="C10:L10" si="0">SUM(C8:C9)</f>
        <v>812.64705882352951</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164.15470588235297</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O31</f>
        <v>986.78571428571433</v>
      </c>
      <c r="C17" s="569">
        <f>B51</f>
        <v>1160.9243697478992</v>
      </c>
      <c r="D17" s="570"/>
      <c r="E17" s="570">
        <f>E51</f>
        <v>0</v>
      </c>
      <c r="F17" s="1016"/>
      <c r="G17" s="571"/>
      <c r="H17" s="569">
        <f>I51</f>
        <v>0</v>
      </c>
      <c r="I17" s="570">
        <f>G51+F51</f>
        <v>0</v>
      </c>
      <c r="J17" s="570">
        <f>H51+D51+C51</f>
        <v>0</v>
      </c>
      <c r="K17" s="570"/>
      <c r="L17" s="570"/>
      <c r="M17" s="570"/>
      <c r="N17" s="1017"/>
      <c r="O17" s="572">
        <f>C17*$C$22+E17*$E$22+H17*$H$22+I17*$I$22+J17*$J$22+D17*$D$22+F17*$F$22+G17*$G$22+K17*$K$22+L17*$L$22</f>
        <v>234.50672268907564</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986.78571428571433</v>
      </c>
      <c r="C20" s="556">
        <f>SUM(C17:C19)</f>
        <v>1160.9243697478992</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234.50672268907564</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46021</v>
      </c>
      <c r="C28" s="770">
        <v>9100</v>
      </c>
      <c r="D28" s="627" t="s">
        <v>887</v>
      </c>
      <c r="E28" s="626" t="s">
        <v>888</v>
      </c>
      <c r="F28" s="626" t="s">
        <v>889</v>
      </c>
      <c r="G28" s="626" t="s">
        <v>890</v>
      </c>
      <c r="H28" s="626" t="s">
        <v>891</v>
      </c>
      <c r="I28" s="626" t="s">
        <v>888</v>
      </c>
      <c r="J28" s="769">
        <v>40688</v>
      </c>
      <c r="K28" s="769">
        <v>40787</v>
      </c>
      <c r="L28" s="626" t="s">
        <v>892</v>
      </c>
      <c r="M28" s="626">
        <v>5</v>
      </c>
      <c r="N28" s="626">
        <v>22.5</v>
      </c>
      <c r="O28" s="626">
        <v>32.142857142857146</v>
      </c>
      <c r="P28" s="626">
        <v>64.285714285714292</v>
      </c>
      <c r="Q28" s="626">
        <v>0</v>
      </c>
      <c r="R28" s="626">
        <v>0</v>
      </c>
      <c r="S28" s="626">
        <v>0</v>
      </c>
      <c r="T28" s="626">
        <v>0</v>
      </c>
      <c r="U28" s="626">
        <v>0</v>
      </c>
      <c r="V28" s="626">
        <v>0</v>
      </c>
      <c r="W28" s="626">
        <v>0</v>
      </c>
      <c r="X28" s="626">
        <v>1600</v>
      </c>
      <c r="Y28" s="626" t="s">
        <v>49</v>
      </c>
      <c r="Z28" s="628" t="s">
        <v>155</v>
      </c>
    </row>
    <row r="29" spans="1:26" s="580" customFormat="1" ht="63.75">
      <c r="A29" s="579"/>
      <c r="B29" s="770">
        <v>46021</v>
      </c>
      <c r="C29" s="770">
        <v>9100</v>
      </c>
      <c r="D29" s="627" t="s">
        <v>893</v>
      </c>
      <c r="E29" s="626" t="s">
        <v>894</v>
      </c>
      <c r="F29" s="626" t="s">
        <v>895</v>
      </c>
      <c r="G29" s="626" t="s">
        <v>890</v>
      </c>
      <c r="H29" s="626" t="s">
        <v>891</v>
      </c>
      <c r="I29" s="626" t="s">
        <v>894</v>
      </c>
      <c r="J29" s="769">
        <v>40735</v>
      </c>
      <c r="K29" s="769">
        <v>40817</v>
      </c>
      <c r="L29" s="626" t="s">
        <v>892</v>
      </c>
      <c r="M29" s="626">
        <v>5.5</v>
      </c>
      <c r="N29" s="626">
        <v>24.75</v>
      </c>
      <c r="O29" s="626">
        <v>35.357142857142861</v>
      </c>
      <c r="P29" s="626">
        <v>70.714285714285722</v>
      </c>
      <c r="Q29" s="626">
        <v>0</v>
      </c>
      <c r="R29" s="626">
        <v>0</v>
      </c>
      <c r="S29" s="626">
        <v>0</v>
      </c>
      <c r="T29" s="626">
        <v>0</v>
      </c>
      <c r="U29" s="626">
        <v>0</v>
      </c>
      <c r="V29" s="626">
        <v>0</v>
      </c>
      <c r="W29" s="626">
        <v>0</v>
      </c>
      <c r="X29" s="626">
        <v>1600</v>
      </c>
      <c r="Y29" s="626" t="s">
        <v>49</v>
      </c>
      <c r="Z29" s="628" t="s">
        <v>155</v>
      </c>
    </row>
    <row r="30" spans="1:26" s="580" customFormat="1" ht="38.25">
      <c r="A30" s="579"/>
      <c r="B30" s="770">
        <v>46021</v>
      </c>
      <c r="C30" s="770">
        <v>9100</v>
      </c>
      <c r="D30" s="627" t="s">
        <v>896</v>
      </c>
      <c r="E30" s="626" t="s">
        <v>897</v>
      </c>
      <c r="F30" s="626" t="s">
        <v>898</v>
      </c>
      <c r="G30" s="626" t="s">
        <v>890</v>
      </c>
      <c r="H30" s="626" t="s">
        <v>891</v>
      </c>
      <c r="I30" s="626" t="s">
        <v>897</v>
      </c>
      <c r="J30" s="769">
        <v>41418</v>
      </c>
      <c r="K30" s="769">
        <v>41333</v>
      </c>
      <c r="L30" s="626" t="s">
        <v>892</v>
      </c>
      <c r="M30" s="626">
        <v>143</v>
      </c>
      <c r="N30" s="626">
        <v>643.5</v>
      </c>
      <c r="O30" s="626">
        <v>919.28571428571433</v>
      </c>
      <c r="P30" s="626">
        <v>1838.5714285714287</v>
      </c>
      <c r="Q30" s="626">
        <v>0</v>
      </c>
      <c r="R30" s="626">
        <v>0</v>
      </c>
      <c r="S30" s="626">
        <v>0</v>
      </c>
      <c r="T30" s="626">
        <v>0</v>
      </c>
      <c r="U30" s="626">
        <v>0</v>
      </c>
      <c r="V30" s="626">
        <v>0</v>
      </c>
      <c r="W30" s="626">
        <v>0</v>
      </c>
      <c r="X30" s="626">
        <v>500</v>
      </c>
      <c r="Y30" s="626" t="s">
        <v>40</v>
      </c>
      <c r="Z30" s="628" t="s">
        <v>388</v>
      </c>
    </row>
    <row r="31" spans="1:26" s="564" customFormat="1">
      <c r="A31" s="582" t="s">
        <v>279</v>
      </c>
      <c r="B31" s="583"/>
      <c r="C31" s="583"/>
      <c r="D31" s="583"/>
      <c r="E31" s="583"/>
      <c r="F31" s="583"/>
      <c r="G31" s="583"/>
      <c r="H31" s="583"/>
      <c r="I31" s="583"/>
      <c r="J31" s="583"/>
      <c r="K31" s="583"/>
      <c r="L31" s="584"/>
      <c r="M31" s="584">
        <f>SUM(M28:M30)</f>
        <v>153.5</v>
      </c>
      <c r="N31" s="584">
        <f>SUM(N28:N30)</f>
        <v>690.75</v>
      </c>
      <c r="O31" s="584">
        <f>SUM(O28:O30)</f>
        <v>986.78571428571433</v>
      </c>
      <c r="P31" s="584">
        <f>SUM(P28:P30)</f>
        <v>1973.5714285714287</v>
      </c>
      <c r="Q31" s="584">
        <f>SUM(Q28:Q30)</f>
        <v>0</v>
      </c>
      <c r="R31" s="584">
        <f>SUM(R28:R30)</f>
        <v>0</v>
      </c>
      <c r="S31" s="584">
        <f>SUM(S28:S30)</f>
        <v>0</v>
      </c>
      <c r="T31" s="584">
        <f>SUM(T28:T30)</f>
        <v>0</v>
      </c>
      <c r="U31" s="584">
        <f>SUM(U28:U30)</f>
        <v>0</v>
      </c>
      <c r="V31" s="584">
        <f>SUM(V28:V30)</f>
        <v>0</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143</v>
      </c>
      <c r="N32" s="584">
        <f>SUMIF($Z$28:$Z$30,"industrie",N28:N30)</f>
        <v>643.5</v>
      </c>
      <c r="O32" s="584">
        <f>SUMIF($Z$28:$Z$30,"industrie",O28:O30)</f>
        <v>919.28571428571433</v>
      </c>
      <c r="P32" s="584">
        <f>SUMIF($Z$28:$Z$30,"industrie",P28:P30)</f>
        <v>1838.5714285714287</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10.5</v>
      </c>
      <c r="N33" s="584">
        <f ca="1">SUMIF($Z$28:AD30,"tertiair",N28:N30)</f>
        <v>47.25</v>
      </c>
      <c r="O33" s="584">
        <f ca="1">SUMIF($Z$28:AE30,"tertiair",O28:O30)</f>
        <v>67.5</v>
      </c>
      <c r="P33" s="584">
        <f ca="1">SUMIF($Z$28:AF30,"tertiair",P28:P30)</f>
        <v>135</v>
      </c>
      <c r="Q33" s="584">
        <f ca="1">SUMIF($Z$28:AG30,"tertiair",Q28:Q30)</f>
        <v>0</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0</v>
      </c>
      <c r="N34" s="589">
        <f>SUMIF($Z$28:$Z$30,"landbouw",N28:N30)</f>
        <v>0</v>
      </c>
      <c r="O34" s="589">
        <f>SUMIF($Z$28:$Z$30,"landbouw",O28:O30)</f>
        <v>0</v>
      </c>
      <c r="P34" s="589">
        <f>SUMIF($Z$28:$Z$30,"landbouw",P28:P30)</f>
        <v>0</v>
      </c>
      <c r="Q34" s="589">
        <f>SUMIF($Z$28:$Z$30,"landbouw",Q28:Q30)</f>
        <v>0</v>
      </c>
      <c r="R34" s="589">
        <f>SUMIF($Z$28:$Z$30,"landbouw",R28:R30)</f>
        <v>0</v>
      </c>
      <c r="S34" s="589">
        <f>SUMIF($Z$28:$Z$30,"landbouw",S28:S30)</f>
        <v>0</v>
      </c>
      <c r="T34" s="589">
        <f>SUMIF($Z$28:$Z$30,"landbouw",T28:T30)</f>
        <v>0</v>
      </c>
      <c r="U34" s="589">
        <f>SUMIF($Z$28:$Z$30,"landbouw",U28:U30)</f>
        <v>0</v>
      </c>
      <c r="V34" s="589">
        <f>SUMIF($Z$28:$Z$30,"landbouw",V28:V30)</f>
        <v>0</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533</v>
      </c>
      <c r="Q36" s="624" t="s">
        <v>102</v>
      </c>
      <c r="R36" s="624" t="s">
        <v>103</v>
      </c>
      <c r="S36" s="624" t="s">
        <v>104</v>
      </c>
      <c r="T36" s="624" t="s">
        <v>105</v>
      </c>
      <c r="U36" s="624" t="s">
        <v>106</v>
      </c>
      <c r="V36" s="624" t="s">
        <v>107</v>
      </c>
      <c r="W36" s="623" t="s">
        <v>108</v>
      </c>
      <c r="X36" s="623" t="s">
        <v>298</v>
      </c>
      <c r="Y36" s="623" t="s">
        <v>109</v>
      </c>
      <c r="Z36" s="625" t="s">
        <v>299</v>
      </c>
    </row>
    <row r="37" spans="1:27" s="595" customFormat="1" ht="12.75">
      <c r="A37" s="581"/>
      <c r="B37" s="770"/>
      <c r="C37" s="770"/>
      <c r="D37" s="629"/>
      <c r="E37" s="629"/>
      <c r="F37" s="629"/>
      <c r="G37" s="629"/>
      <c r="H37" s="629"/>
      <c r="I37" s="629"/>
      <c r="J37" s="769"/>
      <c r="K37" s="769"/>
      <c r="L37" s="629"/>
      <c r="M37" s="629"/>
      <c r="N37" s="629"/>
      <c r="O37" s="629"/>
      <c r="P37" s="629"/>
      <c r="Q37" s="629"/>
      <c r="R37" s="629"/>
      <c r="S37" s="629"/>
      <c r="T37" s="629"/>
      <c r="U37" s="629"/>
      <c r="V37" s="629"/>
      <c r="W37" s="629"/>
      <c r="X37" s="629"/>
      <c r="Y37" s="629"/>
      <c r="Z37" s="630"/>
    </row>
    <row r="38" spans="1:27" s="564" customFormat="1">
      <c r="A38" s="582" t="s">
        <v>279</v>
      </c>
      <c r="B38" s="583"/>
      <c r="C38" s="583"/>
      <c r="D38" s="583"/>
      <c r="E38" s="583"/>
      <c r="F38" s="583"/>
      <c r="G38" s="583"/>
      <c r="H38" s="583"/>
      <c r="I38" s="583"/>
      <c r="J38" s="583"/>
      <c r="K38" s="583"/>
      <c r="L38" s="584"/>
      <c r="M38" s="584">
        <f>SUM(M37:M37)</f>
        <v>0</v>
      </c>
      <c r="N38" s="584">
        <f>SUM(N37:N37)</f>
        <v>0</v>
      </c>
      <c r="O38" s="584">
        <f>SUM(O37:O37)</f>
        <v>0</v>
      </c>
      <c r="P38" s="584">
        <f>SUM(P37:P37)</f>
        <v>0</v>
      </c>
      <c r="Q38" s="584">
        <f>SUM(Q37:Q37)</f>
        <v>0</v>
      </c>
      <c r="R38" s="584">
        <f>SUM(R37:R37)</f>
        <v>0</v>
      </c>
      <c r="S38" s="584">
        <f>SUM(S37:S37)</f>
        <v>0</v>
      </c>
      <c r="T38" s="584">
        <f>SUM(T37:T37)</f>
        <v>0</v>
      </c>
      <c r="U38" s="584">
        <f>SUM(U37:U37)</f>
        <v>0</v>
      </c>
      <c r="V38" s="584">
        <f>SUM(V37:V37)</f>
        <v>0</v>
      </c>
      <c r="W38" s="584">
        <f>SUM(W37:W37)</f>
        <v>0</v>
      </c>
      <c r="X38" s="585"/>
      <c r="Y38" s="585"/>
      <c r="Z38" s="586"/>
    </row>
    <row r="39" spans="1:27" s="564" customFormat="1">
      <c r="A39" s="582" t="s">
        <v>286</v>
      </c>
      <c r="B39" s="583"/>
      <c r="C39" s="583"/>
      <c r="D39" s="583"/>
      <c r="E39" s="583"/>
      <c r="F39" s="583"/>
      <c r="G39" s="583"/>
      <c r="H39" s="583"/>
      <c r="I39" s="583"/>
      <c r="J39" s="583"/>
      <c r="K39" s="583"/>
      <c r="L39" s="584"/>
      <c r="M39" s="584">
        <f>SUMIF($Z$37:$Z$37,"industrie",M37:M37)</f>
        <v>0</v>
      </c>
      <c r="N39" s="584">
        <f>SUMIF($Z$37:$Z$37,"industrie",N37:N37)</f>
        <v>0</v>
      </c>
      <c r="O39" s="584">
        <f>SUMIF($Z$37:$Z$37,"industrie",O37:O37)</f>
        <v>0</v>
      </c>
      <c r="P39" s="584">
        <f>SUMIF($Z$37:$Z$37,"industrie",P37:P37)</f>
        <v>0</v>
      </c>
      <c r="Q39" s="584">
        <f>SUMIF($Z$37:$Z$37,"industrie",Q37:Q37)</f>
        <v>0</v>
      </c>
      <c r="R39" s="584">
        <f>SUMIF($Z$37:$Z$37,"industrie",R37:R37)</f>
        <v>0</v>
      </c>
      <c r="S39" s="584">
        <f>SUMIF($Z$37:$Z$37,"industrie",S37:S37)</f>
        <v>0</v>
      </c>
      <c r="T39" s="584">
        <f>SUMIF($Z$37:$Z$37,"industrie",T37:T37)</f>
        <v>0</v>
      </c>
      <c r="U39" s="584">
        <f>SUMIF($Z$37:$Z$37,"industrie",U37:U37)</f>
        <v>0</v>
      </c>
      <c r="V39" s="584">
        <f>SUMIF($Z$37:$Z$37,"industrie",V37:V37)</f>
        <v>0</v>
      </c>
      <c r="W39" s="584">
        <f>SUMIF($Z$37:$Z$37,"industrie",W37:W37)</f>
        <v>0</v>
      </c>
      <c r="X39" s="585"/>
      <c r="Y39" s="585"/>
      <c r="Z39" s="586"/>
    </row>
    <row r="40" spans="1:27" s="564" customFormat="1">
      <c r="A40" s="582" t="s">
        <v>287</v>
      </c>
      <c r="B40" s="583"/>
      <c r="C40" s="583"/>
      <c r="D40" s="583"/>
      <c r="E40" s="583"/>
      <c r="F40" s="583"/>
      <c r="G40" s="583"/>
      <c r="H40" s="583"/>
      <c r="I40" s="583"/>
      <c r="J40" s="583"/>
      <c r="K40" s="583"/>
      <c r="L40" s="584"/>
      <c r="M40" s="584">
        <f>SUMIF($Z$37:$Z$38,"tertiair",M37:M38)</f>
        <v>0</v>
      </c>
      <c r="N40" s="584">
        <f>SUMIF($Z$37:$Z$38,"tertiair",N37:N38)</f>
        <v>0</v>
      </c>
      <c r="O40" s="584">
        <f>SUMIF($Z$37:$Z$38,"tertiair",O37:O38)</f>
        <v>0</v>
      </c>
      <c r="P40" s="584">
        <f>SUMIF($Z$37:$Z$38,"tertiair",P37:P38)</f>
        <v>0</v>
      </c>
      <c r="Q40" s="584">
        <f>SUMIF($Z$37:$Z$38,"tertiair",Q37:Q38)</f>
        <v>0</v>
      </c>
      <c r="R40" s="584">
        <f>SUMIF($Z$37:$Z$38,"tertiair",R37:R38)</f>
        <v>0</v>
      </c>
      <c r="S40" s="584">
        <f>SUMIF($Z$37:$Z$38,"tertiair",S37:S38)</f>
        <v>0</v>
      </c>
      <c r="T40" s="584">
        <f>SUMIF($Z$37:$Z$38,"tertiair",T37:T38)</f>
        <v>0</v>
      </c>
      <c r="U40" s="584">
        <f>SUMIF($Z$37:$Z$38,"tertiair",U37:U38)</f>
        <v>0</v>
      </c>
      <c r="V40" s="584">
        <f>SUMIF($Z$37:$Z$38,"tertiair",V37:V38)</f>
        <v>0</v>
      </c>
      <c r="W40" s="584">
        <f>SUMIF($Z$37:$Z$38,"tertiair",W37:W38)</f>
        <v>0</v>
      </c>
      <c r="X40" s="585"/>
      <c r="Y40" s="585"/>
      <c r="Z40" s="586"/>
    </row>
    <row r="41" spans="1:27" s="564" customFormat="1" ht="15.75" thickBot="1">
      <c r="A41" s="587" t="s">
        <v>288</v>
      </c>
      <c r="B41" s="588"/>
      <c r="C41" s="588"/>
      <c r="D41" s="588"/>
      <c r="E41" s="588"/>
      <c r="F41" s="588"/>
      <c r="G41" s="588"/>
      <c r="H41" s="588"/>
      <c r="I41" s="588"/>
      <c r="J41" s="588"/>
      <c r="K41" s="588"/>
      <c r="L41" s="589"/>
      <c r="M41" s="589">
        <f>SUMIF($Z$37:$Z$39,"landbouw",M37:M39)</f>
        <v>0</v>
      </c>
      <c r="N41" s="589">
        <f>SUMIF($Z$37:$Z$39,"landbouw",N37:N39)</f>
        <v>0</v>
      </c>
      <c r="O41" s="589">
        <f>SUMIF($Z$37:$Z$39,"landbouw",O37:O39)</f>
        <v>0</v>
      </c>
      <c r="P41" s="589">
        <f>SUMIF($Z$37:$Z$39,"landbouw",P37:P39)</f>
        <v>0</v>
      </c>
      <c r="Q41" s="589">
        <f>SUMIF($Z$37:$Z$39,"landbouw",Q37:Q39)</f>
        <v>0</v>
      </c>
      <c r="R41" s="589">
        <f>SUMIF($Z$37:$Z$39,"landbouw",R37:R39)</f>
        <v>0</v>
      </c>
      <c r="S41" s="589">
        <f>SUMIF($Z$37:$Z$39,"landbouw",S37:S39)</f>
        <v>0</v>
      </c>
      <c r="T41" s="589">
        <f>SUMIF($Z$37:$Z$39,"landbouw",T37:T39)</f>
        <v>0</v>
      </c>
      <c r="U41" s="589">
        <f>SUMIF($Z$37:$Z$39,"landbouw",U37:U39)</f>
        <v>0</v>
      </c>
      <c r="V41" s="589">
        <f>SUMIF($Z$37:$Z$39,"landbouw",V37:V39)</f>
        <v>0</v>
      </c>
      <c r="W41" s="589">
        <f>SUMIF($Z$37:$Z$39,"landbouw",W37:W39)</f>
        <v>0</v>
      </c>
      <c r="X41" s="590"/>
      <c r="Y41" s="590"/>
      <c r="Z41" s="591"/>
    </row>
    <row r="42" spans="1:27" s="596" customForma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row>
    <row r="43" spans="1:27" s="596" customFormat="1" ht="15.75" thickBo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row>
    <row r="44" spans="1:27">
      <c r="A44" s="597" t="s">
        <v>281</v>
      </c>
      <c r="B44" s="598"/>
      <c r="C44" s="598"/>
      <c r="D44" s="598"/>
      <c r="E44" s="598"/>
      <c r="F44" s="598"/>
      <c r="G44" s="598"/>
      <c r="H44" s="598"/>
      <c r="I44" s="599"/>
      <c r="J44" s="600"/>
      <c r="K44" s="600"/>
      <c r="L44" s="601"/>
      <c r="M44" s="601"/>
      <c r="N44" s="601"/>
      <c r="O44" s="601"/>
      <c r="P44" s="601"/>
    </row>
    <row r="45" spans="1:27">
      <c r="A45" s="603"/>
      <c r="B45" s="593"/>
      <c r="C45" s="593"/>
      <c r="D45" s="593"/>
      <c r="E45" s="593"/>
      <c r="F45" s="593"/>
      <c r="G45" s="593"/>
      <c r="H45" s="593"/>
      <c r="I45" s="604"/>
      <c r="J45" s="593"/>
      <c r="K45" s="593"/>
      <c r="L45" s="601"/>
      <c r="M45" s="601"/>
      <c r="N45" s="601"/>
      <c r="O45" s="601"/>
      <c r="P45" s="601"/>
    </row>
    <row r="46" spans="1:27">
      <c r="A46" s="605"/>
      <c r="B46" s="606" t="s">
        <v>282</v>
      </c>
      <c r="C46" s="606" t="s">
        <v>283</v>
      </c>
      <c r="D46" s="606"/>
      <c r="E46" s="606"/>
      <c r="F46" s="606"/>
      <c r="G46" s="606"/>
      <c r="H46" s="606"/>
      <c r="I46" s="607"/>
      <c r="J46" s="606"/>
      <c r="K46" s="606"/>
      <c r="L46" s="606"/>
      <c r="M46" s="606"/>
      <c r="N46" s="606"/>
      <c r="O46" s="606"/>
      <c r="P46" s="601"/>
    </row>
    <row r="47" spans="1:27">
      <c r="A47" s="603" t="s">
        <v>279</v>
      </c>
      <c r="B47" s="608">
        <f>IF(ISERROR(O31/(O31+N31)),0,O31/(O31+N31))</f>
        <v>0.58823529411764708</v>
      </c>
      <c r="C47" s="609">
        <f>IF(ISERROR(N31/(O31+N31)),0,N31/(N31+O31))</f>
        <v>0.41176470588235298</v>
      </c>
      <c r="D47" s="576"/>
      <c r="E47" s="576"/>
      <c r="F47" s="576"/>
      <c r="G47" s="576"/>
      <c r="H47" s="576"/>
      <c r="I47" s="610"/>
      <c r="J47" s="576"/>
      <c r="K47" s="576"/>
      <c r="L47" s="611"/>
      <c r="M47" s="611"/>
      <c r="N47" s="611"/>
      <c r="O47" s="611"/>
      <c r="P47" s="601"/>
    </row>
    <row r="48" spans="1:27">
      <c r="A48" s="603"/>
      <c r="B48" s="612"/>
      <c r="C48" s="612"/>
      <c r="D48" s="612"/>
      <c r="E48" s="612"/>
      <c r="F48" s="612"/>
      <c r="G48" s="612"/>
      <c r="H48" s="612"/>
      <c r="I48" s="613"/>
      <c r="J48" s="612"/>
      <c r="K48" s="612"/>
      <c r="L48" s="614"/>
      <c r="M48" s="614"/>
      <c r="N48" s="614"/>
      <c r="O48" s="614"/>
      <c r="P48" s="601"/>
    </row>
    <row r="49" spans="1:16" ht="30">
      <c r="A49" s="615"/>
      <c r="B49" s="616" t="s">
        <v>533</v>
      </c>
      <c r="C49" s="616" t="s">
        <v>102</v>
      </c>
      <c r="D49" s="616" t="s">
        <v>103</v>
      </c>
      <c r="E49" s="616" t="s">
        <v>104</v>
      </c>
      <c r="F49" s="616" t="s">
        <v>105</v>
      </c>
      <c r="G49" s="616" t="s">
        <v>106</v>
      </c>
      <c r="H49" s="616" t="s">
        <v>107</v>
      </c>
      <c r="I49" s="617" t="s">
        <v>108</v>
      </c>
      <c r="J49" s="606"/>
      <c r="K49" s="606"/>
      <c r="L49" s="614"/>
      <c r="M49" s="614"/>
      <c r="N49" s="614"/>
      <c r="O49" s="601"/>
      <c r="P49" s="601"/>
    </row>
    <row r="50" spans="1:16">
      <c r="A50" s="605" t="s">
        <v>284</v>
      </c>
      <c r="B50" s="618">
        <f t="shared" ref="B50:I50" si="2">$C$47*P31</f>
        <v>812.64705882352951</v>
      </c>
      <c r="C50" s="618">
        <f t="shared" si="2"/>
        <v>0</v>
      </c>
      <c r="D50" s="618">
        <f t="shared" si="2"/>
        <v>0</v>
      </c>
      <c r="E50" s="618">
        <f t="shared" si="2"/>
        <v>0</v>
      </c>
      <c r="F50" s="618">
        <f t="shared" si="2"/>
        <v>0</v>
      </c>
      <c r="G50" s="618">
        <f t="shared" si="2"/>
        <v>0</v>
      </c>
      <c r="H50" s="618">
        <f t="shared" si="2"/>
        <v>0</v>
      </c>
      <c r="I50" s="619">
        <f t="shared" si="2"/>
        <v>0</v>
      </c>
      <c r="J50" s="576"/>
      <c r="K50" s="576"/>
      <c r="L50" s="614"/>
      <c r="M50" s="614"/>
      <c r="N50" s="614"/>
      <c r="O50" s="601"/>
      <c r="P50" s="601"/>
    </row>
    <row r="51" spans="1:16" ht="15.75" thickBot="1">
      <c r="A51" s="620" t="s">
        <v>285</v>
      </c>
      <c r="B51" s="621">
        <f t="shared" ref="B51:I51" si="3">$B$47*P31</f>
        <v>1160.9243697478992</v>
      </c>
      <c r="C51" s="621">
        <f t="shared" si="3"/>
        <v>0</v>
      </c>
      <c r="D51" s="621">
        <f t="shared" si="3"/>
        <v>0</v>
      </c>
      <c r="E51" s="621">
        <f t="shared" si="3"/>
        <v>0</v>
      </c>
      <c r="F51" s="621">
        <f t="shared" si="3"/>
        <v>0</v>
      </c>
      <c r="G51" s="621">
        <f t="shared" si="3"/>
        <v>0</v>
      </c>
      <c r="H51" s="621">
        <f t="shared" si="3"/>
        <v>0</v>
      </c>
      <c r="I51" s="622">
        <f t="shared" si="3"/>
        <v>0</v>
      </c>
      <c r="J51" s="576"/>
      <c r="K51" s="576"/>
      <c r="L51" s="614"/>
      <c r="M51" s="614"/>
      <c r="N51" s="614"/>
      <c r="O51" s="601"/>
      <c r="P51" s="601"/>
    </row>
    <row r="52" spans="1:16">
      <c r="J52" s="562"/>
      <c r="K52" s="562"/>
      <c r="L52" s="562"/>
      <c r="M52" s="562"/>
      <c r="N52" s="562"/>
    </row>
    <row r="53" spans="1:16">
      <c r="J53" s="562"/>
      <c r="K53" s="562"/>
      <c r="L53" s="562"/>
      <c r="M53" s="562"/>
      <c r="N53"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114145.40781478703</v>
      </c>
      <c r="C4" s="451">
        <f>huishoudens!C8</f>
        <v>0</v>
      </c>
      <c r="D4" s="451">
        <f>huishoudens!D8</f>
        <v>309729.51683775027</v>
      </c>
      <c r="E4" s="451">
        <f>huishoudens!E8</f>
        <v>32086.638642337719</v>
      </c>
      <c r="F4" s="451">
        <f>huishoudens!F8</f>
        <v>0</v>
      </c>
      <c r="G4" s="451">
        <f>huishoudens!G8</f>
        <v>0</v>
      </c>
      <c r="H4" s="451">
        <f>huishoudens!H8</f>
        <v>0</v>
      </c>
      <c r="I4" s="451">
        <f>huishoudens!I8</f>
        <v>0</v>
      </c>
      <c r="J4" s="451">
        <f>huishoudens!J8</f>
        <v>3270.6081693959522</v>
      </c>
      <c r="K4" s="451">
        <f>huishoudens!K8</f>
        <v>0</v>
      </c>
      <c r="L4" s="451">
        <f>huishoudens!L8</f>
        <v>0</v>
      </c>
      <c r="M4" s="451">
        <f>huishoudens!M8</f>
        <v>0</v>
      </c>
      <c r="N4" s="451">
        <f>huishoudens!N8</f>
        <v>59651.304963094313</v>
      </c>
      <c r="O4" s="451">
        <f>huishoudens!O8</f>
        <v>972.39333333333343</v>
      </c>
      <c r="P4" s="452">
        <f>huishoudens!P8</f>
        <v>4442.5333333333328</v>
      </c>
      <c r="Q4" s="453">
        <f>SUM(B4:P4)</f>
        <v>524298.40309403196</v>
      </c>
    </row>
    <row r="5" spans="1:17">
      <c r="A5" s="450" t="s">
        <v>155</v>
      </c>
      <c r="B5" s="451">
        <f ca="1">tertiair!B16</f>
        <v>127739.51712317104</v>
      </c>
      <c r="C5" s="451">
        <f ca="1">tertiair!C16</f>
        <v>67.5</v>
      </c>
      <c r="D5" s="451">
        <f ca="1">tertiair!D16</f>
        <v>168100.65521274778</v>
      </c>
      <c r="E5" s="451">
        <f>tertiair!E16</f>
        <v>1862.2883009486734</v>
      </c>
      <c r="F5" s="451">
        <f ca="1">tertiair!F16</f>
        <v>21923.751202314244</v>
      </c>
      <c r="G5" s="451">
        <f>tertiair!G16</f>
        <v>0</v>
      </c>
      <c r="H5" s="451">
        <f>tertiair!H16</f>
        <v>0</v>
      </c>
      <c r="I5" s="451">
        <f>tertiair!I16</f>
        <v>0</v>
      </c>
      <c r="J5" s="451">
        <f>tertiair!J16</f>
        <v>0.1947268622738047</v>
      </c>
      <c r="K5" s="451">
        <f>tertiair!K16</f>
        <v>0</v>
      </c>
      <c r="L5" s="451">
        <f ca="1">tertiair!L16</f>
        <v>0</v>
      </c>
      <c r="M5" s="451">
        <f>tertiair!M16</f>
        <v>0</v>
      </c>
      <c r="N5" s="451">
        <f ca="1">tertiair!N16</f>
        <v>8044.0833994399291</v>
      </c>
      <c r="O5" s="451">
        <f>tertiair!O16</f>
        <v>17.196666666666669</v>
      </c>
      <c r="P5" s="452">
        <f>tertiair!P16</f>
        <v>247.86666666666667</v>
      </c>
      <c r="Q5" s="450">
        <f t="shared" ref="Q5:Q14" ca="1" si="0">SUM(B5:P5)</f>
        <v>328003.05329881719</v>
      </c>
    </row>
    <row r="6" spans="1:17">
      <c r="A6" s="450" t="s">
        <v>193</v>
      </c>
      <c r="B6" s="451">
        <f>'openbare verlichting'!B8</f>
        <v>3422.3209999999999</v>
      </c>
      <c r="C6" s="451"/>
      <c r="D6" s="451"/>
      <c r="E6" s="451"/>
      <c r="F6" s="451"/>
      <c r="G6" s="451"/>
      <c r="H6" s="451"/>
      <c r="I6" s="451"/>
      <c r="J6" s="451"/>
      <c r="K6" s="451"/>
      <c r="L6" s="451"/>
      <c r="M6" s="451"/>
      <c r="N6" s="451"/>
      <c r="O6" s="451"/>
      <c r="P6" s="452"/>
      <c r="Q6" s="450">
        <f t="shared" si="0"/>
        <v>3422.3209999999999</v>
      </c>
    </row>
    <row r="7" spans="1:17">
      <c r="A7" s="450" t="s">
        <v>111</v>
      </c>
      <c r="B7" s="451">
        <f>landbouw!B8</f>
        <v>4062.1486441316565</v>
      </c>
      <c r="C7" s="451">
        <f>landbouw!C8</f>
        <v>0</v>
      </c>
      <c r="D7" s="451">
        <f>landbouw!D8</f>
        <v>2221.7824287339158</v>
      </c>
      <c r="E7" s="451">
        <f>landbouw!E8</f>
        <v>119.39895588505011</v>
      </c>
      <c r="F7" s="451">
        <f>landbouw!F8</f>
        <v>16922.691744461164</v>
      </c>
      <c r="G7" s="451">
        <f>landbouw!G8</f>
        <v>0</v>
      </c>
      <c r="H7" s="451">
        <f>landbouw!H8</f>
        <v>0</v>
      </c>
      <c r="I7" s="451">
        <f>landbouw!I8</f>
        <v>0</v>
      </c>
      <c r="J7" s="451">
        <f>landbouw!J8</f>
        <v>588.51810289396792</v>
      </c>
      <c r="K7" s="451">
        <f>landbouw!K8</f>
        <v>0</v>
      </c>
      <c r="L7" s="451">
        <f>landbouw!L8</f>
        <v>0</v>
      </c>
      <c r="M7" s="451">
        <f>landbouw!M8</f>
        <v>0</v>
      </c>
      <c r="N7" s="451">
        <f>landbouw!N8</f>
        <v>0</v>
      </c>
      <c r="O7" s="451">
        <f>landbouw!O8</f>
        <v>0</v>
      </c>
      <c r="P7" s="452">
        <f>landbouw!P8</f>
        <v>0</v>
      </c>
      <c r="Q7" s="450">
        <f t="shared" si="0"/>
        <v>23914.539876105759</v>
      </c>
    </row>
    <row r="8" spans="1:17">
      <c r="A8" s="450" t="s">
        <v>634</v>
      </c>
      <c r="B8" s="451">
        <f>industrie!B18</f>
        <v>77592.41060286283</v>
      </c>
      <c r="C8" s="451">
        <f>industrie!C18</f>
        <v>919.28571428571433</v>
      </c>
      <c r="D8" s="451">
        <f>industrie!D18</f>
        <v>58951.484004670398</v>
      </c>
      <c r="E8" s="451">
        <f>industrie!E18</f>
        <v>4302.5017038228643</v>
      </c>
      <c r="F8" s="451">
        <f>industrie!F18</f>
        <v>15484.129448415544</v>
      </c>
      <c r="G8" s="451">
        <f>industrie!G18</f>
        <v>0</v>
      </c>
      <c r="H8" s="451">
        <f>industrie!H18</f>
        <v>0</v>
      </c>
      <c r="I8" s="451">
        <f>industrie!I18</f>
        <v>0</v>
      </c>
      <c r="J8" s="451">
        <f>industrie!J18</f>
        <v>136.57953472103381</v>
      </c>
      <c r="K8" s="451">
        <f>industrie!K18</f>
        <v>0</v>
      </c>
      <c r="L8" s="451">
        <f>industrie!L18</f>
        <v>0</v>
      </c>
      <c r="M8" s="451">
        <f>industrie!M18</f>
        <v>0</v>
      </c>
      <c r="N8" s="451">
        <f>industrie!N18</f>
        <v>5279.0349525021156</v>
      </c>
      <c r="O8" s="451">
        <f>industrie!O18</f>
        <v>0</v>
      </c>
      <c r="P8" s="452">
        <f>industrie!P18</f>
        <v>0</v>
      </c>
      <c r="Q8" s="450">
        <f t="shared" si="0"/>
        <v>162665.4259612805</v>
      </c>
    </row>
    <row r="9" spans="1:17" s="456" customFormat="1">
      <c r="A9" s="454" t="s">
        <v>560</v>
      </c>
      <c r="B9" s="455">
        <f>transport!B14</f>
        <v>161.92988542266988</v>
      </c>
      <c r="C9" s="455">
        <f>transport!C14</f>
        <v>0</v>
      </c>
      <c r="D9" s="455">
        <f>transport!D14</f>
        <v>497.52336566774591</v>
      </c>
      <c r="E9" s="455">
        <f>transport!E14</f>
        <v>881.78281209780107</v>
      </c>
      <c r="F9" s="455">
        <f>transport!F14</f>
        <v>0</v>
      </c>
      <c r="G9" s="455">
        <f>transport!G14</f>
        <v>431127.04128623847</v>
      </c>
      <c r="H9" s="455">
        <f>transport!H14</f>
        <v>84497.349113674907</v>
      </c>
      <c r="I9" s="455">
        <f>transport!I14</f>
        <v>0</v>
      </c>
      <c r="J9" s="455">
        <f>transport!J14</f>
        <v>0</v>
      </c>
      <c r="K9" s="455">
        <f>transport!K14</f>
        <v>0</v>
      </c>
      <c r="L9" s="455">
        <f>transport!L14</f>
        <v>0</v>
      </c>
      <c r="M9" s="455">
        <f>transport!M14</f>
        <v>27676.399302480357</v>
      </c>
      <c r="N9" s="455">
        <f>transport!N14</f>
        <v>0</v>
      </c>
      <c r="O9" s="455">
        <f>transport!O14</f>
        <v>0</v>
      </c>
      <c r="P9" s="455">
        <f>transport!P14</f>
        <v>0</v>
      </c>
      <c r="Q9" s="454">
        <f>SUM(B9:P9)</f>
        <v>544842.02576558199</v>
      </c>
    </row>
    <row r="10" spans="1:17">
      <c r="A10" s="450" t="s">
        <v>550</v>
      </c>
      <c r="B10" s="451">
        <f>transport!B54</f>
        <v>0</v>
      </c>
      <c r="C10" s="451">
        <f>transport!C54</f>
        <v>0</v>
      </c>
      <c r="D10" s="451">
        <f>transport!D54</f>
        <v>0</v>
      </c>
      <c r="E10" s="451">
        <f>transport!E54</f>
        <v>0</v>
      </c>
      <c r="F10" s="451">
        <f>transport!F54</f>
        <v>0</v>
      </c>
      <c r="G10" s="451">
        <f>transport!G54</f>
        <v>9628.7011864359083</v>
      </c>
      <c r="H10" s="451">
        <f>transport!H54</f>
        <v>0</v>
      </c>
      <c r="I10" s="451">
        <f>transport!I54</f>
        <v>0</v>
      </c>
      <c r="J10" s="451">
        <f>transport!J54</f>
        <v>0</v>
      </c>
      <c r="K10" s="451">
        <f>transport!K54</f>
        <v>0</v>
      </c>
      <c r="L10" s="451">
        <f>transport!L54</f>
        <v>0</v>
      </c>
      <c r="M10" s="451">
        <f>transport!M54</f>
        <v>546.82641083243004</v>
      </c>
      <c r="N10" s="451">
        <f>transport!N54</f>
        <v>0</v>
      </c>
      <c r="O10" s="451">
        <f>transport!O54</f>
        <v>0</v>
      </c>
      <c r="P10" s="452">
        <f>transport!P54</f>
        <v>0</v>
      </c>
      <c r="Q10" s="450">
        <f t="shared" si="0"/>
        <v>10175.527597268338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4549.9541484961801</v>
      </c>
      <c r="C14" s="458"/>
      <c r="D14" s="458">
        <f>'SEAP template'!E25</f>
        <v>14747.0097813582</v>
      </c>
      <c r="E14" s="458"/>
      <c r="F14" s="458"/>
      <c r="G14" s="458"/>
      <c r="H14" s="458"/>
      <c r="I14" s="458"/>
      <c r="J14" s="458"/>
      <c r="K14" s="458"/>
      <c r="L14" s="458"/>
      <c r="M14" s="458"/>
      <c r="N14" s="458"/>
      <c r="O14" s="458"/>
      <c r="P14" s="459"/>
      <c r="Q14" s="450">
        <f t="shared" si="0"/>
        <v>19296.963929854381</v>
      </c>
    </row>
    <row r="15" spans="1:17" s="460" customFormat="1">
      <c r="A15" s="1005" t="s">
        <v>554</v>
      </c>
      <c r="B15" s="953">
        <f ca="1">SUM(B4:B14)</f>
        <v>331673.68921887141</v>
      </c>
      <c r="C15" s="953">
        <f t="shared" ref="C15:Q15" ca="1" si="1">SUM(C4:C14)</f>
        <v>986.78571428571433</v>
      </c>
      <c r="D15" s="953">
        <f t="shared" ca="1" si="1"/>
        <v>554247.97163092834</v>
      </c>
      <c r="E15" s="953">
        <f t="shared" si="1"/>
        <v>39252.610415092109</v>
      </c>
      <c r="F15" s="953">
        <f t="shared" ca="1" si="1"/>
        <v>54330.572395190953</v>
      </c>
      <c r="G15" s="953">
        <f t="shared" si="1"/>
        <v>440755.74247267435</v>
      </c>
      <c r="H15" s="953">
        <f t="shared" si="1"/>
        <v>84497.349113674907</v>
      </c>
      <c r="I15" s="953">
        <f t="shared" si="1"/>
        <v>0</v>
      </c>
      <c r="J15" s="953">
        <f t="shared" si="1"/>
        <v>3995.9005338732277</v>
      </c>
      <c r="K15" s="953">
        <f t="shared" si="1"/>
        <v>0</v>
      </c>
      <c r="L15" s="953">
        <f t="shared" ca="1" si="1"/>
        <v>0</v>
      </c>
      <c r="M15" s="953">
        <f t="shared" si="1"/>
        <v>28223.225713312786</v>
      </c>
      <c r="N15" s="953">
        <f t="shared" ca="1" si="1"/>
        <v>72974.423315036358</v>
      </c>
      <c r="O15" s="953">
        <f t="shared" si="1"/>
        <v>989.59000000000015</v>
      </c>
      <c r="P15" s="953">
        <f t="shared" si="1"/>
        <v>4690.3999999999996</v>
      </c>
      <c r="Q15" s="953">
        <f t="shared" ca="1" si="1"/>
        <v>1616618.26052294</v>
      </c>
    </row>
    <row r="17" spans="1:17">
      <c r="A17" s="461" t="s">
        <v>555</v>
      </c>
      <c r="B17" s="760">
        <f ca="1">huishoudens!B10</f>
        <v>0.20539576973777865</v>
      </c>
      <c r="C17" s="760">
        <f ca="1">huishoudens!C10</f>
        <v>0.23764705882352941</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23444.983900150837</v>
      </c>
      <c r="C22" s="451">
        <f t="shared" ref="C22:C32" ca="1" si="3">C4*$C$17</f>
        <v>0</v>
      </c>
      <c r="D22" s="451">
        <f t="shared" ref="D22:D32" si="4">D4*$D$17</f>
        <v>62565.36240122556</v>
      </c>
      <c r="E22" s="451">
        <f t="shared" ref="E22:E32" si="5">E4*$E$17</f>
        <v>7283.6669718106623</v>
      </c>
      <c r="F22" s="451">
        <f t="shared" ref="F22:F32" si="6">F4*$F$17</f>
        <v>0</v>
      </c>
      <c r="G22" s="451">
        <f t="shared" ref="G22:G32" si="7">G4*$G$17</f>
        <v>0</v>
      </c>
      <c r="H22" s="451">
        <f t="shared" ref="H22:H32" si="8">H4*$H$17</f>
        <v>0</v>
      </c>
      <c r="I22" s="451">
        <f t="shared" ref="I22:I32" si="9">I4*$I$17</f>
        <v>0</v>
      </c>
      <c r="J22" s="451">
        <f t="shared" ref="J22:J32" si="10">J4*$J$17</f>
        <v>1157.795291966167</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94451.808565153216</v>
      </c>
    </row>
    <row r="23" spans="1:17">
      <c r="A23" s="450" t="s">
        <v>155</v>
      </c>
      <c r="B23" s="451">
        <f t="shared" ca="1" si="2"/>
        <v>26237.156445445871</v>
      </c>
      <c r="C23" s="451">
        <f t="shared" ca="1" si="3"/>
        <v>16.041176470588233</v>
      </c>
      <c r="D23" s="451">
        <f t="shared" ca="1" si="4"/>
        <v>33956.332352975056</v>
      </c>
      <c r="E23" s="451">
        <f t="shared" si="5"/>
        <v>422.73944431534886</v>
      </c>
      <c r="F23" s="451">
        <f t="shared" ca="1" si="6"/>
        <v>5853.6415710179035</v>
      </c>
      <c r="G23" s="451">
        <f t="shared" si="7"/>
        <v>0</v>
      </c>
      <c r="H23" s="451">
        <f t="shared" si="8"/>
        <v>0</v>
      </c>
      <c r="I23" s="451">
        <f t="shared" si="9"/>
        <v>0</v>
      </c>
      <c r="J23" s="451">
        <f t="shared" si="10"/>
        <v>6.8933309244926855E-2</v>
      </c>
      <c r="K23" s="451">
        <f t="shared" si="11"/>
        <v>0</v>
      </c>
      <c r="L23" s="451">
        <f t="shared" ca="1" si="12"/>
        <v>0</v>
      </c>
      <c r="M23" s="451">
        <f t="shared" si="13"/>
        <v>0</v>
      </c>
      <c r="N23" s="451">
        <f t="shared" ca="1" si="14"/>
        <v>0</v>
      </c>
      <c r="O23" s="451">
        <f t="shared" si="15"/>
        <v>0</v>
      </c>
      <c r="P23" s="452">
        <f t="shared" si="16"/>
        <v>0</v>
      </c>
      <c r="Q23" s="450">
        <f t="shared" ref="Q23:Q32" ca="1" si="17">SUM(B23:P23)</f>
        <v>66485.979923534003</v>
      </c>
    </row>
    <row r="24" spans="1:17">
      <c r="A24" s="450" t="s">
        <v>193</v>
      </c>
      <c r="B24" s="451">
        <f t="shared" ca="1" si="2"/>
        <v>702.93025608476432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702.93025608476432</v>
      </c>
    </row>
    <row r="25" spans="1:17">
      <c r="A25" s="450" t="s">
        <v>111</v>
      </c>
      <c r="B25" s="451">
        <f t="shared" ca="1" si="2"/>
        <v>834.34814755069544</v>
      </c>
      <c r="C25" s="451">
        <f t="shared" ca="1" si="3"/>
        <v>0</v>
      </c>
      <c r="D25" s="451">
        <f t="shared" si="4"/>
        <v>448.800050604251</v>
      </c>
      <c r="E25" s="451">
        <f t="shared" si="5"/>
        <v>27.103562985906375</v>
      </c>
      <c r="F25" s="451">
        <f t="shared" si="6"/>
        <v>4518.3586957711314</v>
      </c>
      <c r="G25" s="451">
        <f t="shared" si="7"/>
        <v>0</v>
      </c>
      <c r="H25" s="451">
        <f t="shared" si="8"/>
        <v>0</v>
      </c>
      <c r="I25" s="451">
        <f t="shared" si="9"/>
        <v>0</v>
      </c>
      <c r="J25" s="451">
        <f t="shared" si="10"/>
        <v>208.33540842446465</v>
      </c>
      <c r="K25" s="451">
        <f t="shared" si="11"/>
        <v>0</v>
      </c>
      <c r="L25" s="451">
        <f t="shared" si="12"/>
        <v>0</v>
      </c>
      <c r="M25" s="451">
        <f t="shared" si="13"/>
        <v>0</v>
      </c>
      <c r="N25" s="451">
        <f t="shared" si="14"/>
        <v>0</v>
      </c>
      <c r="O25" s="451">
        <f t="shared" si="15"/>
        <v>0</v>
      </c>
      <c r="P25" s="452">
        <f t="shared" si="16"/>
        <v>0</v>
      </c>
      <c r="Q25" s="450">
        <f t="shared" ca="1" si="17"/>
        <v>6036.9458653364491</v>
      </c>
    </row>
    <row r="26" spans="1:17">
      <c r="A26" s="450" t="s">
        <v>634</v>
      </c>
      <c r="B26" s="451">
        <f t="shared" ca="1" si="2"/>
        <v>15937.152901584788</v>
      </c>
      <c r="C26" s="451">
        <f t="shared" ca="1" si="3"/>
        <v>218.46554621848739</v>
      </c>
      <c r="D26" s="451">
        <f t="shared" si="4"/>
        <v>11908.199768943421</v>
      </c>
      <c r="E26" s="451">
        <f t="shared" si="5"/>
        <v>976.66788676779026</v>
      </c>
      <c r="F26" s="451">
        <f t="shared" si="6"/>
        <v>4134.2625627269508</v>
      </c>
      <c r="G26" s="451">
        <f t="shared" si="7"/>
        <v>0</v>
      </c>
      <c r="H26" s="451">
        <f t="shared" si="8"/>
        <v>0</v>
      </c>
      <c r="I26" s="451">
        <f t="shared" si="9"/>
        <v>0</v>
      </c>
      <c r="J26" s="451">
        <f t="shared" si="10"/>
        <v>48.349155291245964</v>
      </c>
      <c r="K26" s="451">
        <f t="shared" si="11"/>
        <v>0</v>
      </c>
      <c r="L26" s="451">
        <f t="shared" si="12"/>
        <v>0</v>
      </c>
      <c r="M26" s="451">
        <f t="shared" si="13"/>
        <v>0</v>
      </c>
      <c r="N26" s="451">
        <f t="shared" si="14"/>
        <v>0</v>
      </c>
      <c r="O26" s="451">
        <f t="shared" si="15"/>
        <v>0</v>
      </c>
      <c r="P26" s="452">
        <f t="shared" si="16"/>
        <v>0</v>
      </c>
      <c r="Q26" s="450">
        <f t="shared" ca="1" si="17"/>
        <v>33223.097821532683</v>
      </c>
    </row>
    <row r="27" spans="1:17" s="456" customFormat="1">
      <c r="A27" s="454" t="s">
        <v>560</v>
      </c>
      <c r="B27" s="754">
        <f t="shared" ca="1" si="2"/>
        <v>33.259713459939583</v>
      </c>
      <c r="C27" s="455">
        <f t="shared" ca="1" si="3"/>
        <v>0</v>
      </c>
      <c r="D27" s="455">
        <f t="shared" si="4"/>
        <v>100.49971986488468</v>
      </c>
      <c r="E27" s="455">
        <f t="shared" si="5"/>
        <v>200.16469834620085</v>
      </c>
      <c r="F27" s="455">
        <f t="shared" si="6"/>
        <v>0</v>
      </c>
      <c r="G27" s="455">
        <f t="shared" si="7"/>
        <v>115110.92002342567</v>
      </c>
      <c r="H27" s="455">
        <f t="shared" si="8"/>
        <v>21039.839929305053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136484.68408440176</v>
      </c>
    </row>
    <row r="28" spans="1:17">
      <c r="A28" s="450" t="s">
        <v>550</v>
      </c>
      <c r="B28" s="451">
        <f t="shared" ca="1" si="2"/>
        <v>0</v>
      </c>
      <c r="C28" s="451">
        <f t="shared" ca="1" si="3"/>
        <v>0</v>
      </c>
      <c r="D28" s="451">
        <f t="shared" si="4"/>
        <v>0</v>
      </c>
      <c r="E28" s="451">
        <f t="shared" si="5"/>
        <v>0</v>
      </c>
      <c r="F28" s="451">
        <f t="shared" si="6"/>
        <v>0</v>
      </c>
      <c r="G28" s="451">
        <f t="shared" si="7"/>
        <v>2570.8632167783876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2570.8632167783876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934.54133460197215</v>
      </c>
      <c r="C32" s="451">
        <f t="shared" ca="1" si="3"/>
        <v>0</v>
      </c>
      <c r="D32" s="451">
        <f t="shared" si="4"/>
        <v>2978.8959758343567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3913.437310436329</v>
      </c>
    </row>
    <row r="33" spans="1:17" s="460" customFormat="1">
      <c r="A33" s="1005" t="s">
        <v>554</v>
      </c>
      <c r="B33" s="953">
        <f ca="1">SUM(B22:B32)</f>
        <v>68124.372698878869</v>
      </c>
      <c r="C33" s="953">
        <f t="shared" ref="C33:Q33" ca="1" si="18">SUM(C22:C32)</f>
        <v>234.50672268907562</v>
      </c>
      <c r="D33" s="953">
        <f t="shared" ca="1" si="18"/>
        <v>111958.09026944751</v>
      </c>
      <c r="E33" s="953">
        <f t="shared" si="18"/>
        <v>8910.3425642259099</v>
      </c>
      <c r="F33" s="953">
        <f t="shared" ca="1" si="18"/>
        <v>14506.262829515985</v>
      </c>
      <c r="G33" s="953">
        <f t="shared" si="18"/>
        <v>117681.78324020407</v>
      </c>
      <c r="H33" s="953">
        <f t="shared" si="18"/>
        <v>21039.839929305053</v>
      </c>
      <c r="I33" s="953">
        <f t="shared" si="18"/>
        <v>0</v>
      </c>
      <c r="J33" s="953">
        <f t="shared" si="18"/>
        <v>1414.5487889911228</v>
      </c>
      <c r="K33" s="953">
        <f t="shared" si="18"/>
        <v>0</v>
      </c>
      <c r="L33" s="953">
        <f t="shared" ca="1" si="18"/>
        <v>0</v>
      </c>
      <c r="M33" s="953">
        <f t="shared" si="18"/>
        <v>0</v>
      </c>
      <c r="N33" s="953">
        <f t="shared" ca="1" si="18"/>
        <v>0</v>
      </c>
      <c r="O33" s="953">
        <f t="shared" si="18"/>
        <v>0</v>
      </c>
      <c r="P33" s="953">
        <f t="shared" si="18"/>
        <v>0</v>
      </c>
      <c r="Q33" s="953">
        <f t="shared" ca="1" si="18"/>
        <v>343869.74704325764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23470.640608027468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690.75</v>
      </c>
      <c r="D8" s="1022">
        <f>'SEAP template'!D76</f>
        <v>812.64705882352951</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164.15470588235297</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23470.640608027468</v>
      </c>
      <c r="C10" s="1026">
        <f>SUM(C4:C9)</f>
        <v>690.75</v>
      </c>
      <c r="D10" s="1026">
        <f t="shared" ref="D10:H10" si="0">SUM(D8:D9)</f>
        <v>812.64705882352951</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164.15470588235297</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0.20539576973777865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986.78571428571433</v>
      </c>
      <c r="D17" s="1023">
        <f>'SEAP template'!D87</f>
        <v>1160.9243697478992</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234.50672268907564</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986.78571428571433</v>
      </c>
      <c r="D20" s="1026">
        <f t="shared" ref="D20:H20" si="2">SUM(D17:D19)</f>
        <v>1160.9243697478992</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234.50672268907564</v>
      </c>
    </row>
    <row r="22" spans="1:16">
      <c r="A22" s="461" t="s">
        <v>848</v>
      </c>
      <c r="B22" s="760" t="s">
        <v>842</v>
      </c>
      <c r="C22" s="760">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0.20539576973777865</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2020-06-20T15:47:53Z</dcterms:modified>
</cp:coreProperties>
</file>