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M77" i="14" l="1"/>
  <c r="M9" i="61" s="1"/>
  <c r="H9" i="18"/>
  <c r="F6" i="17"/>
  <c r="C13" i="15"/>
  <c r="C45" i="18"/>
  <c r="C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D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8"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F63"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<sst xmlns="http://schemas.openxmlformats.org/spreadsheetml/2006/main" count="2398" uniqueCount="887">
  <si>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</si>
  <si>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</si>
  <si>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</si>
  <si>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</si>
  <si>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</si>
  <si>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</si>
  <si>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</si>
  <si>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</si>
  <si>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</si>
  <si>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</si>
  <si>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</si>
  <si>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</si>
  <si>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</si>
  <si>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</si>
  <si>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</si>
  <si>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</si>
  <si>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</si>
  <si>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</si>
  <si>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</si>
  <si>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</si>
  <si>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</si>
  <si>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</si>
  <si>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</si>
  <si>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</si>
  <si>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</si>
  <si>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</si>
  <si>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</si>
  <si>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</si>
  <si>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</si>
  <si>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</si>
  <si>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</si>
  <si>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</si>
  <si>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</si>
  <si>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</si>
  <si>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</si>
  <si>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</si>
  <si>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</si>
  <si>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</si>
  <si>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</si>
  <si>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</si>
  <si>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</si>
  <si>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</si>
  <si>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</si>
  <si>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</si>
  <si>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</si>
  <si>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</si>
  <si>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</si>
  <si>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</si>
  <si>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</si>
  <si>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</si>
  <si>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</si>
  <si>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</si>
  <si>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</si>
  <si>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</si>
  <si>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</si>
  <si>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</si>
  <si>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</si>
  <si>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</si>
  <si>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</si>
  <si>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</si>
  <si>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</si>
  <si>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</si>
  <si>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</si>
  <si>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</si>
  <si>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</si>
  <si>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</si>
  <si>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</si>
  <si>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</si>
  <si>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</si>
  <si>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</si>
  <si>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</si>
  <si>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</si>
  <si>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</si>
  <si>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</si>
  <si>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</si>
  <si>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</si>
  <si>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</si>
  <si>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</si>
  <si>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</si>
  <si>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</si>
  <si>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</si>
  <si>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</si>
  <si>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</si>
  <si>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</si>
  <si>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</si>
  <si>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</si>
  <si>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</si>
  <si>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</si>
  <si>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</si>
  <si>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</si>
  <si>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</si>
  <si>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</si>
  <si>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</si>
  <si>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</si>
  <si>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</si>
  <si>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</si>
  <si>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</si>
  <si>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</si>
  <si>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</si>
  <si>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</si>
  <si>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</si>
  <si>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</si>
  <si>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</si>
  <si>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</si>
  <si>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</si>
  <si>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</si>
  <si>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</si>
  <si>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</si>
  <si>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</si>
  <si>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</si>
  <si>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</si>
  <si>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</si>
  <si>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</si>
  <si>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</si>
  <si>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</si>
  <si>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</si>
  <si>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</si>
  <si>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</si>
  <si>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</si>
  <si>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</si>
  <si>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</si>
  <si>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</si>
  <si>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</si>
  <si>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</si>
  <si>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</si>
  <si>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</si>
  <si>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</si>
  <si>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</si>
  <si>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</si>
  <si>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</si>
  <si>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</si>
  <si>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</si>
  <si>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</si>
  <si>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</si>
  <si>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</si>
  <si>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</si>
  <si>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</si>
  <si>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</si>
  <si>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</si>
  <si>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</si>
  <si>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</si>
  <si>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</si>
  <si>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</si>
  <si>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</si>
  <si>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</si>
  <si>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</si>
  <si>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</si>
  <si>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</si>
  <si>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</si>
  <si>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</si>
  <si>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</si>
  <si>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</si>
  <si>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</si>
  <si>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</si>
  <si>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</si>
  <si>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</si>
  <si>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</si>
  <si>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</si>
  <si>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</si>
  <si>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</si>
  <si>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</si>
  <si>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</si>
  <si>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</si>
  <si>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</si>
  <si>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</si>
  <si>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</si>
  <si>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</si>
  <si>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</si>
  <si>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</si>
  <si>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</si>
  <si>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</si>
  <si>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</si>
  <si>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</si>
  <si>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</si>
  <si>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</si>
  <si>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</si>
  <si>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</si>
  <si>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</si>
  <si>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</si>
  <si>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</si>
  <si>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</si>
  <si>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</si>
  <si>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</si>
  <si>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</si>
  <si>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</si>
  <si>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</si>
  <si>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</si>
  <si>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</si>
  <si>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</si>
  <si>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</si>
  <si>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</si>
  <si>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</si>
  <si>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</si>
  <si>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</si>
  <si>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</si>
  <si>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</si>
  <si>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</si>
  <si>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</si>
  <si>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</si>
  <si>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</si>
  <si>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</si>
  <si>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</si>
  <si>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</si>
  <si>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</si>
  <si>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</si>
  <si>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</si>
  <si>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</si>
  <si>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</si>
  <si>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</si>
  <si>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</si>
  <si>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</si>
  <si>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</si>
  <si>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</si>
  <si>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</si>
  <si>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</si>
  <si>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</si>
  <si>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</si>
  <si>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</si>
  <si>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</si>
  <si>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</si>
  <si>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</si>
  <si>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</si>
  <si>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</si>
  <si>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</si>
  <si>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</si>
  <si>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</si>
  <si>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</si>
  <si>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</si>
  <si>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</si>
  <si>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</si>
  <si>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</si>
  <si>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</si>
  <si>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</si>
  <si>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</si>
  <si>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</si>
  <si>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</si>
  <si>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</si>
  <si>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</si>
  <si>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</si>
  <si>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</si>
  <si>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</si>
  <si>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</si>
  <si>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</si>
  <si>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</si>
  <si>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</si>
  <si>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</si>
  <si>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</si>
  <si>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</si>
  <si>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</si>
  <si>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</si>
  <si>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</si>
  <si>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</si>
  <si>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</si>
  <si>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</si>
  <si>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</si>
  <si>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</si>
  <si>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</si>
  <si>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</si>
  <si>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</si>
  <si>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</si>
  <si>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</si>
  <si>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</si>
  <si>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</si>
  <si>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</si>
  <si>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</si>
  <si>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</si>
  <si>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</si>
  <si>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</si>
  <si>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</si>
  <si>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</si>
  <si>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</si>
  <si>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</si>
  <si>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</si>
  <si>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</si>
  <si>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</si>
  <si>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</si>
  <si>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</si>
  <si>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</si>
  <si>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</si>
  <si>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</si>
  <si>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</si>
  <si>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</si>
  <si>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</si>
  <si>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</si>
  <si>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</si>
  <si>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</si>
  <si>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</si>
  <si>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</si>
  <si>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</si>
  <si>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</si>
  <si>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</si>
  <si>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</si>
  <si>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</si>
  <si>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</si>
  <si>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</si>
  <si>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</si>
  <si>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</si>
  <si>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</si>
  <si>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</si>
  <si>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</si>
  <si>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</si>
  <si>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</si>
  <si>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</si>
  <si>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</si>
  <si>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</si>
  <si>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</si>
  <si>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</si>
  <si>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</si>
  <si>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</si>
  <si>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</si>
  <si>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</si>
  <si>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</si>
  <si>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</si>
  <si>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</si>
  <si>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</si>
  <si>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</si>
  <si>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</si>
  <si>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</si>
  <si>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</si>
  <si>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</si>
  <si>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</si>
  <si>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</si>
  <si>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</si>
  <si>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</si>
  <si>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</si>
  <si>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</si>
  <si>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</si>
  <si>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</si>
  <si>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</si>
  <si>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</si>
  <si>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</si>
  <si>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</si>
  <si>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</si>
  <si>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</si>
  <si>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</si>
  <si>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</si>
  <si>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</si>
  <si>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</si>
  <si>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</si>
  <si>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</si>
  <si>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</si>
  <si>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</si>
  <si>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</si>
  <si>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</si>
  <si>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</si>
  <si>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</si>
  <si>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</si>
  <si>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</si>
  <si>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</si>
  <si>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</si>
  <si>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</si>
  <si>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</si>
  <si>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</si>
  <si>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</si>
  <si>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</si>
  <si>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</si>
  <si>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</si>
  <si>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</si>
  <si>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</si>
  <si>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</si>
  <si>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</si>
  <si>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</si>
  <si>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</si>
  <si>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</si>
  <si>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</si>
  <si>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</si>
  <si>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</si>
  <si>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</si>
  <si>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</si>
  <si>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</si>
  <si>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</si>
  <si>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</si>
  <si>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</si>
  <si>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</si>
  <si>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</si>
  <si>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</si>
  <si>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</si>
  <si>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</si>
  <si>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</si>
  <si>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</si>
  <si>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</si>
  <si>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</si>
  <si>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</si>
  <si>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</si>
  <si>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</si>
  <si>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</si>
  <si>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</si>
  <si>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</si>
  <si>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</si>
  <si>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</si>
  <si>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</si>
  <si>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</si>
  <si>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</si>
  <si>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</si>
  <si>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</si>
  <si>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</si>
  <si>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</si>
  <si>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</si>
  <si>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</si>
  <si>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</si>
  <si>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</si>
  <si>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</si>
  <si>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</si>
  <si>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</si>
  <si>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</si>
  <si>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</si>
  <si>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</si>
  <si>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</si>
  <si>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</si>
  <si>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</si>
  <si>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</si>
  <si>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</si>
  <si>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</si>
  <si>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</si>
  <si>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</si>
  <si>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</si>
  <si>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</si>
  <si>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</si>
  <si>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</si>
  <si>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</si>
  <si>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</si>
  <si>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</si>
  <si>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</si>
  <si>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</si>
  <si>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</si>
  <si>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</si>
  <si>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</si>
  <si>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</si>
  <si>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</si>
  <si>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</si>
  <si>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</si>
  <si>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</si>
  <si>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</si>
  <si>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</si>
  <si>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</si>
  <si>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</si>
  <si>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</si>
  <si>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</si>
  <si>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</si>
  <si>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</si>
  <si>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</si>
  <si>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</si>
  <si>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</si>
  <si>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</si>
  <si>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</si>
  <si>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</si>
  <si>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</si>
  <si>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</si>
  <si>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</si>
  <si>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</si>
  <si>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</si>
  <si>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</si>
  <si>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</si>
  <si>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</si>
  <si>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</si>
  <si>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</si>
  <si>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</si>
  <si>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</si>
  <si>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</si>
  <si>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</si>
  <si>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</si>
  <si>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</si>
  <si>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</si>
  <si>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</si>
  <si>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</si>
  <si>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</si>
  <si>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</si>
  <si>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</si>
  <si>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</si>
  <si>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</si>
  <si>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</si>
  <si>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</si>
  <si>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</si>
  <si>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</si>
  <si>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</si>
  <si>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</si>
  <si>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</si>
  <si>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</si>
  <si>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</si>
  <si>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</si>
  <si>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</si>
  <si>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</si>
  <si>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</si>
  <si>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</si>
  <si>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</si>
  <si>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</si>
  <si>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</si>
  <si>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</si>
  <si>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</si>
  <si>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</si>
  <si>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</si>
  <si>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</si>
  <si>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</si>
  <si>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</si>
  <si>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</si>
  <si>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</si>
  <si>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</si>
  <si>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</si>
  <si>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</si>
  <si>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</si>
  <si>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</si>
  <si>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</si>
  <si>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</si>
  <si>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</si>
  <si>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</si>
  <si>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</si>
  <si>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</si>
  <si>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</si>
  <si>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</si>
  <si>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</si>
  <si>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</si>
  <si>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</si>
  <si>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</si>
  <si>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</si>
  <si>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</si>
  <si>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</si>
  <si>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</si>
  <si>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</si>
  <si>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</si>
  <si>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</si>
  <si>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</si>
  <si>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</si>
  <si>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</si>
  <si>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</si>
  <si>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</si>
  <si>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</si>
  <si>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</si>
  <si>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</si>
  <si>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</si>
  <si>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</si>
  <si>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</si>
  <si>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</si>
  <si>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</si>
  <si>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</si>
  <si>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</si>
  <si>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</si>
  <si>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</si>
  <si>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</si>
  <si>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</si>
  <si>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</si>
  <si>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</si>
  <si>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</si>
  <si>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</si>
  <si>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</si>
  <si>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</si>
  <si>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</si>
  <si>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</si>
  <si>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</si>
  <si>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</si>
  <si>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</si>
  <si>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</si>
  <si>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</si>
  <si>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</si>
  <si>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</si>
  <si>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</si>
  <si>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</si>
  <si>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</si>
  <si>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</si>
  <si>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</si>
  <si>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</si>
  <si>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</si>
  <si>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</si>
  <si>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</si>
  <si>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</si>
  <si>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</si>
  <si>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</si>
  <si>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</si>
  <si>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</si>
  <si>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</si>
  <si>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</si>
  <si>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</si>
  <si>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</si>
  <si>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</si>
  <si>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</si>
  <si>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</si>
  <si>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</si>
  <si>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</si>
  <si>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</si>
  <si>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</si>
  <si>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</si>
  <si>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</si>
  <si>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</si>
  <si>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</si>
  <si>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</si>
  <si>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</si>
  <si>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</si>
  <si>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</si>
  <si>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</si>
  <si>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</si>
  <si>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</si>
  <si>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</si>
  <si>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</si>
  <si>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</si>
  <si>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</si>
  <si>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</si>
  <si>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</si>
  <si>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</si>
  <si>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</si>
  <si>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</si>
  <si>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</si>
  <si>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</si>
  <si>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</si>
  <si>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</si>
  <si>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</si>
  <si>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</si>
  <si>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</si>
  <si>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</si>
  <si>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</si>
  <si>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</si>
  <si>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</si>
  <si>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</si>
  <si>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</si>
  <si>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</si>
  <si>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</si>
  <si>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</si>
  <si>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</si>
  <si>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</si>
  <si>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</si>
  <si>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</si>
  <si>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</si>
  <si>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</si>
  <si>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</si>
  <si>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</si>
  <si>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</si>
  <si>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</si>
  <si>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</si>
  <si>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</si>
  <si>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</si>
  <si>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</si>
  <si>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</si>
  <si>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</si>
  <si>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</si>
  <si>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</si>
  <si>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</si>
  <si>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</si>
  <si>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</si>
  <si>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</si>
  <si>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</si>
  <si>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</si>
  <si>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</si>
  <si>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</si>
  <si>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</si>
  <si>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</si>
  <si>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</si>
  <si>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</si>
  <si>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</si>
  <si>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</si>
  <si>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</si>
  <si>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</si>
  <si>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</si>
  <si>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</si>
  <si>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</si>
  <si>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</si>
  <si>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</si>
  <si>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</si>
  <si>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</si>
  <si>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</si>
  <si>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</si>
  <si>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</si>
  <si>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</si>
  <si>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</si>
  <si>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</si>
  <si>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</si>
  <si>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</si>
  <si>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</si>
  <si>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</si>
  <si>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</si>
  <si>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</si>
  <si>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</si>
  <si>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</si>
  <si>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</si>
  <si>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</si>
  <si>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</si>
  <si>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</si>
  <si>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</si>
  <si>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</si>
  <si>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</si>
  <si>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</si>
  <si>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</si>
  <si>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</si>
  <si>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</si>
  <si>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</si>
  <si>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</si>
  <si>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</si>
  <si>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</si>
  <si>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</si>
  <si>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</si>
  <si>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</si>
  <si>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</si>
  <si>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</si>
  <si>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</si>
  <si>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</si>
  <si>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</si>
  <si>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</si>
  <si>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</si>
  <si>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</si>
  <si>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</si>
  <si>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</si>
  <si>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</si>
  <si>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</si>
  <si>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</si>
  <si>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</si>
  <si>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</si>
  <si>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</si>
  <si>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</si>
  <si>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</si>
  <si>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</si>
  <si>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</si>
  <si>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</si>
  <si>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</si>
  <si>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</si>
  <si>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</si>
  <si>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</si>
  <si>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</si>
  <si>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</si>
  <si>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</si>
  <si>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</si>
  <si>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</si>
  <si>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</si>
  <si>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</si>
  <si>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</si>
  <si>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</si>
  <si>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</si>
  <si>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</si>
  <si>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</si>
  <si>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</si>
  <si>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</si>
  <si>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</si>
  <si>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</si>
  <si>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</si>
  <si>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</si>
  <si>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</si>
  <si>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</si>
  <si>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</si>
  <si>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</si>
  <si>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</si>
  <si>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</si>
  <si>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</si>
  <si>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</si>
  <si>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</si>
  <si>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</si>
  <si>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</si>
  <si>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</si>
  <si>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</si>
  <si>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</si>
  <si>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</si>
  <si>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</si>
  <si>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</si>
  <si>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</si>
  <si>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</si>
  <si>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</si>
  <si>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</si>
  <si>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</si>
  <si>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</si>
  <si>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</si>
  <si>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</si>
  <si>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</si>
  <si>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</si>
  <si>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</si>
  <si>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</si>
  <si>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</si>
  <si>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</si>
  <si>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</si>
  <si>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</si>
  <si>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</si>
  <si>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</si>
  <si>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</si>
  <si>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</si>
  <si>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</si>
  <si>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</si>
  <si>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</si>
  <si>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</si>
  <si>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</si>
  <si>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</si>
  <si>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</si>
  <si>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</si>
  <si>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</si>
  <si>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</si>
  <si>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</si>
  <si>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</si>
  <si>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</si>
  <si>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</si>
  <si>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</si>
  <si>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</si>
  <si>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</si>
  <si>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</si>
  <si>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</si>
  <si>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</si>
  <si>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</si>
  <si>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</si>
  <si>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</si>
  <si>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</si>
  <si>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</si>
  <si>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</si>
  <si>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</si>
  <si>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</si>
  <si>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</si>
  <si>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</si>
  <si>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</si>
  <si>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</si>
  <si>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</si>
  <si>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</si>
  <si>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</si>
  <si>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</si>
  <si>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</si>
  <si>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</si>
  <si>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</si>
  <si>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</si>
  <si>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</si>
  <si>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</si>
  <si>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</si>
  <si>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</si>
  <si>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</si>
  <si>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</si>
  <si>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</si>
  <si>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</si>
  <si>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</si>
  <si>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</si>
  <si>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</si>
  <si>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</si>
  <si>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</si>
  <si>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</si>
  <si>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</si>
  <si>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</si>
  <si>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</si>
  <si>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</si>
  <si>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</si>
  <si>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</si>
  <si>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</si>
  <si>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</si>
  <si>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</si>
  <si>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</si>
  <si>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</si>
  <si>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</si>
  <si>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</si>
  <si>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</si>
  <si>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</si>
  <si>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</si>
  <si>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</si>
  <si>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</si>
  <si>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</si>
  <si>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</si>
  <si>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</si>
  <si>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</si>
  <si>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</si>
  <si>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</si>
  <si>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</si>
  <si>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</si>
  <si>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</si>
  <si>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</si>
  <si>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</si>
  <si>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</si>
  <si>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</si>
  <si>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</si>
  <si>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</si>
  <si>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</si>
  <si>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</si>
  <si>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</si>
  <si>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</si>
  <si>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</si>
  <si>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</si>
  <si>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</si>
  <si>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</si>
  <si>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</si>
  <si>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</si>
  <si>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</si>
  <si>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</si>
  <si>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</si>
  <si>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</si>
  <si>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</si>
  <si>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</si>
  <si>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</si>
  <si>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</si>
  <si>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</si>
  <si>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</si>
  <si>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</si>
  <si>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</si>
  <si>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</si>
  <si>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</si>
  <si>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</si>
  <si>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</si>
  <si>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</si>
  <si>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</si>
  <si>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45063</t>
  </si>
  <si>
    <t>LIERDE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</si>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</sst>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61253.723526513306</c:v>
                </c:pt>
                <c:pt idx="1">
                  <c:v>5744.1407614349946</c:v>
                </c:pt>
                <c:pt idx="2">
                  <c:v>461.00200000000001</c:v>
                </c:pt>
                <c:pt idx="3">
                  <c:v>3834.2419602744621</c:v>
                </c:pt>
                <c:pt idx="4">
                  <c:v>2479.7099919704874</c:v>
                </c:pt>
                <c:pt idx="5">
                  <c:v>26764.549695337992</c:v>
                </c:pt>
                <c:pt idx="6">
                  <c:v>460.05285519539598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61253.723526513306</c:v>
                </c:pt>
                <c:pt idx="1">
                  <c:v>5744.1407614349946</c:v>
                </c:pt>
                <c:pt idx="2">
                  <c:v>461.00200000000001</c:v>
                </c:pt>
                <c:pt idx="3">
                  <c:v>3834.2419602744621</c:v>
                </c:pt>
                <c:pt idx="4">
                  <c:v>2479.7099919704874</c:v>
                </c:pt>
                <c:pt idx="5">
                  <c:v>26764.549695337992</c:v>
                </c:pt>
                <c:pt idx="6">
                  <c:v>460.05285519539598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12871.181553082279</c:v>
                </c:pt>
                <c:pt idx="2">
                  <c:v>1101.1969828026267</c:v>
                </c:pt>
                <c:pt idx="3">
                  <c:v>92.728927182260477</c:v>
                </c:pt>
                <c:pt idx="4">
                  <c:v>977.94883335084194</c:v>
                </c:pt>
                <c:pt idx="5">
                  <c:v>513.70403519052513</c:v>
                </c:pt>
                <c:pt idx="6">
                  <c:v>6696.9826576113246</c:v>
                </c:pt>
                <c:pt idx="7">
                  <c:v>116.23308490787514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12871.181553082279</c:v>
                </c:pt>
                <c:pt idx="2">
                  <c:v>1101.1969828026267</c:v>
                </c:pt>
                <c:pt idx="3">
                  <c:v>92.728927182260477</c:v>
                </c:pt>
                <c:pt idx="4">
                  <c:v>977.94883335084194</c:v>
                </c:pt>
                <c:pt idx="5">
                  <c:v>513.70403519052513</c:v>
                </c:pt>
                <c:pt idx="6">
                  <c:v>6696.9826576113246</c:v>
                </c:pt>
                <c:pt idx="7">
                  <c:v>116.23308490787514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45063</v>
      </c>
      <c r="B6" s="390"/>
      <c r="C6" s="391"/>
    </row>
    <row r="7" spans="1:7" s="388" customFormat="1" ht="15.75" customHeight="1">
      <c r="A7" s="392" t="str">
        <f>txtMunicipality</f>
        <v>LIERDE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0.20114647481412332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0.20114647481412332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2670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1854.68</v>
      </c>
      <c r="C14" s="330"/>
      <c r="D14" s="330"/>
      <c r="E14" s="330"/>
      <c r="F14" s="330"/>
    </row>
    <row r="15" spans="1:6">
      <c r="A15" s="1293" t="s">
        <v>183</v>
      </c>
      <c r="B15" s="1294">
        <v>15</v>
      </c>
      <c r="C15" s="330"/>
      <c r="D15" s="330"/>
      <c r="E15" s="330"/>
      <c r="F15" s="330"/>
    </row>
    <row r="16" spans="1:6">
      <c r="A16" s="1293" t="s">
        <v>6</v>
      </c>
      <c r="B16" s="1294">
        <v>772</v>
      </c>
      <c r="C16" s="330"/>
      <c r="D16" s="330"/>
      <c r="E16" s="330"/>
      <c r="F16" s="330"/>
    </row>
    <row r="17" spans="1:6">
      <c r="A17" s="1293" t="s">
        <v>7</v>
      </c>
      <c r="B17" s="1294">
        <v>585</v>
      </c>
      <c r="C17" s="330"/>
      <c r="D17" s="330"/>
      <c r="E17" s="330"/>
      <c r="F17" s="330"/>
    </row>
    <row r="18" spans="1:6">
      <c r="A18" s="1293" t="s">
        <v>8</v>
      </c>
      <c r="B18" s="1294">
        <v>944</v>
      </c>
      <c r="C18" s="330"/>
      <c r="D18" s="330"/>
      <c r="E18" s="330"/>
      <c r="F18" s="330"/>
    </row>
    <row r="19" spans="1:6">
      <c r="A19" s="1293" t="s">
        <v>9</v>
      </c>
      <c r="B19" s="1294">
        <v>828</v>
      </c>
      <c r="C19" s="330"/>
      <c r="D19" s="330"/>
      <c r="E19" s="330"/>
      <c r="F19" s="330"/>
    </row>
    <row r="20" spans="1:6">
      <c r="A20" s="1293" t="s">
        <v>10</v>
      </c>
      <c r="B20" s="1294">
        <v>654</v>
      </c>
      <c r="C20" s="330"/>
      <c r="D20" s="330"/>
      <c r="E20" s="330"/>
      <c r="F20" s="330"/>
    </row>
    <row r="21" spans="1:6">
      <c r="A21" s="1293" t="s">
        <v>11</v>
      </c>
      <c r="B21" s="1294">
        <v>0</v>
      </c>
      <c r="C21" s="330"/>
      <c r="D21" s="330"/>
      <c r="E21" s="330"/>
      <c r="F21" s="330"/>
    </row>
    <row r="22" spans="1:6">
      <c r="A22" s="1293" t="s">
        <v>12</v>
      </c>
      <c r="B22" s="1294">
        <v>496</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57</v>
      </c>
      <c r="C26" s="330"/>
      <c r="D26" s="330"/>
      <c r="E26" s="330"/>
      <c r="F26" s="330"/>
    </row>
    <row r="27" spans="1:6">
      <c r="A27" s="1293" t="s">
        <v>17</v>
      </c>
      <c r="B27" s="1294">
        <v>0</v>
      </c>
      <c r="C27" s="330"/>
      <c r="D27" s="330"/>
      <c r="E27" s="330"/>
      <c r="F27" s="330"/>
    </row>
    <row r="28" spans="1:6" s="43" customFormat="1">
      <c r="A28" s="1295" t="s">
        <v>18</v>
      </c>
      <c r="B28" s="1296">
        <v>12613</v>
      </c>
      <c r="C28" s="336"/>
      <c r="D28" s="336"/>
      <c r="E28" s="336"/>
      <c r="F28" s="336"/>
    </row>
    <row r="29" spans="1:6">
      <c r="A29" s="1295" t="s">
        <v>734</v>
      </c>
      <c r="B29" s="1296">
        <v>59</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941</v>
      </c>
      <c r="D39" s="1294">
        <v>16574638.1866918</v>
      </c>
      <c r="E39" s="1294">
        <v>2566</v>
      </c>
      <c r="F39" s="1294">
        <v>11137603.592180001</v>
      </c>
    </row>
    <row r="40" spans="1:6">
      <c r="A40" s="1293" t="s">
        <v>29</v>
      </c>
      <c r="B40" s="1293" t="s">
        <v>28</v>
      </c>
      <c r="C40" s="1294">
        <v>0</v>
      </c>
      <c r="D40" s="1294">
        <v>0</v>
      </c>
      <c r="E40" s="1294">
        <v>0</v>
      </c>
      <c r="F40" s="1294">
        <v>0</v>
      </c>
    </row>
    <row r="41" spans="1:6">
      <c r="A41" s="1293" t="s">
        <v>31</v>
      </c>
      <c r="B41" s="1293" t="s">
        <v>32</v>
      </c>
      <c r="C41" s="1294">
        <v>20</v>
      </c>
      <c r="D41" s="1294">
        <v>575537.29914855701</v>
      </c>
      <c r="E41" s="1294">
        <v>58</v>
      </c>
      <c r="F41" s="1294">
        <v>348369.48481778899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12</v>
      </c>
      <c r="D48" s="1294">
        <v>305203.18152777798</v>
      </c>
      <c r="E48" s="1294">
        <v>36</v>
      </c>
      <c r="F48" s="1294">
        <v>351194.133757548</v>
      </c>
    </row>
    <row r="49" spans="1:6">
      <c r="A49" s="1293" t="s">
        <v>31</v>
      </c>
      <c r="B49" s="1293" t="s">
        <v>39</v>
      </c>
      <c r="C49" s="1294">
        <v>0</v>
      </c>
      <c r="D49" s="1294">
        <v>0</v>
      </c>
      <c r="E49" s="1294">
        <v>0</v>
      </c>
      <c r="F49" s="1294">
        <v>0</v>
      </c>
    </row>
    <row r="50" spans="1:6">
      <c r="A50" s="1293" t="s">
        <v>31</v>
      </c>
      <c r="B50" s="1293" t="s">
        <v>40</v>
      </c>
      <c r="C50" s="1294">
        <v>3</v>
      </c>
      <c r="D50" s="1294">
        <v>269970.20680098602</v>
      </c>
      <c r="E50" s="1294">
        <v>5</v>
      </c>
      <c r="F50" s="1294">
        <v>192333.022243785</v>
      </c>
    </row>
    <row r="51" spans="1:6">
      <c r="A51" s="1293" t="s">
        <v>41</v>
      </c>
      <c r="B51" s="1293" t="s">
        <v>42</v>
      </c>
      <c r="C51" s="1294">
        <v>3</v>
      </c>
      <c r="D51" s="1294">
        <v>84407.557583918504</v>
      </c>
      <c r="E51" s="1294">
        <v>49</v>
      </c>
      <c r="F51" s="1294">
        <v>560828.30274434399</v>
      </c>
    </row>
    <row r="52" spans="1:6">
      <c r="A52" s="1293" t="s">
        <v>41</v>
      </c>
      <c r="B52" s="1293" t="s">
        <v>28</v>
      </c>
      <c r="C52" s="1294">
        <v>2</v>
      </c>
      <c r="D52" s="1294">
        <v>51463.646796854002</v>
      </c>
      <c r="E52" s="1294">
        <v>8</v>
      </c>
      <c r="F52" s="1294">
        <v>134215.69214365</v>
      </c>
    </row>
    <row r="53" spans="1:6">
      <c r="A53" s="1293" t="s">
        <v>43</v>
      </c>
      <c r="B53" s="1293" t="s">
        <v>44</v>
      </c>
      <c r="C53" s="1294">
        <v>23</v>
      </c>
      <c r="D53" s="1294">
        <v>364424.97725162702</v>
      </c>
      <c r="E53" s="1294">
        <v>87</v>
      </c>
      <c r="F53" s="1294">
        <v>284197.28463490302</v>
      </c>
    </row>
    <row r="54" spans="1:6">
      <c r="A54" s="1293" t="s">
        <v>45</v>
      </c>
      <c r="B54" s="1293" t="s">
        <v>46</v>
      </c>
      <c r="C54" s="1294">
        <v>0</v>
      </c>
      <c r="D54" s="1294">
        <v>0</v>
      </c>
      <c r="E54" s="1294">
        <v>1</v>
      </c>
      <c r="F54" s="1294">
        <v>461002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v>
      </c>
      <c r="D57" s="1294">
        <v>40473.569337915796</v>
      </c>
      <c r="E57" s="1294">
        <v>22</v>
      </c>
      <c r="F57" s="1294">
        <v>367139.752575766</v>
      </c>
    </row>
    <row r="58" spans="1:6">
      <c r="A58" s="1293" t="s">
        <v>48</v>
      </c>
      <c r="B58" s="1293" t="s">
        <v>50</v>
      </c>
      <c r="C58" s="1294">
        <v>0</v>
      </c>
      <c r="D58" s="1294">
        <v>0</v>
      </c>
      <c r="E58" s="1294">
        <v>3</v>
      </c>
      <c r="F58" s="1294">
        <v>25324.8510678612</v>
      </c>
    </row>
    <row r="59" spans="1:6">
      <c r="A59" s="1293" t="s">
        <v>48</v>
      </c>
      <c r="B59" s="1293" t="s">
        <v>51</v>
      </c>
      <c r="C59" s="1294">
        <v>0</v>
      </c>
      <c r="D59" s="1294">
        <v>0</v>
      </c>
      <c r="E59" s="1294">
        <v>12</v>
      </c>
      <c r="F59" s="1294">
        <v>294030.62877304899</v>
      </c>
    </row>
    <row r="60" spans="1:6">
      <c r="A60" s="1293" t="s">
        <v>48</v>
      </c>
      <c r="B60" s="1293" t="s">
        <v>52</v>
      </c>
      <c r="C60" s="1294">
        <v>12</v>
      </c>
      <c r="D60" s="1294">
        <v>436245.75427277002</v>
      </c>
      <c r="E60" s="1294">
        <v>30</v>
      </c>
      <c r="F60" s="1294">
        <v>385981.92561681598</v>
      </c>
    </row>
    <row r="61" spans="1:6">
      <c r="A61" s="1293" t="s">
        <v>48</v>
      </c>
      <c r="B61" s="1293" t="s">
        <v>53</v>
      </c>
      <c r="C61" s="1294">
        <v>0</v>
      </c>
      <c r="D61" s="1294">
        <v>0</v>
      </c>
      <c r="E61" s="1294">
        <v>41</v>
      </c>
      <c r="F61" s="1294">
        <v>356493.43804257503</v>
      </c>
    </row>
    <row r="62" spans="1:6">
      <c r="A62" s="1293" t="s">
        <v>48</v>
      </c>
      <c r="B62" s="1293" t="s">
        <v>54</v>
      </c>
      <c r="C62" s="1294">
        <v>0</v>
      </c>
      <c r="D62" s="1294">
        <v>0</v>
      </c>
      <c r="E62" s="1294">
        <v>0</v>
      </c>
      <c r="F62" s="1294">
        <v>0</v>
      </c>
    </row>
    <row r="63" spans="1:6">
      <c r="A63" s="1293" t="s">
        <v>48</v>
      </c>
      <c r="B63" s="1293" t="s">
        <v>28</v>
      </c>
      <c r="C63" s="1294">
        <v>48</v>
      </c>
      <c r="D63" s="1294">
        <v>1743482.63255975</v>
      </c>
      <c r="E63" s="1294">
        <v>111</v>
      </c>
      <c r="F63" s="1294">
        <v>1344578.0999596899</v>
      </c>
    </row>
    <row r="64" spans="1:6">
      <c r="A64" s="1293" t="s">
        <v>55</v>
      </c>
      <c r="B64" s="1293" t="s">
        <v>56</v>
      </c>
      <c r="C64" s="1294">
        <v>0</v>
      </c>
      <c r="D64" s="1294">
        <v>0</v>
      </c>
      <c r="E64" s="1294">
        <v>0</v>
      </c>
      <c r="F64" s="1294">
        <v>0</v>
      </c>
    </row>
    <row r="65" spans="1:6">
      <c r="A65" s="1293" t="s">
        <v>55</v>
      </c>
      <c r="B65" s="1293" t="s">
        <v>28</v>
      </c>
      <c r="C65" s="1294">
        <v>1</v>
      </c>
      <c r="D65" s="1294">
        <v>26878.363801354099</v>
      </c>
      <c r="E65" s="1294">
        <v>4</v>
      </c>
      <c r="F65" s="1294">
        <v>88970.690903478098</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19541946</v>
      </c>
      <c r="E73" s="449"/>
      <c r="F73" s="330"/>
    </row>
    <row r="74" spans="1:6">
      <c r="A74" s="1293" t="s">
        <v>63</v>
      </c>
      <c r="B74" s="1293" t="s">
        <v>656</v>
      </c>
      <c r="C74" s="1307" t="s">
        <v>658</v>
      </c>
      <c r="D74" s="1308">
        <v>2125690.5</v>
      </c>
      <c r="E74" s="449"/>
      <c r="F74" s="330"/>
    </row>
    <row r="75" spans="1:6">
      <c r="A75" s="1293" t="s">
        <v>64</v>
      </c>
      <c r="B75" s="1293" t="s">
        <v>655</v>
      </c>
      <c r="C75" s="1307" t="s">
        <v>659</v>
      </c>
      <c r="D75" s="1308">
        <v>8893696</v>
      </c>
      <c r="E75" s="449"/>
      <c r="F75" s="330"/>
    </row>
    <row r="76" spans="1:6">
      <c r="A76" s="1293" t="s">
        <v>64</v>
      </c>
      <c r="B76" s="1293" t="s">
        <v>656</v>
      </c>
      <c r="C76" s="1307" t="s">
        <v>660</v>
      </c>
      <c r="D76" s="1308">
        <v>176784.5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125471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1604.1813123433551</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255</v>
      </c>
      <c r="C97" s="330"/>
      <c r="D97" s="330"/>
      <c r="E97" s="330"/>
      <c r="F97" s="330"/>
    </row>
    <row r="98" spans="1:6">
      <c r="A98" s="1293" t="s">
        <v>71</v>
      </c>
      <c r="B98" s="1294">
        <v>0</v>
      </c>
      <c r="C98" s="330"/>
      <c r="D98" s="330"/>
      <c r="E98" s="330"/>
      <c r="F98" s="330"/>
    </row>
    <row r="99" spans="1:6">
      <c r="A99" s="1293" t="s">
        <v>72</v>
      </c>
      <c r="B99" s="1294">
        <v>47</v>
      </c>
      <c r="C99" s="330"/>
      <c r="D99" s="330"/>
      <c r="E99" s="330"/>
      <c r="F99" s="330"/>
    </row>
    <row r="100" spans="1:6">
      <c r="A100" s="1293" t="s">
        <v>73</v>
      </c>
      <c r="B100" s="1294">
        <v>223</v>
      </c>
      <c r="C100" s="330"/>
      <c r="D100" s="330"/>
      <c r="E100" s="330"/>
      <c r="F100" s="330"/>
    </row>
    <row r="101" spans="1:6">
      <c r="A101" s="1293" t="s">
        <v>74</v>
      </c>
      <c r="B101" s="1294">
        <v>43</v>
      </c>
      <c r="C101" s="330"/>
      <c r="D101" s="330"/>
      <c r="E101" s="330"/>
      <c r="F101" s="330"/>
    </row>
    <row r="102" spans="1:6">
      <c r="A102" s="1293" t="s">
        <v>75</v>
      </c>
      <c r="B102" s="1294">
        <v>39</v>
      </c>
      <c r="C102" s="330"/>
      <c r="D102" s="330"/>
      <c r="E102" s="330"/>
      <c r="F102" s="330"/>
    </row>
    <row r="103" spans="1:6">
      <c r="A103" s="1293" t="s">
        <v>76</v>
      </c>
      <c r="B103" s="1294">
        <v>203</v>
      </c>
      <c r="C103" s="330"/>
      <c r="D103" s="330"/>
      <c r="E103" s="330"/>
      <c r="F103" s="330"/>
    </row>
    <row r="104" spans="1:6">
      <c r="A104" s="1293" t="s">
        <v>77</v>
      </c>
      <c r="B104" s="1294">
        <v>1632</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76</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17856.983417739892</v>
      </c>
      <c r="C3" s="43" t="s">
        <v>169</v>
      </c>
      <c r="D3" s="43"/>
      <c r="E3" s="154"/>
      <c r="F3" s="43"/>
      <c r="G3" s="43"/>
      <c r="H3" s="43"/>
      <c r="I3" s="43"/>
      <c r="J3" s="43"/>
      <c r="K3" s="96"/>
    </row>
    <row r="4" spans="1:11">
      <c r="A4" s="358" t="s">
        <v>170</v>
      </c>
      <c r="B4" s="49">
        <f>IF(ISERROR('SEAP template'!B78+'SEAP template'!C78),0,'SEAP template'!B78+'SEAP template'!C78)</f>
        <v>1604.1813123433551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0.20114647481412332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461.00200000000001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461.00200000000001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0.20114647481412332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92.728927182260477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11137.603592180001</v>
      </c>
      <c r="C5" s="17">
        <f>IF(ISERROR('Eigen informatie GS &amp; warmtenet'!B57),0,'Eigen informatie GS &amp; warmtenet'!B57)</f>
        <v>0</v>
      </c>
      <c r="D5" s="30">
        <f>(SUM(HH_hh_gas_kWh,HH_rest_gas_kWh)/1000)*0.902</f>
        <v>14950.323644396005</v>
      </c>
      <c r="E5" s="17">
        <f>B46*B57</f>
        <v>4374.9042539323291</v>
      </c>
      <c r="F5" s="17">
        <f>B51*B62</f>
        <v>21164.080694550274</v>
      </c>
      <c r="G5" s="18"/>
      <c r="H5" s="17"/>
      <c r="I5" s="17"/>
      <c r="J5" s="17">
        <f>B50*B61+C50*C61</f>
        <v>1820.1645464464427</v>
      </c>
      <c r="K5" s="17"/>
      <c r="L5" s="17"/>
      <c r="M5" s="17"/>
      <c r="N5" s="17">
        <f>B48*B59+C48*C59</f>
        <v>5516.6488159982318</v>
      </c>
      <c r="O5" s="17">
        <f>B69*B70*B71</f>
        <v>132.88333333333333</v>
      </c>
      <c r="P5" s="17">
        <f>B77*B78*B79/1000-B77*B78*B79/1000/B80</f>
        <v>552.93333333333339</v>
      </c>
    </row>
    <row r="6" spans="1:16">
      <c r="A6" s="16" t="s">
        <v>620</v>
      </c>
      <c r="B6" s="762">
        <f>kWh_PV_kleiner_dan_10kW</f>
        <v>1604.1813123433551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12741.784904523356</v>
      </c>
      <c r="C8" s="21">
        <f>C5</f>
        <v>0</v>
      </c>
      <c r="D8" s="21">
        <f>D5</f>
        <v>14950.323644396005</v>
      </c>
      <c r="E8" s="21">
        <f>E5</f>
        <v>4374.9042539323291</v>
      </c>
      <c r="F8" s="21">
        <f>F5</f>
        <v>21164.080694550274</v>
      </c>
      <c r="G8" s="21"/>
      <c r="H8" s="21"/>
      <c r="I8" s="21"/>
      <c r="J8" s="21">
        <f>J5</f>
        <v>1820.1645464464427</v>
      </c>
      <c r="K8" s="21"/>
      <c r="L8" s="21">
        <f>L5</f>
        <v>0</v>
      </c>
      <c r="M8" s="21">
        <f>M5</f>
        <v>0</v>
      </c>
      <c r="N8" s="21">
        <f>N5</f>
        <v>5516.6488159982318</v>
      </c>
      <c r="O8" s="21">
        <f>O5</f>
        <v>132.88333333333333</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0.20114647481412332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2562.9651163846838</v>
      </c>
      <c r="C12" s="23">
        <f ca="1">C10*C8</f>
        <v>0</v>
      </c>
      <c r="D12" s="23">
        <f>D8*D10</f>
        <v>3019.9653761679933</v>
      </c>
      <c r="E12" s="23">
        <f>E10*E8</f>
        <v>993.10326564263869</v>
      </c>
      <c r="F12" s="23">
        <f>F10*F8</f>
        <v>5650.8095454449231</v>
      </c>
      <c r="G12" s="23"/>
      <c r="H12" s="23"/>
      <c r="I12" s="23"/>
      <c r="J12" s="23">
        <f>J10*J8</f>
        <v>644.33824944204071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15.015974440894569</v>
      </c>
      <c r="D20" s="229"/>
      <c r="E20" s="15"/>
    </row>
    <row r="21" spans="1:7">
      <c r="A21" s="171" t="s">
        <v>73</v>
      </c>
      <c r="B21" s="37">
        <f>aantalw2001_elektriciteit</f>
        <v>223</v>
      </c>
      <c r="C21" s="167">
        <f>IF(ISERROR(B21/SUM($B$20,$B$21,$B$22)*100),0,B21/SUM($B$20,$B$21,$B$22)*100)</f>
        <v>71.246006389776369</v>
      </c>
      <c r="D21" s="229"/>
      <c r="E21" s="15"/>
    </row>
    <row r="22" spans="1:7">
      <c r="A22" s="171" t="s">
        <v>74</v>
      </c>
      <c r="B22" s="37">
        <f>aantalw2001_hout</f>
        <v>43</v>
      </c>
      <c r="C22" s="167">
        <f>IF(ISERROR(B22/SUM($B$20,$B$21,$B$22)*100),0,B22/SUM($B$20,$B$21,$B$22)*100)</f>
        <v>13.738019169329075</v>
      </c>
      <c r="D22" s="229"/>
      <c r="E22" s="15"/>
    </row>
    <row r="23" spans="1:7">
      <c r="A23" s="171" t="s">
        <v>75</v>
      </c>
      <c r="B23" s="37">
        <f>aantalw2001_niet_gespec</f>
        <v>39</v>
      </c>
      <c r="C23" s="166" t="s">
        <v>110</v>
      </c>
      <c r="D23" s="228"/>
      <c r="E23" s="15"/>
    </row>
    <row r="24" spans="1:7">
      <c r="A24" s="171" t="s">
        <v>76</v>
      </c>
      <c r="B24" s="37">
        <f>aantalw2001_steenkool</f>
        <v>203</v>
      </c>
      <c r="C24" s="166" t="s">
        <v>110</v>
      </c>
      <c r="D24" s="229"/>
      <c r="E24" s="15"/>
    </row>
    <row r="25" spans="1:7">
      <c r="A25" s="171" t="s">
        <v>77</v>
      </c>
      <c r="B25" s="37">
        <f>aantalw2001_stookolie</f>
        <v>1632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2670</v>
      </c>
      <c r="C28" s="36"/>
      <c r="D28" s="228"/>
    </row>
    <row r="29" spans="1:7" s="15" customFormat="1">
      <c r="A29" s="230" t="s">
        <v>781</v>
      </c>
      <c r="B29" s="37">
        <f>SUM(HH_hh_gas_aantal,HH_rest_gas_aantal)</f>
        <v>941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941</v>
      </c>
      <c r="C32" s="167">
        <f>IF(ISERROR(B32/SUM($B$32,$B$34,$B$35,$B$36,$B$38,$B$39)*100),0,B32/SUM($B$32,$B$34,$B$35,$B$36,$B$38,$B$39)*100)</f>
        <v>35.630443014009842</v>
      </c>
      <c r="D32" s="233"/>
      <c r="G32" s="15"/>
    </row>
    <row r="33" spans="1:7">
      <c r="A33" s="171" t="s">
        <v>71</v>
      </c>
      <c r="B33" s="34" t="s">
        <v>110</v>
      </c>
      <c r="C33" s="167"/>
      <c r="D33" s="233"/>
      <c r="G33" s="15"/>
    </row>
    <row r="34" spans="1:7">
      <c r="A34" s="171" t="s">
        <v>72</v>
      </c>
      <c r="B34" s="33">
        <f>IF((($B$28-$B$32-$B$39-$B$77-$B$38)*C20/100)&lt;0,0,($B$28-$B$32-$B$39-$B$77-$B$38)*C20/100)</f>
        <v>82.738019169329078</v>
      </c>
      <c r="C34" s="167">
        <f>IF(ISERROR(B34/SUM($B$32,$B$34,$B$35,$B$36,$B$38,$B$39)*100),0,B34/SUM($B$32,$B$34,$B$35,$B$36,$B$38,$B$39)*100)</f>
        <v>3.1328291998988669</v>
      </c>
      <c r="D34" s="233"/>
      <c r="G34" s="15"/>
    </row>
    <row r="35" spans="1:7">
      <c r="A35" s="171" t="s">
        <v>73</v>
      </c>
      <c r="B35" s="33">
        <f>IF((($B$28-$B$32-$B$39-$B$77-$B$38)*C21/100)&lt;0,0,($B$28-$B$32-$B$39-$B$77-$B$38)*C21/100)</f>
        <v>392.56549520766777</v>
      </c>
      <c r="C35" s="167">
        <f>IF(ISERROR(B35/SUM($B$32,$B$34,$B$35,$B$36,$B$38,$B$39)*100),0,B35/SUM($B$32,$B$34,$B$35,$B$36,$B$38,$B$39)*100)</f>
        <v>14.864274714413774</v>
      </c>
      <c r="D35" s="233"/>
      <c r="G35" s="15"/>
    </row>
    <row r="36" spans="1:7">
      <c r="A36" s="171" t="s">
        <v>74</v>
      </c>
      <c r="B36" s="33">
        <f>IF((($B$28-$B$32-$B$39-$B$77-$B$38)*C22/100)&lt;0,0,($B$28-$B$32-$B$39-$B$77-$B$38)*C22/100)</f>
        <v>75.696485623003198</v>
      </c>
      <c r="C36" s="167">
        <f>IF(ISERROR(B36/SUM($B$32,$B$34,$B$35,$B$36,$B$38,$B$39)*100),0,B36/SUM($B$32,$B$34,$B$35,$B$36,$B$38,$B$39)*100)</f>
        <v>2.8662054382053466</v>
      </c>
      <c r="D36" s="233"/>
      <c r="G36" s="15"/>
    </row>
    <row r="37" spans="1:7">
      <c r="A37" s="171" t="s">
        <v>75</v>
      </c>
      <c r="B37" s="34" t="s">
        <v>110</v>
      </c>
      <c r="C37" s="167"/>
      <c r="D37" s="173"/>
      <c r="G37" s="15"/>
    </row>
    <row r="38" spans="1:7">
      <c r="A38" s="171" t="s">
        <v>76</v>
      </c>
      <c r="B38" s="33">
        <f>IF((B24-(B29-B18)*0.1)&lt;0,0,B24-(B29-B18)*0.1)</f>
        <v>134.39999999999998</v>
      </c>
      <c r="C38" s="167">
        <f>IF(ISERROR(B38/SUM($B$32,$B$34,$B$35,$B$36,$B$38,$B$39)*100),0,B38/SUM($B$32,$B$34,$B$35,$B$36,$B$38,$B$39)*100)</f>
        <v>5.0889814464218093</v>
      </c>
      <c r="D38" s="234"/>
      <c r="G38" s="15"/>
    </row>
    <row r="39" spans="1:7">
      <c r="A39" s="171" t="s">
        <v>77</v>
      </c>
      <c r="B39" s="33">
        <f>IF((B25-(B29-B18))&lt;0,0,B25-(B29-B18)*0.9)</f>
        <v>1014.6</v>
      </c>
      <c r="C39" s="167">
        <f>IF(ISERROR(B39/SUM($B$32,$B$34,$B$35,$B$36,$B$38,$B$39)*100),0,B39/SUM($B$32,$B$34,$B$35,$B$36,$B$38,$B$39)*100)</f>
        <v>38.417266187050359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941</v>
      </c>
      <c r="C44" s="34" t="s">
        <v>110</v>
      </c>
      <c r="D44" s="174"/>
    </row>
    <row r="45" spans="1:7">
      <c r="A45" s="171" t="s">
        <v>71</v>
      </c>
      <c r="B45" s="33" t="str">
        <f t="shared" si="0"/>
        <v>-</v>
      </c>
      <c r="C45" s="34" t="s">
        <v>110</v>
      </c>
      <c r="D45" s="174"/>
    </row>
    <row r="46" spans="1:7">
      <c r="A46" s="171" t="s">
        <v>72</v>
      </c>
      <c r="B46" s="33">
        <f t="shared" si="0"/>
        <v>82.738019169329078</v>
      </c>
      <c r="C46" s="34" t="s">
        <v>110</v>
      </c>
      <c r="D46" s="174"/>
    </row>
    <row r="47" spans="1:7">
      <c r="A47" s="171" t="s">
        <v>73</v>
      </c>
      <c r="B47" s="33">
        <f t="shared" si="0"/>
        <v>392.56549520766777</v>
      </c>
      <c r="C47" s="34" t="s">
        <v>110</v>
      </c>
      <c r="D47" s="174"/>
    </row>
    <row r="48" spans="1:7">
      <c r="A48" s="171" t="s">
        <v>74</v>
      </c>
      <c r="B48" s="33">
        <f t="shared" si="0"/>
        <v>75.696485623003198</v>
      </c>
      <c r="C48" s="33">
        <f>B48*10</f>
        <v>756.96485623003196</v>
      </c>
      <c r="D48" s="234"/>
    </row>
    <row r="49" spans="1:6">
      <c r="A49" s="171" t="s">
        <v>75</v>
      </c>
      <c r="B49" s="33" t="str">
        <f t="shared" si="0"/>
        <v>-</v>
      </c>
      <c r="C49" s="34" t="s">
        <v>110</v>
      </c>
      <c r="D49" s="234"/>
    </row>
    <row r="50" spans="1:6">
      <c r="A50" s="171" t="s">
        <v>76</v>
      </c>
      <c r="B50" s="33">
        <f t="shared" si="0"/>
        <v>134.39999999999998</v>
      </c>
      <c r="C50" s="33">
        <f>B50*2</f>
        <v>268.79999999999995</v>
      </c>
      <c r="D50" s="234"/>
    </row>
    <row r="51" spans="1:6">
      <c r="A51" s="171" t="s">
        <v>77</v>
      </c>
      <c r="B51" s="33">
        <f t="shared" si="0"/>
        <v>1014.6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2773.5486960357566</v>
      </c>
      <c r="C5" s="17">
        <f>IF(ISERROR('Eigen informatie GS &amp; warmtenet'!B58),0,'Eigen informatie GS &amp; warmtenet'!B58)</f>
        <v>0</v>
      </c>
      <c r="D5" s="30">
        <f>SUM(D6:D12)</f>
        <v>2002.622164465733</v>
      </c>
      <c r="E5" s="17">
        <f>SUM(E6:E12)</f>
        <v>33.330036094866841</v>
      </c>
      <c r="F5" s="17">
        <f>SUM(F6:F12)</f>
        <v>491.41524633181871</v>
      </c>
      <c r="G5" s="18"/>
      <c r="H5" s="17"/>
      <c r="I5" s="17"/>
      <c r="J5" s="17">
        <f>SUM(J6:J12)</f>
        <v>1.1225094681849472E-2</v>
      </c>
      <c r="K5" s="17"/>
      <c r="L5" s="17"/>
      <c r="M5" s="17"/>
      <c r="N5" s="17">
        <f>SUM(N6:N12)</f>
        <v>443.21339341213672</v>
      </c>
      <c r="O5" s="17">
        <f>B38*B39*B40</f>
        <v>0</v>
      </c>
      <c r="P5" s="17">
        <f>B46*B47*B48/1000-B46*B47*B48/1000/B49</f>
        <v>0</v>
      </c>
      <c r="R5" s="32"/>
    </row>
    <row r="6" spans="1:18">
      <c r="A6" s="32" t="s">
        <v>53</v>
      </c>
      <c r="B6" s="37">
        <f>B26</f>
        <v>356.49343804257501</v>
      </c>
      <c r="C6" s="33"/>
      <c r="D6" s="37">
        <f>IF(ISERROR(TER_kantoor_gas_kWh/1000),0,TER_kantoor_gas_kWh/1000)*0.902</f>
        <v>0</v>
      </c>
      <c r="E6" s="33">
        <f>$C$26*'E Balans VL '!I12/100/3.6*1000000</f>
        <v>2.2343823017908996E-3</v>
      </c>
      <c r="F6" s="33">
        <f>$C$26*('E Balans VL '!L12+'E Balans VL '!N12)/100/3.6*1000000</f>
        <v>53.571002361086137</v>
      </c>
      <c r="G6" s="34"/>
      <c r="H6" s="33"/>
      <c r="I6" s="33"/>
      <c r="J6" s="33">
        <f>$C$26*('E Balans VL '!D12+'E Balans VL '!E12)/100/3.6*1000000</f>
        <v>0</v>
      </c>
      <c r="K6" s="33"/>
      <c r="L6" s="33"/>
      <c r="M6" s="33"/>
      <c r="N6" s="33">
        <f>$C$26*'E Balans VL '!Y12/100/3.6*1000000</f>
        <v>0.34093311753490069</v>
      </c>
      <c r="O6" s="33"/>
      <c r="P6" s="33"/>
      <c r="R6" s="32"/>
    </row>
    <row r="7" spans="1:18">
      <c r="A7" s="32" t="s">
        <v>52</v>
      </c>
      <c r="B7" s="37">
        <f t="shared" ref="B7:B12" si="0">B27</f>
        <v>385.981925616816</v>
      </c>
      <c r="C7" s="33"/>
      <c r="D7" s="37">
        <f>IF(ISERROR(TER_horeca_gas_kWh/1000),0,TER_horeca_gas_kWh/1000)*0.902</f>
        <v>393.49367035403856</v>
      </c>
      <c r="E7" s="33">
        <f>$C$27*'E Balans VL '!I9/100/3.6*1000000</f>
        <v>5.5271968825172797</v>
      </c>
      <c r="F7" s="33">
        <f>$C$27*('E Balans VL '!L9+'E Balans VL '!N9)/100/3.6*1000000</f>
        <v>48.878041957436729</v>
      </c>
      <c r="G7" s="34"/>
      <c r="H7" s="33"/>
      <c r="I7" s="33"/>
      <c r="J7" s="33">
        <f>$C$27*('E Balans VL '!D9+'E Balans VL '!E9)/100/3.6*1000000</f>
        <v>0</v>
      </c>
      <c r="K7" s="33"/>
      <c r="L7" s="33"/>
      <c r="M7" s="33"/>
      <c r="N7" s="33">
        <f>$C$27*'E Balans VL '!Y9/100/3.6*1000000</f>
        <v>0.11096129344388499</v>
      </c>
      <c r="O7" s="33"/>
      <c r="P7" s="33"/>
      <c r="R7" s="32"/>
    </row>
    <row r="8" spans="1:18">
      <c r="A8" s="6" t="s">
        <v>51</v>
      </c>
      <c r="B8" s="37">
        <f t="shared" si="0"/>
        <v>294.03062877304899</v>
      </c>
      <c r="C8" s="33"/>
      <c r="D8" s="37">
        <f>IF(ISERROR(TER_handel_gas_kWh/1000),0,TER_handel_gas_kWh/1000)*0.902</f>
        <v>0</v>
      </c>
      <c r="E8" s="33">
        <f>$C$28*'E Balans VL '!I13/100/3.6*1000000</f>
        <v>10.664454647365773</v>
      </c>
      <c r="F8" s="33">
        <f>$C$28*('E Balans VL '!L13+'E Balans VL '!N13)/100/3.6*1000000</f>
        <v>56.633276351093173</v>
      </c>
      <c r="G8" s="34"/>
      <c r="H8" s="33"/>
      <c r="I8" s="33"/>
      <c r="J8" s="33">
        <f>$C$28*('E Balans VL '!D13+'E Balans VL '!E13)/100/3.6*1000000</f>
        <v>0</v>
      </c>
      <c r="K8" s="33"/>
      <c r="L8" s="33"/>
      <c r="M8" s="33"/>
      <c r="N8" s="33">
        <f>$C$28*'E Balans VL '!Y13/100/3.6*1000000</f>
        <v>0.40730007428110099</v>
      </c>
      <c r="O8" s="33"/>
      <c r="P8" s="33"/>
      <c r="R8" s="32"/>
    </row>
    <row r="9" spans="1:18">
      <c r="A9" s="32" t="s">
        <v>50</v>
      </c>
      <c r="B9" s="37">
        <f t="shared" si="0"/>
        <v>25.3248510678612</v>
      </c>
      <c r="C9" s="33"/>
      <c r="D9" s="37">
        <f>IF(ISERROR(TER_gezond_gas_kWh/1000),0,TER_gezond_gas_kWh/1000)*0.902</f>
        <v>0</v>
      </c>
      <c r="E9" s="33">
        <f>$C$29*'E Balans VL '!I10/100/3.6*1000000</f>
        <v>1.5855857145804782E-3</v>
      </c>
      <c r="F9" s="33">
        <f>$C$29*('E Balans VL '!L10+'E Balans VL '!N10)/100/3.6*1000000</f>
        <v>3.7620837329590171</v>
      </c>
      <c r="G9" s="34"/>
      <c r="H9" s="33"/>
      <c r="I9" s="33"/>
      <c r="J9" s="33">
        <f>$C$29*('E Balans VL '!D10+'E Balans VL '!E10)/100/3.6*1000000</f>
        <v>0</v>
      </c>
      <c r="K9" s="33"/>
      <c r="L9" s="33"/>
      <c r="M9" s="33"/>
      <c r="N9" s="33">
        <f>$C$29*'E Balans VL '!Y10/100/3.6*1000000</f>
        <v>0.39172723995692244</v>
      </c>
      <c r="O9" s="33"/>
      <c r="P9" s="33"/>
      <c r="R9" s="32"/>
    </row>
    <row r="10" spans="1:18">
      <c r="A10" s="32" t="s">
        <v>49</v>
      </c>
      <c r="B10" s="37">
        <f t="shared" si="0"/>
        <v>367.13975257576601</v>
      </c>
      <c r="C10" s="33"/>
      <c r="D10" s="37">
        <f>IF(ISERROR(TER_ander_gas_kWh/1000),0,TER_ander_gas_kWh/1000)*0.902</f>
        <v>36.507159542800053</v>
      </c>
      <c r="E10" s="33">
        <f>$C$30*'E Balans VL '!I14/100/3.6*1000000</f>
        <v>0.43761746571233795</v>
      </c>
      <c r="F10" s="33">
        <f>$C$30*('E Balans VL '!L14+'E Balans VL '!N14)/100/3.6*1000000</f>
        <v>96.060081025258285</v>
      </c>
      <c r="G10" s="34"/>
      <c r="H10" s="33"/>
      <c r="I10" s="33"/>
      <c r="J10" s="33">
        <f>$C$30*('E Balans VL '!D14+'E Balans VL '!E14)/100/3.6*1000000</f>
        <v>7.9691648803274819E-3</v>
      </c>
      <c r="K10" s="33"/>
      <c r="L10" s="33"/>
      <c r="M10" s="33"/>
      <c r="N10" s="33">
        <f>$C$30*'E Balans VL '!Y14/100/3.6*1000000</f>
        <v>311.76609410405069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1344.5780999596898</v>
      </c>
      <c r="C12" s="33"/>
      <c r="D12" s="37">
        <f>IF(ISERROR(TER_rest_gas_kWh/1000),0,TER_rest_gas_kWh/1000)*0.902</f>
        <v>1572.6213345688946</v>
      </c>
      <c r="E12" s="33">
        <f>$C$32*'E Balans VL '!I8/100/3.6*1000000</f>
        <v>16.696947131255076</v>
      </c>
      <c r="F12" s="33">
        <f>$C$32*('E Balans VL '!L8+'E Balans VL '!N8)/100/3.6*1000000</f>
        <v>232.51076090398539</v>
      </c>
      <c r="G12" s="34"/>
      <c r="H12" s="33"/>
      <c r="I12" s="33"/>
      <c r="J12" s="33">
        <f>$C$32*('E Balans VL '!D8+'E Balans VL '!E8)/100/3.6*1000000</f>
        <v>3.2559298015219901E-3</v>
      </c>
      <c r="K12" s="33"/>
      <c r="L12" s="33"/>
      <c r="M12" s="33"/>
      <c r="N12" s="33">
        <f>$C$32*'E Balans VL '!Y8/100/3.6*1000000</f>
        <v>130.19637758286922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2773.5486960357566</v>
      </c>
      <c r="C16" s="21">
        <f t="shared" ca="1" si="1"/>
        <v>0</v>
      </c>
      <c r="D16" s="21">
        <f t="shared" ca="1" si="1"/>
        <v>2002.622164465733</v>
      </c>
      <c r="E16" s="21">
        <f t="shared" si="1"/>
        <v>33.330036094866841</v>
      </c>
      <c r="F16" s="21">
        <f t="shared" ca="1" si="1"/>
        <v>491.41524633181871</v>
      </c>
      <c r="G16" s="21">
        <f t="shared" si="1"/>
        <v>0</v>
      </c>
      <c r="H16" s="21">
        <f t="shared" si="1"/>
        <v>0</v>
      </c>
      <c r="I16" s="21">
        <f t="shared" si="1"/>
        <v>0</v>
      </c>
      <c r="J16" s="21">
        <f t="shared" si="1"/>
        <v>1.1225094681849472E-2</v>
      </c>
      <c r="K16" s="21">
        <f t="shared" si="1"/>
        <v>0</v>
      </c>
      <c r="L16" s="21">
        <f t="shared" ca="1" si="1"/>
        <v>0</v>
      </c>
      <c r="M16" s="21">
        <f t="shared" si="1"/>
        <v>0</v>
      </c>
      <c r="N16" s="21">
        <f t="shared" ca="1" si="1"/>
        <v>443.21339341213672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0.20114647481412332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557.88954293290089</v>
      </c>
      <c r="C20" s="23">
        <f t="shared" ref="C20:P20" ca="1" si="2">C16*C18</f>
        <v>0</v>
      </c>
      <c r="D20" s="23">
        <f t="shared" ca="1" si="2"/>
        <v>404.52967722207808</v>
      </c>
      <c r="E20" s="23">
        <f t="shared" si="2"/>
        <v>7.565918193534773</v>
      </c>
      <c r="F20" s="23">
        <f t="shared" ca="1" si="2"/>
        <v>131.2078707705956</v>
      </c>
      <c r="G20" s="23">
        <f t="shared" si="2"/>
        <v>0</v>
      </c>
      <c r="H20" s="23">
        <f t="shared" si="2"/>
        <v>0</v>
      </c>
      <c r="I20" s="23">
        <f t="shared" si="2"/>
        <v>0</v>
      </c>
      <c r="J20" s="23">
        <f t="shared" si="2"/>
        <v>3.9736835173747129E-3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356.49343804257501</v>
      </c>
      <c r="C26" s="39">
        <f>IF(ISERROR(B26*3.6/1000000/'E Balans VL '!Z12*100),0,B26*3.6/1000000/'E Balans VL '!Z12*100)</f>
        <v>7.5357065489979717E-3</v>
      </c>
      <c r="D26" s="237" t="s">
        <v>744</v>
      </c>
      <c r="F26" s="6"/>
    </row>
    <row r="27" spans="1:18">
      <c r="A27" s="231" t="s">
        <v>52</v>
      </c>
      <c r="B27" s="33">
        <f>IF(ISERROR(TER_horeca_ele_kWh/1000),0,TER_horeca_ele_kWh/1000)</f>
        <v>385.981925616816</v>
      </c>
      <c r="C27" s="39">
        <f>IF(ISERROR(B27*3.6/1000000/'E Balans VL '!Z9*100),0,B27*3.6/1000000/'E Balans VL '!Z9*100)</f>
        <v>3.0426811333565468E-2</v>
      </c>
      <c r="D27" s="237" t="s">
        <v>744</v>
      </c>
      <c r="F27" s="6"/>
    </row>
    <row r="28" spans="1:18">
      <c r="A28" s="171" t="s">
        <v>51</v>
      </c>
      <c r="B28" s="33">
        <f>IF(ISERROR(TER_handel_ele_kWh/1000),0,TER_handel_ele_kWh/1000)</f>
        <v>294.03062877304899</v>
      </c>
      <c r="C28" s="39">
        <f>IF(ISERROR(B28*3.6/1000000/'E Balans VL '!Z13*100),0,B28*3.6/1000000/'E Balans VL '!Z13*100)</f>
        <v>8.5339568638586674E-3</v>
      </c>
      <c r="D28" s="237" t="s">
        <v>744</v>
      </c>
      <c r="F28" s="6"/>
    </row>
    <row r="29" spans="1:18">
      <c r="A29" s="231" t="s">
        <v>50</v>
      </c>
      <c r="B29" s="33">
        <f>IF(ISERROR(TER_gezond_ele_kWh/1000),0,TER_gezond_ele_kWh/1000)</f>
        <v>25.3248510678612</v>
      </c>
      <c r="C29" s="39">
        <f>IF(ISERROR(B29*3.6/1000000/'E Balans VL '!Z10*100),0,B29*3.6/1000000/'E Balans VL '!Z10*100)</f>
        <v>2.6671226624770204E-3</v>
      </c>
      <c r="D29" s="237" t="s">
        <v>744</v>
      </c>
      <c r="F29" s="6"/>
    </row>
    <row r="30" spans="1:18">
      <c r="A30" s="231" t="s">
        <v>49</v>
      </c>
      <c r="B30" s="33">
        <f>IF(ISERROR(TER_ander_ele_kWh/1000),0,TER_ander_ele_kWh/1000)</f>
        <v>367.13975257576601</v>
      </c>
      <c r="C30" s="39">
        <f>IF(ISERROR(B30*3.6/1000000/'E Balans VL '!Z14*100),0,B30*3.6/1000000/'E Balans VL '!Z14*100)</f>
        <v>2.7080307892346094E-2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1344.5780999596898</v>
      </c>
      <c r="C32" s="39">
        <f>IF(ISERROR(B32*3.6/1000000/'E Balans VL '!Z8*100),0,B32*3.6/1000000/'E Balans VL '!Z8*100)</f>
        <v>1.1064093016664691E-2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891.89664081912201</v>
      </c>
      <c r="C5" s="17">
        <f>IF(ISERROR('Eigen informatie GS &amp; warmtenet'!B59),0,'Eigen informatie GS &amp; warmtenet'!B59)</f>
        <v>0</v>
      </c>
      <c r="D5" s="30">
        <f>SUM(D6:D15)</f>
        <v>1037.9410401045436</v>
      </c>
      <c r="E5" s="17">
        <f>SUM(E6:E15)</f>
        <v>121.63358051863122</v>
      </c>
      <c r="F5" s="17">
        <f>SUM(F6:F15)</f>
        <v>361.73102669226313</v>
      </c>
      <c r="G5" s="18"/>
      <c r="H5" s="17"/>
      <c r="I5" s="17"/>
      <c r="J5" s="17">
        <f>SUM(J6:J15)</f>
        <v>1.2572683206751014</v>
      </c>
      <c r="K5" s="17"/>
      <c r="L5" s="17"/>
      <c r="M5" s="17"/>
      <c r="N5" s="17">
        <f>SUM(N6:N15)</f>
        <v>65.250435515252434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348.36948481778899</v>
      </c>
      <c r="C9" s="33"/>
      <c r="D9" s="37">
        <f>IF( ISERROR(IND_andere_gas_kWh/1000),0,IND_andere_gas_kWh/1000)*0.902</f>
        <v>519.13464383199846</v>
      </c>
      <c r="E9" s="33">
        <f>C31*'E Balans VL '!I19/100/3.6*1000000</f>
        <v>101.83518236618228</v>
      </c>
      <c r="F9" s="33">
        <f>C31*'E Balans VL '!L19/100/3.6*1000000+C31*'E Balans VL '!N19/100/3.6*1000000</f>
        <v>279.94125019814078</v>
      </c>
      <c r="G9" s="34"/>
      <c r="H9" s="33"/>
      <c r="I9" s="33"/>
      <c r="J9" s="40">
        <f>C31*'E Balans VL '!D19/100/3.6*1000000+C31*'E Balans VL '!E19/100/3.6*1000000</f>
        <v>0</v>
      </c>
      <c r="K9" s="33"/>
      <c r="L9" s="33"/>
      <c r="M9" s="33"/>
      <c r="N9" s="33">
        <f>C31*'E Balans VL '!Y19/100/3.6*1000000</f>
        <v>27.325629244517778</v>
      </c>
      <c r="O9" s="33"/>
      <c r="P9" s="33"/>
      <c r="R9" s="32"/>
    </row>
    <row r="10" spans="1:18">
      <c r="A10" s="6" t="s">
        <v>40</v>
      </c>
      <c r="B10" s="37">
        <f t="shared" si="0"/>
        <v>192.333022243785</v>
      </c>
      <c r="C10" s="33"/>
      <c r="D10" s="37">
        <f>IF( ISERROR(IND_voed_gas_kWh/1000),0,IND_voed_gas_kWh/1000)*0.902</f>
        <v>243.5131265344894</v>
      </c>
      <c r="E10" s="33">
        <f>C32*'E Balans VL '!I20/100/3.6*1000000</f>
        <v>0.40688349071555741</v>
      </c>
      <c r="F10" s="33">
        <f>C32*'E Balans VL '!L20/100/3.6*1000000+C32*'E Balans VL '!N20/100/3.6*1000000</f>
        <v>12.228730016680901</v>
      </c>
      <c r="G10" s="34"/>
      <c r="H10" s="33"/>
      <c r="I10" s="33"/>
      <c r="J10" s="40">
        <f>C32*'E Balans VL '!D20/100/3.6*1000000+C32*'E Balans VL '!E20/100/3.6*1000000</f>
        <v>0</v>
      </c>
      <c r="K10" s="33"/>
      <c r="L10" s="33"/>
      <c r="M10" s="33"/>
      <c r="N10" s="33">
        <f>C32*'E Balans VL '!Y20/100/3.6*1000000</f>
        <v>13.272876523461226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351.194133757548</v>
      </c>
      <c r="C15" s="33"/>
      <c r="D15" s="37">
        <f>IF( ISERROR(IND_rest_gas_kWh/1000),0,IND_rest_gas_kWh/1000)*0.902</f>
        <v>275.29326973805576</v>
      </c>
      <c r="E15" s="33">
        <f>C37*'E Balans VL '!I15/100/3.6*1000000</f>
        <v>19.391514661733375</v>
      </c>
      <c r="F15" s="33">
        <f>C37*'E Balans VL '!L15/100/3.6*1000000+C37*'E Balans VL '!N15/100/3.6*1000000</f>
        <v>69.561046477441451</v>
      </c>
      <c r="G15" s="34"/>
      <c r="H15" s="33"/>
      <c r="I15" s="33"/>
      <c r="J15" s="40">
        <f>C37*'E Balans VL '!D15/100/3.6*1000000+C37*'E Balans VL '!E15/100/3.6*1000000</f>
        <v>1.2572683206751014</v>
      </c>
      <c r="K15" s="33"/>
      <c r="L15" s="33"/>
      <c r="M15" s="33"/>
      <c r="N15" s="33">
        <f>C37*'E Balans VL '!Y15/100/3.6*1000000</f>
        <v>24.651929747273424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891.89664081912201</v>
      </c>
      <c r="C18" s="21">
        <f>C5+C16</f>
        <v>0</v>
      </c>
      <c r="D18" s="21">
        <f>MAX((D5+D16),0)</f>
        <v>1037.9410401045436</v>
      </c>
      <c r="E18" s="21">
        <f>MAX((E5+E16),0)</f>
        <v>121.63358051863122</v>
      </c>
      <c r="F18" s="21">
        <f>MAX((F5+F16),0)</f>
        <v>361.73102669226313</v>
      </c>
      <c r="G18" s="21"/>
      <c r="H18" s="21"/>
      <c r="I18" s="21"/>
      <c r="J18" s="21">
        <f>MAX((J5+J16),0)</f>
        <v>1.2572683206751014</v>
      </c>
      <c r="K18" s="21"/>
      <c r="L18" s="21">
        <f>MAX((L5+L16),0)</f>
        <v>0</v>
      </c>
      <c r="M18" s="21"/>
      <c r="N18" s="21">
        <f>MAX((N5+N16),0)</f>
        <v>65.250435515252434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0.20114647481412332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179.4018651993247</v>
      </c>
      <c r="C22" s="23">
        <f ca="1">C18*C20</f>
        <v>0</v>
      </c>
      <c r="D22" s="23">
        <f>D18*D20</f>
        <v>209.66409010111784</v>
      </c>
      <c r="E22" s="23">
        <f>E18*E20</f>
        <v>27.610822777729286</v>
      </c>
      <c r="F22" s="23">
        <f>F18*F20</f>
        <v>96.582184126834264</v>
      </c>
      <c r="G22" s="23"/>
      <c r="H22" s="23"/>
      <c r="I22" s="23"/>
      <c r="J22" s="23">
        <f>J18*J20</f>
        <v>0.44507298551898589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348.36948481778899</v>
      </c>
      <c r="C31" s="39">
        <f>IF(ISERROR(B31*3.6/1000000/'E Balans VL '!Z19*100),0,B31*3.6/1000000/'E Balans VL '!Z19*100)</f>
        <v>1.580058924604712E-2</v>
      </c>
      <c r="D31" s="237" t="s">
        <v>744</v>
      </c>
    </row>
    <row r="32" spans="1:18">
      <c r="A32" s="171" t="s">
        <v>40</v>
      </c>
      <c r="B32" s="37">
        <f>IF( ISERROR(IND_voed_ele_kWh/1000),0,IND_voed_ele_kWh/1000)</f>
        <v>192.333022243785</v>
      </c>
      <c r="C32" s="39">
        <f>IF(ISERROR(B32*3.6/1000000/'E Balans VL '!Z20*100),0,B32*3.6/1000000/'E Balans VL '!Z20*100)</f>
        <v>5.9497334961990909E-3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351.194133757548</v>
      </c>
      <c r="C37" s="39">
        <f>IF(ISERROR(B37*3.6/1000000/'E Balans VL '!Z15*100),0,B37*3.6/1000000/'E Balans VL '!Z15*100)</f>
        <v>2.7836448174442339E-3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695.04399488799402</v>
      </c>
      <c r="C5" s="17">
        <f>'Eigen informatie GS &amp; warmtenet'!B60</f>
        <v>0</v>
      </c>
      <c r="D5" s="30">
        <f>IF(ISERROR(SUM(LB_lb_gas_kWh,LB_rest_gas_kWh)/1000),0,SUM(LB_lb_gas_kWh,LB_rest_gas_kWh)/1000)*0.902</f>
        <v>122.55582635145682</v>
      </c>
      <c r="E5" s="17">
        <f>B17*'E Balans VL '!I25/3.6*1000000/100</f>
        <v>20.429465919147916</v>
      </c>
      <c r="F5" s="17">
        <f>B17*('E Balans VL '!L25/3.6*1000000+'E Balans VL '!N25/3.6*1000000)/100</f>
        <v>2895.515724497242</v>
      </c>
      <c r="G5" s="18"/>
      <c r="H5" s="17"/>
      <c r="I5" s="17"/>
      <c r="J5" s="17">
        <f>('E Balans VL '!D25+'E Balans VL '!E25)/3.6*1000000*landbouw!B17/100</f>
        <v>100.69694861862112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695.04399488799402</v>
      </c>
      <c r="C8" s="21">
        <f>C5+C6</f>
        <v>0</v>
      </c>
      <c r="D8" s="21">
        <f>MAX((D5+D6),0)</f>
        <v>122.55582635145682</v>
      </c>
      <c r="E8" s="21">
        <f>MAX((E5+E6),0)</f>
        <v>20.429465919147916</v>
      </c>
      <c r="F8" s="21">
        <f>MAX((F5+F6),0)</f>
        <v>2895.515724497242</v>
      </c>
      <c r="G8" s="21"/>
      <c r="H8" s="21"/>
      <c r="I8" s="21"/>
      <c r="J8" s="21">
        <f>MAX((J5+J6),0)</f>
        <v>100.69694861862112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0.20114647481412332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139.80564941244555</v>
      </c>
      <c r="C12" s="23">
        <f ca="1">C8*C10</f>
        <v>0</v>
      </c>
      <c r="D12" s="23">
        <f>D8*D10</f>
        <v>24.756276922994278</v>
      </c>
      <c r="E12" s="23">
        <f>E8*E10</f>
        <v>4.6374887636465774</v>
      </c>
      <c r="F12" s="23">
        <f>F8*F10</f>
        <v>773.10269844076367</v>
      </c>
      <c r="G12" s="23"/>
      <c r="H12" s="23"/>
      <c r="I12" s="23"/>
      <c r="J12" s="23">
        <f>J8*J10</f>
        <v>35.646719810991875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9.862892350863775E-2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273.77956554496058</v>
      </c>
      <c r="C26" s="247">
        <f>B26*'GWP N2O_CH4'!B5</f>
        <v>5749.3708764441717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40.855890225569453</v>
      </c>
      <c r="C27" s="247">
        <f>B27*'GWP N2O_CH4'!B5</f>
        <v>857.97369473695858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3.4317698963947243</v>
      </c>
      <c r="C28" s="247">
        <f>B28*'GWP N2O_CH4'!B4</f>
        <v>1063.8486678823645</v>
      </c>
      <c r="D28" s="50"/>
    </row>
    <row r="29" spans="1:4">
      <c r="A29" s="41" t="s">
        <v>276</v>
      </c>
      <c r="B29" s="247">
        <f>B34*'ha_N2O bodem landbouw'!B4</f>
        <v>12.066993917287503</v>
      </c>
      <c r="C29" s="247">
        <f>B29*'GWP N2O_CH4'!B4</f>
        <v>3740.7681143591258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2.7536464272139871E-3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3.42356286195338E-5</v>
      </c>
      <c r="C5" s="437" t="s">
        <v>210</v>
      </c>
      <c r="D5" s="422">
        <f>SUM(D6:D11)</f>
        <v>1.0316010508289935E-4</v>
      </c>
      <c r="E5" s="422">
        <f>SUM(E6:E11)</f>
        <v>1.7322372388930453E-4</v>
      </c>
      <c r="F5" s="435" t="s">
        <v>210</v>
      </c>
      <c r="G5" s="422">
        <f>SUM(G6:G11)</f>
        <v>7.3855529083519833E-2</v>
      </c>
      <c r="H5" s="422">
        <f>SUM(H6:H11)</f>
        <v>1.7360099596552159E-2</v>
      </c>
      <c r="I5" s="437" t="s">
        <v>210</v>
      </c>
      <c r="J5" s="437" t="s">
        <v>210</v>
      </c>
      <c r="K5" s="437" t="s">
        <v>210</v>
      </c>
      <c r="L5" s="437" t="s">
        <v>210</v>
      </c>
      <c r="M5" s="422">
        <f>SUM(M6:M11)</f>
        <v>4.8261307655530338E-3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2.3527895229479401E-5</v>
      </c>
      <c r="C6" s="423"/>
      <c r="D6" s="865">
        <f>vkm_GW_PW*SUMIFS(TableVerdeelsleutelVkm[CNG],TableVerdeelsleutelVkm[Voertuigtype],"Lichte voertuigen")*SUMIFS(TableECFTransport[EnergieConsumptieFactor (PJ per km)],TableECFTransport[Index],CONCATENATE($A6,"_CNG_CNG"))</f>
        <v>5.8307869148917106E-5</v>
      </c>
      <c r="E6" s="865">
        <f>vkm_GW_PW*SUMIFS(TableVerdeelsleutelVkm[LPG],TableVerdeelsleutelVkm[Voertuigtype],"Lichte voertuigen")*SUMIFS(TableECFTransport[EnergieConsumptieFactor (PJ per km)],TableECFTransport[Index],CONCATENATE($A6,"_LPG_LPG"))</f>
        <v>1.0010005104818614E-4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3.0672109289912992E-2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9.9067505448730466E-3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2.0836949028282033E-3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1.9970602636764614E-2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3.3407185606837396E-7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1.1667935630539099E-3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1.0707733390054401E-5</v>
      </c>
      <c r="C8" s="423"/>
      <c r="D8" s="425">
        <f>vkm_NGW_PW*SUMIFS(TableVerdeelsleutelVkm[CNG],TableVerdeelsleutelVkm[Voertuigtype],"Lichte voertuigen")*SUMIFS(TableECFTransport[EnergieConsumptieFactor (PJ per km)],TableECFTransport[Index],CONCATENATE($A8,"_CNG_CNG"))</f>
        <v>4.4852235933982248E-5</v>
      </c>
      <c r="E8" s="425">
        <f>vkm_NGW_PW*SUMIFS(TableVerdeelsleutelVkm[LPG],TableVerdeelsleutelVkm[Voertuigtype],"Lichte voertuigen")*SUMIFS(TableECFTransport[EnergieConsumptieFactor (PJ per km)],TableECFTransport[Index],CONCATENATE($A8,"_LPG_LPG"))</f>
        <v>7.312367284111839E-5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2.1075978028934936E-2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7.4529709461034549E-3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1.4507960414792517E-3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2.1368391279072939E-3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4.4033719585706709E-8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1.2484625819166869E-4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9.5098968387593903</v>
      </c>
      <c r="C14" s="21"/>
      <c r="D14" s="21">
        <f t="shared" ref="D14:M14" si="0">((D5)*10^9/3600)+D12</f>
        <v>28.655584745249822</v>
      </c>
      <c r="E14" s="21">
        <f t="shared" si="0"/>
        <v>48.117701080362366</v>
      </c>
      <c r="F14" s="21"/>
      <c r="G14" s="21">
        <f t="shared" si="0"/>
        <v>20515.424745422177</v>
      </c>
      <c r="H14" s="21">
        <f t="shared" si="0"/>
        <v>4822.2498879311552</v>
      </c>
      <c r="I14" s="21"/>
      <c r="J14" s="21"/>
      <c r="K14" s="21"/>
      <c r="L14" s="21"/>
      <c r="M14" s="21">
        <f t="shared" si="0"/>
        <v>1340.5918793202873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0.20114647481412332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1.9128822249624267</v>
      </c>
      <c r="C18" s="23"/>
      <c r="D18" s="23">
        <f t="shared" ref="D18:M18" si="1">D14*D16</f>
        <v>5.7884281185404642</v>
      </c>
      <c r="E18" s="23">
        <f t="shared" si="1"/>
        <v>10.922718145242257</v>
      </c>
      <c r="F18" s="23"/>
      <c r="G18" s="23">
        <f t="shared" si="1"/>
        <v>5477.6184070277213</v>
      </c>
      <c r="H18" s="23">
        <f t="shared" si="1"/>
        <v>1200.7402220948577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1.5671876616792152E-3</v>
      </c>
      <c r="H50" s="319">
        <f t="shared" si="2"/>
        <v>0</v>
      </c>
      <c r="I50" s="319">
        <f t="shared" si="2"/>
        <v>0</v>
      </c>
      <c r="J50" s="319">
        <f t="shared" si="2"/>
        <v>0</v>
      </c>
      <c r="K50" s="319">
        <f t="shared" si="2"/>
        <v>0</v>
      </c>
      <c r="L50" s="319">
        <f t="shared" si="2"/>
        <v>0</v>
      </c>
      <c r="M50" s="319">
        <f t="shared" si="2"/>
        <v>8.9002617024210249E-5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1.5671876616792152E-3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8.9002617024210249E-5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435.32990602200425</v>
      </c>
      <c r="H54" s="21">
        <f t="shared" si="3"/>
        <v>0</v>
      </c>
      <c r="I54" s="21">
        <f t="shared" si="3"/>
        <v>0</v>
      </c>
      <c r="J54" s="21">
        <f t="shared" si="3"/>
        <v>0</v>
      </c>
      <c r="K54" s="21">
        <f t="shared" si="3"/>
        <v>0</v>
      </c>
      <c r="L54" s="21">
        <f t="shared" si="3"/>
        <v>0</v>
      </c>
      <c r="M54" s="21">
        <f t="shared" si="3"/>
        <v>24.722949173391736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0.20114647481412332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116.23308490787514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3234.5506960357566</v>
      </c>
      <c r="D10" s="979">
        <f ca="1">tertiair!C16</f>
        <v>0</v>
      </c>
      <c r="E10" s="979">
        <f ca="1">tertiair!D16</f>
        <v>2002.622164465733</v>
      </c>
      <c r="F10" s="979">
        <f>tertiair!E16</f>
        <v>33.330036094866841</v>
      </c>
      <c r="G10" s="979">
        <f ca="1">tertiair!F16</f>
        <v>491.41524633181871</v>
      </c>
      <c r="H10" s="979">
        <f>tertiair!G16</f>
        <v>0</v>
      </c>
      <c r="I10" s="979">
        <f>tertiair!H16</f>
        <v>0</v>
      </c>
      <c r="J10" s="979">
        <f>tertiair!I16</f>
        <v>0</v>
      </c>
      <c r="K10" s="979">
        <f>tertiair!J16</f>
        <v>1.1225094681849472E-2</v>
      </c>
      <c r="L10" s="979">
        <f>tertiair!K16</f>
        <v>0</v>
      </c>
      <c r="M10" s="979">
        <f ca="1">tertiair!L16</f>
        <v>0</v>
      </c>
      <c r="N10" s="979">
        <f>tertiair!M16</f>
        <v>0</v>
      </c>
      <c r="O10" s="979">
        <f ca="1">tertiair!N16</f>
        <v>443.21339341213672</v>
      </c>
      <c r="P10" s="979">
        <f>tertiair!O16</f>
        <v>0</v>
      </c>
      <c r="Q10" s="980">
        <f>tertiair!P16</f>
        <v>0</v>
      </c>
      <c r="R10" s="674">
        <f ca="1">SUM(C10:Q10)</f>
        <v>6205.1427614349941</v>
      </c>
      <c r="S10" s="67"/>
    </row>
    <row r="11" spans="1:19" s="447" customFormat="1">
      <c r="A11" s="783" t="s">
        <v>224</v>
      </c>
      <c r="B11" s="788"/>
      <c r="C11" s="979">
        <f>huishoudens!B8</f>
        <v>12741.784904523356</v>
      </c>
      <c r="D11" s="979">
        <f>huishoudens!C8</f>
        <v>0</v>
      </c>
      <c r="E11" s="979">
        <f>huishoudens!D8</f>
        <v>14950.323644396005</v>
      </c>
      <c r="F11" s="979">
        <f>huishoudens!E8</f>
        <v>4374.9042539323291</v>
      </c>
      <c r="G11" s="979">
        <f>huishoudens!F8</f>
        <v>21164.080694550274</v>
      </c>
      <c r="H11" s="979">
        <f>huishoudens!G8</f>
        <v>0</v>
      </c>
      <c r="I11" s="979">
        <f>huishoudens!H8</f>
        <v>0</v>
      </c>
      <c r="J11" s="979">
        <f>huishoudens!I8</f>
        <v>0</v>
      </c>
      <c r="K11" s="979">
        <f>huishoudens!J8</f>
        <v>1820.1645464464427</v>
      </c>
      <c r="L11" s="979">
        <f>huishoudens!K8</f>
        <v>0</v>
      </c>
      <c r="M11" s="979">
        <f>huishoudens!L8</f>
        <v>0</v>
      </c>
      <c r="N11" s="979">
        <f>huishoudens!M8</f>
        <v>0</v>
      </c>
      <c r="O11" s="979">
        <f>huishoudens!N8</f>
        <v>5516.6488159982318</v>
      </c>
      <c r="P11" s="979">
        <f>huishoudens!O8</f>
        <v>132.88333333333333</v>
      </c>
      <c r="Q11" s="980">
        <f>huishoudens!P8</f>
        <v>552.93333333333339</v>
      </c>
      <c r="R11" s="674">
        <f>SUM(C11:Q11)</f>
        <v>61253.723526513306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891.89664081912201</v>
      </c>
      <c r="D13" s="979">
        <f>industrie!C18</f>
        <v>0</v>
      </c>
      <c r="E13" s="979">
        <f>industrie!D18</f>
        <v>1037.9410401045436</v>
      </c>
      <c r="F13" s="979">
        <f>industrie!E18</f>
        <v>121.63358051863122</v>
      </c>
      <c r="G13" s="979">
        <f>industrie!F18</f>
        <v>361.73102669226313</v>
      </c>
      <c r="H13" s="979">
        <f>industrie!G18</f>
        <v>0</v>
      </c>
      <c r="I13" s="979">
        <f>industrie!H18</f>
        <v>0</v>
      </c>
      <c r="J13" s="979">
        <f>industrie!I18</f>
        <v>0</v>
      </c>
      <c r="K13" s="979">
        <f>industrie!J18</f>
        <v>1.2572683206751014</v>
      </c>
      <c r="L13" s="979">
        <f>industrie!K18</f>
        <v>0</v>
      </c>
      <c r="M13" s="979">
        <f>industrie!L18</f>
        <v>0</v>
      </c>
      <c r="N13" s="979">
        <f>industrie!M18</f>
        <v>0</v>
      </c>
      <c r="O13" s="979">
        <f>industrie!N18</f>
        <v>65.250435515252434</v>
      </c>
      <c r="P13" s="979">
        <f>industrie!O18</f>
        <v>0</v>
      </c>
      <c r="Q13" s="980">
        <f>industrie!P18</f>
        <v>0</v>
      </c>
      <c r="R13" s="674">
        <f>SUM(C13:Q13)</f>
        <v>2479.7099919704874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16868.232241378235</v>
      </c>
      <c r="D16" s="706">
        <f t="shared" ref="D16:R16" ca="1" si="0">SUM(D9:D15)</f>
        <v>0</v>
      </c>
      <c r="E16" s="706">
        <f t="shared" ca="1" si="0"/>
        <v>17990.886848966282</v>
      </c>
      <c r="F16" s="706">
        <f t="shared" si="0"/>
        <v>4529.8678705458269</v>
      </c>
      <c r="G16" s="706">
        <f t="shared" ca="1" si="0"/>
        <v>22017.226967574356</v>
      </c>
      <c r="H16" s="706">
        <f t="shared" si="0"/>
        <v>0</v>
      </c>
      <c r="I16" s="706">
        <f t="shared" si="0"/>
        <v>0</v>
      </c>
      <c r="J16" s="706">
        <f t="shared" si="0"/>
        <v>0</v>
      </c>
      <c r="K16" s="706">
        <f t="shared" si="0"/>
        <v>1821.4330398617997</v>
      </c>
      <c r="L16" s="706">
        <f t="shared" si="0"/>
        <v>0</v>
      </c>
      <c r="M16" s="706">
        <f t="shared" ca="1" si="0"/>
        <v>0</v>
      </c>
      <c r="N16" s="706">
        <f t="shared" si="0"/>
        <v>0</v>
      </c>
      <c r="O16" s="706">
        <f t="shared" ca="1" si="0"/>
        <v>6025.1126449256208</v>
      </c>
      <c r="P16" s="706">
        <f t="shared" si="0"/>
        <v>132.88333333333333</v>
      </c>
      <c r="Q16" s="706">
        <f t="shared" si="0"/>
        <v>552.93333333333339</v>
      </c>
      <c r="R16" s="706">
        <f t="shared" ca="1" si="0"/>
        <v>69938.576279918794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435.32990602200425</v>
      </c>
      <c r="I19" s="979">
        <f>transport!H54</f>
        <v>0</v>
      </c>
      <c r="J19" s="979">
        <f>transport!I54</f>
        <v>0</v>
      </c>
      <c r="K19" s="979">
        <f>transport!J54</f>
        <v>0</v>
      </c>
      <c r="L19" s="979">
        <f>transport!K54</f>
        <v>0</v>
      </c>
      <c r="M19" s="979">
        <f>transport!L54</f>
        <v>0</v>
      </c>
      <c r="N19" s="979">
        <f>transport!M54</f>
        <v>24.722949173391736</v>
      </c>
      <c r="O19" s="979">
        <f>transport!N54</f>
        <v>0</v>
      </c>
      <c r="P19" s="979">
        <f>transport!O54</f>
        <v>0</v>
      </c>
      <c r="Q19" s="980">
        <f>transport!P54</f>
        <v>0</v>
      </c>
      <c r="R19" s="674">
        <f>SUM(C19:Q19)</f>
        <v>460.05285519539598</v>
      </c>
      <c r="S19" s="67"/>
    </row>
    <row r="20" spans="1:19" s="447" customFormat="1">
      <c r="A20" s="783" t="s">
        <v>306</v>
      </c>
      <c r="B20" s="788"/>
      <c r="C20" s="979">
        <f>transport!B14</f>
        <v>9.5098968387593903</v>
      </c>
      <c r="D20" s="979">
        <f>transport!C14</f>
        <v>0</v>
      </c>
      <c r="E20" s="979">
        <f>transport!D14</f>
        <v>28.655584745249822</v>
      </c>
      <c r="F20" s="979">
        <f>transport!E14</f>
        <v>48.117701080362366</v>
      </c>
      <c r="G20" s="979">
        <f>transport!F14</f>
        <v>0</v>
      </c>
      <c r="H20" s="979">
        <f>transport!G14</f>
        <v>20515.424745422177</v>
      </c>
      <c r="I20" s="979">
        <f>transport!H14</f>
        <v>4822.2498879311552</v>
      </c>
      <c r="J20" s="979">
        <f>transport!I14</f>
        <v>0</v>
      </c>
      <c r="K20" s="979">
        <f>transport!J14</f>
        <v>0</v>
      </c>
      <c r="L20" s="979">
        <f>transport!K14</f>
        <v>0</v>
      </c>
      <c r="M20" s="979">
        <f>transport!L14</f>
        <v>0</v>
      </c>
      <c r="N20" s="979">
        <f>transport!M14</f>
        <v>1340.5918793202873</v>
      </c>
      <c r="O20" s="979">
        <f>transport!N14</f>
        <v>0</v>
      </c>
      <c r="P20" s="979">
        <f>transport!O14</f>
        <v>0</v>
      </c>
      <c r="Q20" s="980">
        <f>transport!P14</f>
        <v>0</v>
      </c>
      <c r="R20" s="674">
        <f>SUM(C20:Q20)</f>
        <v>26764.549695337992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9.5098968387593903</v>
      </c>
      <c r="D22" s="786">
        <f t="shared" ref="D22:R22" si="1">SUM(D18:D21)</f>
        <v>0</v>
      </c>
      <c r="E22" s="786">
        <f t="shared" si="1"/>
        <v>28.655584745249822</v>
      </c>
      <c r="F22" s="786">
        <f t="shared" si="1"/>
        <v>48.117701080362366</v>
      </c>
      <c r="G22" s="786">
        <f t="shared" si="1"/>
        <v>0</v>
      </c>
      <c r="H22" s="786">
        <f t="shared" si="1"/>
        <v>20950.754651444182</v>
      </c>
      <c r="I22" s="786">
        <f t="shared" si="1"/>
        <v>4822.2498879311552</v>
      </c>
      <c r="J22" s="786">
        <f t="shared" si="1"/>
        <v>0</v>
      </c>
      <c r="K22" s="786">
        <f t="shared" si="1"/>
        <v>0</v>
      </c>
      <c r="L22" s="786">
        <f t="shared" si="1"/>
        <v>0</v>
      </c>
      <c r="M22" s="786">
        <f t="shared" si="1"/>
        <v>0</v>
      </c>
      <c r="N22" s="786">
        <f t="shared" si="1"/>
        <v>1365.314828493679</v>
      </c>
      <c r="O22" s="786">
        <f t="shared" si="1"/>
        <v>0</v>
      </c>
      <c r="P22" s="786">
        <f t="shared" si="1"/>
        <v>0</v>
      </c>
      <c r="Q22" s="786">
        <f t="shared" si="1"/>
        <v>0</v>
      </c>
      <c r="R22" s="786">
        <f t="shared" si="1"/>
        <v>27224.602550533389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695.04399488799402</v>
      </c>
      <c r="D24" s="979">
        <f>+landbouw!C8</f>
        <v>0</v>
      </c>
      <c r="E24" s="979">
        <f>+landbouw!D8</f>
        <v>122.55582635145682</v>
      </c>
      <c r="F24" s="979">
        <f>+landbouw!E8</f>
        <v>20.429465919147916</v>
      </c>
      <c r="G24" s="979">
        <f>+landbouw!F8</f>
        <v>2895.515724497242</v>
      </c>
      <c r="H24" s="979">
        <f>+landbouw!G8</f>
        <v>0</v>
      </c>
      <c r="I24" s="979">
        <f>+landbouw!H8</f>
        <v>0</v>
      </c>
      <c r="J24" s="979">
        <f>+landbouw!I8</f>
        <v>0</v>
      </c>
      <c r="K24" s="979">
        <f>+landbouw!J8</f>
        <v>100.69694861862112</v>
      </c>
      <c r="L24" s="979">
        <f>+landbouw!K8</f>
        <v>0</v>
      </c>
      <c r="M24" s="979">
        <f>+landbouw!L8</f>
        <v>0</v>
      </c>
      <c r="N24" s="979">
        <f>+landbouw!M8</f>
        <v>0</v>
      </c>
      <c r="O24" s="979">
        <f>+landbouw!N8</f>
        <v>0</v>
      </c>
      <c r="P24" s="979">
        <f>+landbouw!O8</f>
        <v>0</v>
      </c>
      <c r="Q24" s="980">
        <f>+landbouw!P8</f>
        <v>0</v>
      </c>
      <c r="R24" s="674">
        <f>SUM(C24:Q24)</f>
        <v>3834.2419602744621</v>
      </c>
      <c r="S24" s="67"/>
    </row>
    <row r="25" spans="1:19" s="447" customFormat="1" ht="15" thickBot="1">
      <c r="A25" s="805" t="s">
        <v>823</v>
      </c>
      <c r="B25" s="982"/>
      <c r="C25" s="983">
        <f>IF(Onbekend_ele_kWh="---",0,Onbekend_ele_kWh)/1000+IF(REST_rest_ele_kWh="---",0,REST_rest_ele_kWh)/1000</f>
        <v>284.19728463490304</v>
      </c>
      <c r="D25" s="983"/>
      <c r="E25" s="983">
        <f>IF(onbekend_gas_kWh="---",0,onbekend_gas_kWh)/1000+IF(REST_rest_gas_kWh="---",0,REST_rest_gas_kWh)/1000</f>
        <v>364.42497725162701</v>
      </c>
      <c r="F25" s="983"/>
      <c r="G25" s="983"/>
      <c r="H25" s="983"/>
      <c r="I25" s="983"/>
      <c r="J25" s="983"/>
      <c r="K25" s="983"/>
      <c r="L25" s="983"/>
      <c r="M25" s="983"/>
      <c r="N25" s="983"/>
      <c r="O25" s="983"/>
      <c r="P25" s="983"/>
      <c r="Q25" s="984"/>
      <c r="R25" s="674">
        <f>SUM(C25:Q25)</f>
        <v>648.62226188653005</v>
      </c>
      <c r="S25" s="67"/>
    </row>
    <row r="26" spans="1:19" s="447" customFormat="1" ht="15.75" thickBot="1">
      <c r="A26" s="679" t="s">
        <v>824</v>
      </c>
      <c r="B26" s="791"/>
      <c r="C26" s="786">
        <f>SUM(C24:C25)</f>
        <v>979.241279522897</v>
      </c>
      <c r="D26" s="786">
        <f t="shared" ref="D26:R26" si="2">SUM(D24:D25)</f>
        <v>0</v>
      </c>
      <c r="E26" s="786">
        <f t="shared" si="2"/>
        <v>486.98080360308381</v>
      </c>
      <c r="F26" s="786">
        <f t="shared" si="2"/>
        <v>20.429465919147916</v>
      </c>
      <c r="G26" s="786">
        <f t="shared" si="2"/>
        <v>2895.515724497242</v>
      </c>
      <c r="H26" s="786">
        <f t="shared" si="2"/>
        <v>0</v>
      </c>
      <c r="I26" s="786">
        <f t="shared" si="2"/>
        <v>0</v>
      </c>
      <c r="J26" s="786">
        <f t="shared" si="2"/>
        <v>0</v>
      </c>
      <c r="K26" s="786">
        <f t="shared" si="2"/>
        <v>100.69694861862112</v>
      </c>
      <c r="L26" s="786">
        <f t="shared" si="2"/>
        <v>0</v>
      </c>
      <c r="M26" s="786">
        <f t="shared" si="2"/>
        <v>0</v>
      </c>
      <c r="N26" s="786">
        <f t="shared" si="2"/>
        <v>0</v>
      </c>
      <c r="O26" s="786">
        <f t="shared" si="2"/>
        <v>0</v>
      </c>
      <c r="P26" s="786">
        <f t="shared" si="2"/>
        <v>0</v>
      </c>
      <c r="Q26" s="786">
        <f t="shared" si="2"/>
        <v>0</v>
      </c>
      <c r="R26" s="786">
        <f t="shared" si="2"/>
        <v>4482.8642221609925</v>
      </c>
      <c r="S26" s="67"/>
    </row>
    <row r="27" spans="1:19" s="447" customFormat="1" ht="17.25" thickTop="1" thickBot="1">
      <c r="A27" s="680" t="s">
        <v>115</v>
      </c>
      <c r="B27" s="779"/>
      <c r="C27" s="681">
        <f ca="1">C22+C16+C26</f>
        <v>17856.983417739892</v>
      </c>
      <c r="D27" s="681">
        <f t="shared" ref="D27:R27" ca="1" si="3">D22+D16+D26</f>
        <v>0</v>
      </c>
      <c r="E27" s="681">
        <f t="shared" ca="1" si="3"/>
        <v>18506.523237314617</v>
      </c>
      <c r="F27" s="681">
        <f t="shared" si="3"/>
        <v>4598.4150375453373</v>
      </c>
      <c r="G27" s="681">
        <f t="shared" ca="1" si="3"/>
        <v>24912.742692071599</v>
      </c>
      <c r="H27" s="681">
        <f t="shared" si="3"/>
        <v>20950.754651444182</v>
      </c>
      <c r="I27" s="681">
        <f t="shared" si="3"/>
        <v>4822.2498879311552</v>
      </c>
      <c r="J27" s="681">
        <f t="shared" si="3"/>
        <v>0</v>
      </c>
      <c r="K27" s="681">
        <f t="shared" si="3"/>
        <v>1922.1299884804207</v>
      </c>
      <c r="L27" s="681">
        <f t="shared" si="3"/>
        <v>0</v>
      </c>
      <c r="M27" s="681">
        <f t="shared" ca="1" si="3"/>
        <v>0</v>
      </c>
      <c r="N27" s="681">
        <f t="shared" si="3"/>
        <v>1365.314828493679</v>
      </c>
      <c r="O27" s="681">
        <f t="shared" ca="1" si="3"/>
        <v>6025.1126449256208</v>
      </c>
      <c r="P27" s="681">
        <f t="shared" si="3"/>
        <v>132.88333333333333</v>
      </c>
      <c r="Q27" s="681">
        <f t="shared" si="3"/>
        <v>552.93333333333339</v>
      </c>
      <c r="R27" s="681">
        <f t="shared" ca="1" si="3"/>
        <v>101646.04305261317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650.61847011516136</v>
      </c>
      <c r="D40" s="979">
        <f ca="1">tertiair!C20</f>
        <v>0</v>
      </c>
      <c r="E40" s="979">
        <f ca="1">tertiair!D20</f>
        <v>404.52967722207808</v>
      </c>
      <c r="F40" s="979">
        <f>tertiair!E20</f>
        <v>7.565918193534773</v>
      </c>
      <c r="G40" s="979">
        <f ca="1">tertiair!F20</f>
        <v>131.2078707705956</v>
      </c>
      <c r="H40" s="979">
        <f>tertiair!G20</f>
        <v>0</v>
      </c>
      <c r="I40" s="979">
        <f>tertiair!H20</f>
        <v>0</v>
      </c>
      <c r="J40" s="979">
        <f>tertiair!I20</f>
        <v>0</v>
      </c>
      <c r="K40" s="979">
        <f>tertiair!J20</f>
        <v>3.9736835173747129E-3</v>
      </c>
      <c r="L40" s="979">
        <f>tertiair!K20</f>
        <v>0</v>
      </c>
      <c r="M40" s="979">
        <f ca="1">tertiair!L20</f>
        <v>0</v>
      </c>
      <c r="N40" s="979">
        <f>tertiair!M20</f>
        <v>0</v>
      </c>
      <c r="O40" s="979">
        <f ca="1">tertiair!N20</f>
        <v>0</v>
      </c>
      <c r="P40" s="979">
        <f>tertiair!O20</f>
        <v>0</v>
      </c>
      <c r="Q40" s="748">
        <f>tertiair!P20</f>
        <v>0</v>
      </c>
      <c r="R40" s="824">
        <f t="shared" ca="1" si="4"/>
        <v>1193.9259099848873</v>
      </c>
    </row>
    <row r="41" spans="1:18">
      <c r="A41" s="796" t="s">
        <v>224</v>
      </c>
      <c r="B41" s="803"/>
      <c r="C41" s="979">
        <f ca="1">huishoudens!B12</f>
        <v>2562.9651163846838</v>
      </c>
      <c r="D41" s="979">
        <f ca="1">huishoudens!C12</f>
        <v>0</v>
      </c>
      <c r="E41" s="979">
        <f>huishoudens!D12</f>
        <v>3019.9653761679933</v>
      </c>
      <c r="F41" s="979">
        <f>huishoudens!E12</f>
        <v>993.10326564263869</v>
      </c>
      <c r="G41" s="979">
        <f>huishoudens!F12</f>
        <v>5650.8095454449231</v>
      </c>
      <c r="H41" s="979">
        <f>huishoudens!G12</f>
        <v>0</v>
      </c>
      <c r="I41" s="979">
        <f>huishoudens!H12</f>
        <v>0</v>
      </c>
      <c r="J41" s="979">
        <f>huishoudens!I12</f>
        <v>0</v>
      </c>
      <c r="K41" s="979">
        <f>huishoudens!J12</f>
        <v>644.33824944204071</v>
      </c>
      <c r="L41" s="979">
        <f>huishoudens!K12</f>
        <v>0</v>
      </c>
      <c r="M41" s="979">
        <f>huishoudens!L12</f>
        <v>0</v>
      </c>
      <c r="N41" s="979">
        <f>huishoudens!M12</f>
        <v>0</v>
      </c>
      <c r="O41" s="979">
        <f>huishoudens!N12</f>
        <v>0</v>
      </c>
      <c r="P41" s="979">
        <f>huishoudens!O12</f>
        <v>0</v>
      </c>
      <c r="Q41" s="748">
        <f>huishoudens!P12</f>
        <v>0</v>
      </c>
      <c r="R41" s="824">
        <f t="shared" ca="1" si="4"/>
        <v>12871.181553082279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179.4018651993247</v>
      </c>
      <c r="D43" s="979">
        <f ca="1">industrie!C22</f>
        <v>0</v>
      </c>
      <c r="E43" s="979">
        <f>industrie!D22</f>
        <v>209.66409010111784</v>
      </c>
      <c r="F43" s="979">
        <f>industrie!E22</f>
        <v>27.610822777729286</v>
      </c>
      <c r="G43" s="979">
        <f>industrie!F22</f>
        <v>96.582184126834264</v>
      </c>
      <c r="H43" s="979">
        <f>industrie!G22</f>
        <v>0</v>
      </c>
      <c r="I43" s="979">
        <f>industrie!H22</f>
        <v>0</v>
      </c>
      <c r="J43" s="979">
        <f>industrie!I22</f>
        <v>0</v>
      </c>
      <c r="K43" s="979">
        <f>industrie!J22</f>
        <v>0.44507298551898589</v>
      </c>
      <c r="L43" s="979">
        <f>industrie!K22</f>
        <v>0</v>
      </c>
      <c r="M43" s="979">
        <f>industrie!L22</f>
        <v>0</v>
      </c>
      <c r="N43" s="979">
        <f>industrie!M22</f>
        <v>0</v>
      </c>
      <c r="O43" s="979">
        <f>industrie!N22</f>
        <v>0</v>
      </c>
      <c r="P43" s="979">
        <f>industrie!O22</f>
        <v>0</v>
      </c>
      <c r="Q43" s="748">
        <f>industrie!P22</f>
        <v>0</v>
      </c>
      <c r="R43" s="823">
        <f t="shared" ca="1" si="4"/>
        <v>513.70403519052513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3392.98545169917</v>
      </c>
      <c r="D46" s="706">
        <f t="shared" ref="D46:Q46" ca="1" si="5">SUM(D39:D45)</f>
        <v>0</v>
      </c>
      <c r="E46" s="706">
        <f t="shared" ca="1" si="5"/>
        <v>3634.1591434911893</v>
      </c>
      <c r="F46" s="706">
        <f t="shared" si="5"/>
        <v>1028.2800066139027</v>
      </c>
      <c r="G46" s="706">
        <f t="shared" ca="1" si="5"/>
        <v>5878.5996003423534</v>
      </c>
      <c r="H46" s="706">
        <f t="shared" si="5"/>
        <v>0</v>
      </c>
      <c r="I46" s="706">
        <f t="shared" si="5"/>
        <v>0</v>
      </c>
      <c r="J46" s="706">
        <f t="shared" si="5"/>
        <v>0</v>
      </c>
      <c r="K46" s="706">
        <f t="shared" si="5"/>
        <v>644.78729611107713</v>
      </c>
      <c r="L46" s="706">
        <f t="shared" si="5"/>
        <v>0</v>
      </c>
      <c r="M46" s="706">
        <f t="shared" ca="1" si="5"/>
        <v>0</v>
      </c>
      <c r="N46" s="706">
        <f t="shared" si="5"/>
        <v>0</v>
      </c>
      <c r="O46" s="706">
        <f t="shared" ca="1" si="5"/>
        <v>0</v>
      </c>
      <c r="P46" s="706">
        <f t="shared" si="5"/>
        <v>0</v>
      </c>
      <c r="Q46" s="706">
        <f t="shared" si="5"/>
        <v>0</v>
      </c>
      <c r="R46" s="706">
        <f ca="1">SUM(R39:R45)</f>
        <v>14578.811498257692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116.23308490787514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116.23308490787514</v>
      </c>
    </row>
    <row r="50" spans="1:18">
      <c r="A50" s="799" t="s">
        <v>306</v>
      </c>
      <c r="B50" s="809"/>
      <c r="C50" s="677">
        <f ca="1">transport!B18</f>
        <v>1.9128822249624267</v>
      </c>
      <c r="D50" s="677">
        <f>transport!C18</f>
        <v>0</v>
      </c>
      <c r="E50" s="677">
        <f>transport!D18</f>
        <v>5.7884281185404642</v>
      </c>
      <c r="F50" s="677">
        <f>transport!E18</f>
        <v>10.922718145242257</v>
      </c>
      <c r="G50" s="677">
        <f>transport!F18</f>
        <v>0</v>
      </c>
      <c r="H50" s="677">
        <f>transport!G18</f>
        <v>5477.6184070277213</v>
      </c>
      <c r="I50" s="677">
        <f>transport!H18</f>
        <v>1200.7402220948577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6696.9826576113246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1.9128822249624267</v>
      </c>
      <c r="D52" s="706">
        <f t="shared" ref="D52:Q52" ca="1" si="6">SUM(D48:D51)</f>
        <v>0</v>
      </c>
      <c r="E52" s="706">
        <f t="shared" si="6"/>
        <v>5.7884281185404642</v>
      </c>
      <c r="F52" s="706">
        <f t="shared" si="6"/>
        <v>10.922718145242257</v>
      </c>
      <c r="G52" s="706">
        <f t="shared" si="6"/>
        <v>0</v>
      </c>
      <c r="H52" s="706">
        <f t="shared" si="6"/>
        <v>5593.8514919355966</v>
      </c>
      <c r="I52" s="706">
        <f t="shared" si="6"/>
        <v>1200.7402220948577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6813.2157425191999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139.80564941244555</v>
      </c>
      <c r="D54" s="677">
        <f ca="1">+landbouw!C12</f>
        <v>0</v>
      </c>
      <c r="E54" s="677">
        <f>+landbouw!D12</f>
        <v>24.756276922994278</v>
      </c>
      <c r="F54" s="677">
        <f>+landbouw!E12</f>
        <v>4.6374887636465774</v>
      </c>
      <c r="G54" s="677">
        <f>+landbouw!F12</f>
        <v>773.10269844076367</v>
      </c>
      <c r="H54" s="677">
        <f>+landbouw!G12</f>
        <v>0</v>
      </c>
      <c r="I54" s="677">
        <f>+landbouw!H12</f>
        <v>0</v>
      </c>
      <c r="J54" s="677">
        <f>+landbouw!I12</f>
        <v>0</v>
      </c>
      <c r="K54" s="677">
        <f>+landbouw!J12</f>
        <v>35.646719810991875</v>
      </c>
      <c r="L54" s="677">
        <f>+landbouw!K12</f>
        <v>0</v>
      </c>
      <c r="M54" s="677">
        <f>+landbouw!L12</f>
        <v>0</v>
      </c>
      <c r="N54" s="677">
        <f>+landbouw!M12</f>
        <v>0</v>
      </c>
      <c r="O54" s="677">
        <f>+landbouw!N12</f>
        <v>0</v>
      </c>
      <c r="P54" s="677">
        <f>+landbouw!O12</f>
        <v>0</v>
      </c>
      <c r="Q54" s="678">
        <f>+landbouw!P12</f>
        <v>0</v>
      </c>
      <c r="R54" s="705">
        <f ca="1">SUM(C54:Q54)</f>
        <v>977.94883335084194</v>
      </c>
    </row>
    <row r="55" spans="1:18" ht="15" thickBot="1">
      <c r="A55" s="799" t="s">
        <v>823</v>
      </c>
      <c r="B55" s="809"/>
      <c r="C55" s="677">
        <f ca="1">C25*'EF ele_warmte'!B12</f>
        <v>57.165281956056759</v>
      </c>
      <c r="D55" s="677"/>
      <c r="E55" s="677">
        <f>E25*EF_CO2_aardgas</f>
        <v>73.613845404828666</v>
      </c>
      <c r="F55" s="677"/>
      <c r="G55" s="677"/>
      <c r="H55" s="677"/>
      <c r="I55" s="677"/>
      <c r="J55" s="677"/>
      <c r="K55" s="677"/>
      <c r="L55" s="677"/>
      <c r="M55" s="677"/>
      <c r="N55" s="677"/>
      <c r="O55" s="677"/>
      <c r="P55" s="677"/>
      <c r="Q55" s="678"/>
      <c r="R55" s="705">
        <f ca="1">SUM(C55:Q55)</f>
        <v>130.77912736088541</v>
      </c>
    </row>
    <row r="56" spans="1:18" ht="15.75" thickBot="1">
      <c r="A56" s="797" t="s">
        <v>824</v>
      </c>
      <c r="B56" s="810"/>
      <c r="C56" s="706">
        <f ca="1">SUM(C54:C55)</f>
        <v>196.97093136850231</v>
      </c>
      <c r="D56" s="706">
        <f t="shared" ref="D56:Q56" ca="1" si="7">SUM(D54:D55)</f>
        <v>0</v>
      </c>
      <c r="E56" s="706">
        <f t="shared" si="7"/>
        <v>98.370122327822941</v>
      </c>
      <c r="F56" s="706">
        <f t="shared" si="7"/>
        <v>4.6374887636465774</v>
      </c>
      <c r="G56" s="706">
        <f t="shared" si="7"/>
        <v>773.10269844076367</v>
      </c>
      <c r="H56" s="706">
        <f t="shared" si="7"/>
        <v>0</v>
      </c>
      <c r="I56" s="706">
        <f t="shared" si="7"/>
        <v>0</v>
      </c>
      <c r="J56" s="706">
        <f t="shared" si="7"/>
        <v>0</v>
      </c>
      <c r="K56" s="706">
        <f t="shared" si="7"/>
        <v>35.646719810991875</v>
      </c>
      <c r="L56" s="706">
        <f t="shared" si="7"/>
        <v>0</v>
      </c>
      <c r="M56" s="706">
        <f t="shared" si="7"/>
        <v>0</v>
      </c>
      <c r="N56" s="706">
        <f t="shared" si="7"/>
        <v>0</v>
      </c>
      <c r="O56" s="706">
        <f t="shared" si="7"/>
        <v>0</v>
      </c>
      <c r="P56" s="706">
        <f t="shared" si="7"/>
        <v>0</v>
      </c>
      <c r="Q56" s="707">
        <f t="shared" si="7"/>
        <v>0</v>
      </c>
      <c r="R56" s="708">
        <f ca="1">SUM(R54:R55)</f>
        <v>1108.7279607117273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3591.8692652926347</v>
      </c>
      <c r="D61" s="714">
        <f t="shared" ref="D61:Q61" ca="1" si="8">D46+D52+D56</f>
        <v>0</v>
      </c>
      <c r="E61" s="714">
        <f t="shared" ca="1" si="8"/>
        <v>3738.317693937553</v>
      </c>
      <c r="F61" s="714">
        <f t="shared" si="8"/>
        <v>1043.8402135227916</v>
      </c>
      <c r="G61" s="714">
        <f t="shared" ca="1" si="8"/>
        <v>6651.7022987831169</v>
      </c>
      <c r="H61" s="714">
        <f t="shared" si="8"/>
        <v>5593.8514919355966</v>
      </c>
      <c r="I61" s="714">
        <f t="shared" si="8"/>
        <v>1200.7402220948577</v>
      </c>
      <c r="J61" s="714">
        <f t="shared" si="8"/>
        <v>0</v>
      </c>
      <c r="K61" s="714">
        <f t="shared" si="8"/>
        <v>680.43401592206897</v>
      </c>
      <c r="L61" s="714">
        <f t="shared" si="8"/>
        <v>0</v>
      </c>
      <c r="M61" s="714">
        <f t="shared" ca="1" si="8"/>
        <v>0</v>
      </c>
      <c r="N61" s="714">
        <f t="shared" si="8"/>
        <v>0</v>
      </c>
      <c r="O61" s="714">
        <f t="shared" ca="1" si="8"/>
        <v>0</v>
      </c>
      <c r="P61" s="714">
        <f t="shared" si="8"/>
        <v>0</v>
      </c>
      <c r="Q61" s="714">
        <f t="shared" si="8"/>
        <v>0</v>
      </c>
      <c r="R61" s="714">
        <f ca="1">R46+R52+R56</f>
        <v>22500.755201488621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0.20114647481412332</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1604.1813123433551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1604.1813123433551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1604.1813123433551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1604.1813123433551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12741.784904523356</v>
      </c>
      <c r="C4" s="451">
        <f>huishoudens!C8</f>
        <v>0</v>
      </c>
      <c r="D4" s="451">
        <f>huishoudens!D8</f>
        <v>14950.323644396005</v>
      </c>
      <c r="E4" s="451">
        <f>huishoudens!E8</f>
        <v>4374.9042539323291</v>
      </c>
      <c r="F4" s="451">
        <f>huishoudens!F8</f>
        <v>21164.080694550274</v>
      </c>
      <c r="G4" s="451">
        <f>huishoudens!G8</f>
        <v>0</v>
      </c>
      <c r="H4" s="451">
        <f>huishoudens!H8</f>
        <v>0</v>
      </c>
      <c r="I4" s="451">
        <f>huishoudens!I8</f>
        <v>0</v>
      </c>
      <c r="J4" s="451">
        <f>huishoudens!J8</f>
        <v>1820.1645464464427</v>
      </c>
      <c r="K4" s="451">
        <f>huishoudens!K8</f>
        <v>0</v>
      </c>
      <c r="L4" s="451">
        <f>huishoudens!L8</f>
        <v>0</v>
      </c>
      <c r="M4" s="451">
        <f>huishoudens!M8</f>
        <v>0</v>
      </c>
      <c r="N4" s="451">
        <f>huishoudens!N8</f>
        <v>5516.6488159982318</v>
      </c>
      <c r="O4" s="451">
        <f>huishoudens!O8</f>
        <v>132.88333333333333</v>
      </c>
      <c r="P4" s="452">
        <f>huishoudens!P8</f>
        <v>552.93333333333339</v>
      </c>
      <c r="Q4" s="453">
        <f>SUM(B4:P4)</f>
        <v>61253.723526513306</v>
      </c>
    </row>
    <row r="5" spans="1:17">
      <c r="A5" s="450" t="s">
        <v>155</v>
      </c>
      <c r="B5" s="451">
        <f ca="1">tertiair!B16</f>
        <v>2773.5486960357566</v>
      </c>
      <c r="C5" s="451">
        <f ca="1">tertiair!C16</f>
        <v>0</v>
      </c>
      <c r="D5" s="451">
        <f ca="1">tertiair!D16</f>
        <v>2002.622164465733</v>
      </c>
      <c r="E5" s="451">
        <f>tertiair!E16</f>
        <v>33.330036094866841</v>
      </c>
      <c r="F5" s="451">
        <f ca="1">tertiair!F16</f>
        <v>491.41524633181871</v>
      </c>
      <c r="G5" s="451">
        <f>tertiair!G16</f>
        <v>0</v>
      </c>
      <c r="H5" s="451">
        <f>tertiair!H16</f>
        <v>0</v>
      </c>
      <c r="I5" s="451">
        <f>tertiair!I16</f>
        <v>0</v>
      </c>
      <c r="J5" s="451">
        <f>tertiair!J16</f>
        <v>1.1225094681849472E-2</v>
      </c>
      <c r="K5" s="451">
        <f>tertiair!K16</f>
        <v>0</v>
      </c>
      <c r="L5" s="451">
        <f ca="1">tertiair!L16</f>
        <v>0</v>
      </c>
      <c r="M5" s="451">
        <f>tertiair!M16</f>
        <v>0</v>
      </c>
      <c r="N5" s="451">
        <f ca="1">tertiair!N16</f>
        <v>443.21339341213672</v>
      </c>
      <c r="O5" s="451">
        <f>tertiair!O16</f>
        <v>0</v>
      </c>
      <c r="P5" s="452">
        <f>tertiair!P16</f>
        <v>0</v>
      </c>
      <c r="Q5" s="450">
        <f t="shared" ref="Q5:Q14" ca="1" si="0">SUM(B5:P5)</f>
        <v>5744.1407614349946</v>
      </c>
    </row>
    <row r="6" spans="1:17">
      <c r="A6" s="450" t="s">
        <v>193</v>
      </c>
      <c r="B6" s="451">
        <f>'openbare verlichting'!B8</f>
        <v>461.00200000000001</v>
      </c>
      <c r="C6" s="451"/>
      <c r="D6" s="451"/>
      <c r="E6" s="451"/>
      <c r="F6" s="451"/>
      <c r="G6" s="451"/>
      <c r="H6" s="451"/>
      <c r="I6" s="451"/>
      <c r="J6" s="451"/>
      <c r="K6" s="451"/>
      <c r="L6" s="451"/>
      <c r="M6" s="451"/>
      <c r="N6" s="451"/>
      <c r="O6" s="451"/>
      <c r="P6" s="452"/>
      <c r="Q6" s="450">
        <f t="shared" si="0"/>
        <v>461.00200000000001</v>
      </c>
    </row>
    <row r="7" spans="1:17">
      <c r="A7" s="450" t="s">
        <v>111</v>
      </c>
      <c r="B7" s="451">
        <f>landbouw!B8</f>
        <v>695.04399488799402</v>
      </c>
      <c r="C7" s="451">
        <f>landbouw!C8</f>
        <v>0</v>
      </c>
      <c r="D7" s="451">
        <f>landbouw!D8</f>
        <v>122.55582635145682</v>
      </c>
      <c r="E7" s="451">
        <f>landbouw!E8</f>
        <v>20.429465919147916</v>
      </c>
      <c r="F7" s="451">
        <f>landbouw!F8</f>
        <v>2895.515724497242</v>
      </c>
      <c r="G7" s="451">
        <f>landbouw!G8</f>
        <v>0</v>
      </c>
      <c r="H7" s="451">
        <f>landbouw!H8</f>
        <v>0</v>
      </c>
      <c r="I7" s="451">
        <f>landbouw!I8</f>
        <v>0</v>
      </c>
      <c r="J7" s="451">
        <f>landbouw!J8</f>
        <v>100.69694861862112</v>
      </c>
      <c r="K7" s="451">
        <f>landbouw!K8</f>
        <v>0</v>
      </c>
      <c r="L7" s="451">
        <f>landbouw!L8</f>
        <v>0</v>
      </c>
      <c r="M7" s="451">
        <f>landbouw!M8</f>
        <v>0</v>
      </c>
      <c r="N7" s="451">
        <f>landbouw!N8</f>
        <v>0</v>
      </c>
      <c r="O7" s="451">
        <f>landbouw!O8</f>
        <v>0</v>
      </c>
      <c r="P7" s="452">
        <f>landbouw!P8</f>
        <v>0</v>
      </c>
      <c r="Q7" s="450">
        <f t="shared" si="0"/>
        <v>3834.2419602744621</v>
      </c>
    </row>
    <row r="8" spans="1:17">
      <c r="A8" s="450" t="s">
        <v>634</v>
      </c>
      <c r="B8" s="451">
        <f>industrie!B18</f>
        <v>891.89664081912201</v>
      </c>
      <c r="C8" s="451">
        <f>industrie!C18</f>
        <v>0</v>
      </c>
      <c r="D8" s="451">
        <f>industrie!D18</f>
        <v>1037.9410401045436</v>
      </c>
      <c r="E8" s="451">
        <f>industrie!E18</f>
        <v>121.63358051863122</v>
      </c>
      <c r="F8" s="451">
        <f>industrie!F18</f>
        <v>361.73102669226313</v>
      </c>
      <c r="G8" s="451">
        <f>industrie!G18</f>
        <v>0</v>
      </c>
      <c r="H8" s="451">
        <f>industrie!H18</f>
        <v>0</v>
      </c>
      <c r="I8" s="451">
        <f>industrie!I18</f>
        <v>0</v>
      </c>
      <c r="J8" s="451">
        <f>industrie!J18</f>
        <v>1.2572683206751014</v>
      </c>
      <c r="K8" s="451">
        <f>industrie!K18</f>
        <v>0</v>
      </c>
      <c r="L8" s="451">
        <f>industrie!L18</f>
        <v>0</v>
      </c>
      <c r="M8" s="451">
        <f>industrie!M18</f>
        <v>0</v>
      </c>
      <c r="N8" s="451">
        <f>industrie!N18</f>
        <v>65.250435515252434</v>
      </c>
      <c r="O8" s="451">
        <f>industrie!O18</f>
        <v>0</v>
      </c>
      <c r="P8" s="452">
        <f>industrie!P18</f>
        <v>0</v>
      </c>
      <c r="Q8" s="450">
        <f t="shared" si="0"/>
        <v>2479.7099919704874</v>
      </c>
    </row>
    <row r="9" spans="1:17" s="456" customFormat="1">
      <c r="A9" s="454" t="s">
        <v>560</v>
      </c>
      <c r="B9" s="455">
        <f>transport!B14</f>
        <v>9.5098968387593903</v>
      </c>
      <c r="C9" s="455">
        <f>transport!C14</f>
        <v>0</v>
      </c>
      <c r="D9" s="455">
        <f>transport!D14</f>
        <v>28.655584745249822</v>
      </c>
      <c r="E9" s="455">
        <f>transport!E14</f>
        <v>48.117701080362366</v>
      </c>
      <c r="F9" s="455">
        <f>transport!F14</f>
        <v>0</v>
      </c>
      <c r="G9" s="455">
        <f>transport!G14</f>
        <v>20515.424745422177</v>
      </c>
      <c r="H9" s="455">
        <f>transport!H14</f>
        <v>4822.2498879311552</v>
      </c>
      <c r="I9" s="455">
        <f>transport!I14</f>
        <v>0</v>
      </c>
      <c r="J9" s="455">
        <f>transport!J14</f>
        <v>0</v>
      </c>
      <c r="K9" s="455">
        <f>transport!K14</f>
        <v>0</v>
      </c>
      <c r="L9" s="455">
        <f>transport!L14</f>
        <v>0</v>
      </c>
      <c r="M9" s="455">
        <f>transport!M14</f>
        <v>1340.5918793202873</v>
      </c>
      <c r="N9" s="455">
        <f>transport!N14</f>
        <v>0</v>
      </c>
      <c r="O9" s="455">
        <f>transport!O14</f>
        <v>0</v>
      </c>
      <c r="P9" s="455">
        <f>transport!P14</f>
        <v>0</v>
      </c>
      <c r="Q9" s="454">
        <f>SUM(B9:P9)</f>
        <v>26764.549695337992</v>
      </c>
    </row>
    <row r="10" spans="1:17">
      <c r="A10" s="450" t="s">
        <v>550</v>
      </c>
      <c r="B10" s="451">
        <f>transport!B54</f>
        <v>0</v>
      </c>
      <c r="C10" s="451">
        <f>transport!C54</f>
        <v>0</v>
      </c>
      <c r="D10" s="451">
        <f>transport!D54</f>
        <v>0</v>
      </c>
      <c r="E10" s="451">
        <f>transport!E54</f>
        <v>0</v>
      </c>
      <c r="F10" s="451">
        <f>transport!F54</f>
        <v>0</v>
      </c>
      <c r="G10" s="451">
        <f>transport!G54</f>
        <v>435.32990602200425</v>
      </c>
      <c r="H10" s="451">
        <f>transport!H54</f>
        <v>0</v>
      </c>
      <c r="I10" s="451">
        <f>transport!I54</f>
        <v>0</v>
      </c>
      <c r="J10" s="451">
        <f>transport!J54</f>
        <v>0</v>
      </c>
      <c r="K10" s="451">
        <f>transport!K54</f>
        <v>0</v>
      </c>
      <c r="L10" s="451">
        <f>transport!L54</f>
        <v>0</v>
      </c>
      <c r="M10" s="451">
        <f>transport!M54</f>
        <v>24.722949173391736</v>
      </c>
      <c r="N10" s="451">
        <f>transport!N54</f>
        <v>0</v>
      </c>
      <c r="O10" s="451">
        <f>transport!O54</f>
        <v>0</v>
      </c>
      <c r="P10" s="452">
        <f>transport!P54</f>
        <v>0</v>
      </c>
      <c r="Q10" s="450">
        <f t="shared" si="0"/>
        <v>460.05285519539598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284.19728463490304</v>
      </c>
      <c r="C14" s="458"/>
      <c r="D14" s="458">
        <f>'SEAP template'!E25</f>
        <v>364.42497725162701</v>
      </c>
      <c r="E14" s="458"/>
      <c r="F14" s="458"/>
      <c r="G14" s="458"/>
      <c r="H14" s="458"/>
      <c r="I14" s="458"/>
      <c r="J14" s="458"/>
      <c r="K14" s="458"/>
      <c r="L14" s="458"/>
      <c r="M14" s="458"/>
      <c r="N14" s="458"/>
      <c r="O14" s="458"/>
      <c r="P14" s="459"/>
      <c r="Q14" s="450">
        <f t="shared" si="0"/>
        <v>648.62226188653005</v>
      </c>
    </row>
    <row r="15" spans="1:17" s="460" customFormat="1">
      <c r="A15" s="1005" t="s">
        <v>554</v>
      </c>
      <c r="B15" s="953">
        <f ca="1">SUM(B4:B14)</f>
        <v>17856.983417739892</v>
      </c>
      <c r="C15" s="953">
        <f t="shared" ref="C15:Q15" ca="1" si="1">SUM(C4:C14)</f>
        <v>0</v>
      </c>
      <c r="D15" s="953">
        <f t="shared" ca="1" si="1"/>
        <v>18506.523237314617</v>
      </c>
      <c r="E15" s="953">
        <f t="shared" si="1"/>
        <v>4598.4150375453373</v>
      </c>
      <c r="F15" s="953">
        <f t="shared" ca="1" si="1"/>
        <v>24912.742692071599</v>
      </c>
      <c r="G15" s="953">
        <f t="shared" si="1"/>
        <v>20950.754651444182</v>
      </c>
      <c r="H15" s="953">
        <f t="shared" si="1"/>
        <v>4822.2498879311552</v>
      </c>
      <c r="I15" s="953">
        <f t="shared" si="1"/>
        <v>0</v>
      </c>
      <c r="J15" s="953">
        <f t="shared" si="1"/>
        <v>1922.1299884804207</v>
      </c>
      <c r="K15" s="953">
        <f t="shared" si="1"/>
        <v>0</v>
      </c>
      <c r="L15" s="953">
        <f t="shared" ca="1" si="1"/>
        <v>0</v>
      </c>
      <c r="M15" s="953">
        <f t="shared" si="1"/>
        <v>1365.314828493679</v>
      </c>
      <c r="N15" s="953">
        <f t="shared" ca="1" si="1"/>
        <v>6025.1126449256208</v>
      </c>
      <c r="O15" s="953">
        <f t="shared" si="1"/>
        <v>132.88333333333333</v>
      </c>
      <c r="P15" s="953">
        <f t="shared" si="1"/>
        <v>552.93333333333339</v>
      </c>
      <c r="Q15" s="953">
        <f t="shared" ca="1" si="1"/>
        <v>101646.04305261315</v>
      </c>
    </row>
    <row r="17" spans="1:17">
      <c r="A17" s="461" t="s">
        <v>555</v>
      </c>
      <c r="B17" s="760">
        <f ca="1">huishoudens!B10</f>
        <v>0.20114647481412332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2562.9651163846838</v>
      </c>
      <c r="C22" s="451">
        <f t="shared" ref="C22:C32" ca="1" si="3">C4*$C$17</f>
        <v>0</v>
      </c>
      <c r="D22" s="451">
        <f t="shared" ref="D22:D32" si="4">D4*$D$17</f>
        <v>3019.9653761679933</v>
      </c>
      <c r="E22" s="451">
        <f t="shared" ref="E22:E32" si="5">E4*$E$17</f>
        <v>993.10326564263869</v>
      </c>
      <c r="F22" s="451">
        <f t="shared" ref="F22:F32" si="6">F4*$F$17</f>
        <v>5650.8095454449231</v>
      </c>
      <c r="G22" s="451">
        <f t="shared" ref="G22:G32" si="7">G4*$G$17</f>
        <v>0</v>
      </c>
      <c r="H22" s="451">
        <f t="shared" ref="H22:H32" si="8">H4*$H$17</f>
        <v>0</v>
      </c>
      <c r="I22" s="451">
        <f t="shared" ref="I22:I32" si="9">I4*$I$17</f>
        <v>0</v>
      </c>
      <c r="J22" s="451">
        <f t="shared" ref="J22:J32" si="10">J4*$J$17</f>
        <v>644.33824944204071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12871.181553082279</v>
      </c>
    </row>
    <row r="23" spans="1:17">
      <c r="A23" s="450" t="s">
        <v>155</v>
      </c>
      <c r="B23" s="451">
        <f t="shared" ca="1" si="2"/>
        <v>557.88954293290089</v>
      </c>
      <c r="C23" s="451">
        <f t="shared" ca="1" si="3"/>
        <v>0</v>
      </c>
      <c r="D23" s="451">
        <f t="shared" ca="1" si="4"/>
        <v>404.52967722207808</v>
      </c>
      <c r="E23" s="451">
        <f t="shared" si="5"/>
        <v>7.565918193534773</v>
      </c>
      <c r="F23" s="451">
        <f t="shared" ca="1" si="6"/>
        <v>131.2078707705956</v>
      </c>
      <c r="G23" s="451">
        <f t="shared" si="7"/>
        <v>0</v>
      </c>
      <c r="H23" s="451">
        <f t="shared" si="8"/>
        <v>0</v>
      </c>
      <c r="I23" s="451">
        <f t="shared" si="9"/>
        <v>0</v>
      </c>
      <c r="J23" s="451">
        <f t="shared" si="10"/>
        <v>3.9736835173747129E-3</v>
      </c>
      <c r="K23" s="451">
        <f t="shared" si="11"/>
        <v>0</v>
      </c>
      <c r="L23" s="451">
        <f t="shared" ca="1" si="12"/>
        <v>0</v>
      </c>
      <c r="M23" s="451">
        <f t="shared" si="13"/>
        <v>0</v>
      </c>
      <c r="N23" s="451">
        <f t="shared" ca="1" si="14"/>
        <v>0</v>
      </c>
      <c r="O23" s="451">
        <f t="shared" si="15"/>
        <v>0</v>
      </c>
      <c r="P23" s="452">
        <f t="shared" si="16"/>
        <v>0</v>
      </c>
      <c r="Q23" s="450">
        <f t="shared" ref="Q23:Q32" ca="1" si="17">SUM(B23:P23)</f>
        <v>1101.1969828026267</v>
      </c>
    </row>
    <row r="24" spans="1:17">
      <c r="A24" s="450" t="s">
        <v>193</v>
      </c>
      <c r="B24" s="451">
        <f t="shared" ca="1" si="2"/>
        <v>92.728927182260477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92.728927182260477</v>
      </c>
    </row>
    <row r="25" spans="1:17">
      <c r="A25" s="450" t="s">
        <v>111</v>
      </c>
      <c r="B25" s="451">
        <f t="shared" ca="1" si="2"/>
        <v>139.80564941244555</v>
      </c>
      <c r="C25" s="451">
        <f t="shared" ca="1" si="3"/>
        <v>0</v>
      </c>
      <c r="D25" s="451">
        <f t="shared" si="4"/>
        <v>24.756276922994278</v>
      </c>
      <c r="E25" s="451">
        <f t="shared" si="5"/>
        <v>4.6374887636465774</v>
      </c>
      <c r="F25" s="451">
        <f t="shared" si="6"/>
        <v>773.10269844076367</v>
      </c>
      <c r="G25" s="451">
        <f t="shared" si="7"/>
        <v>0</v>
      </c>
      <c r="H25" s="451">
        <f t="shared" si="8"/>
        <v>0</v>
      </c>
      <c r="I25" s="451">
        <f t="shared" si="9"/>
        <v>0</v>
      </c>
      <c r="J25" s="451">
        <f t="shared" si="10"/>
        <v>35.646719810991875</v>
      </c>
      <c r="K25" s="451">
        <f t="shared" si="11"/>
        <v>0</v>
      </c>
      <c r="L25" s="451">
        <f t="shared" si="12"/>
        <v>0</v>
      </c>
      <c r="M25" s="451">
        <f t="shared" si="13"/>
        <v>0</v>
      </c>
      <c r="N25" s="451">
        <f t="shared" si="14"/>
        <v>0</v>
      </c>
      <c r="O25" s="451">
        <f t="shared" si="15"/>
        <v>0</v>
      </c>
      <c r="P25" s="452">
        <f t="shared" si="16"/>
        <v>0</v>
      </c>
      <c r="Q25" s="450">
        <f t="shared" ca="1" si="17"/>
        <v>977.94883335084194</v>
      </c>
    </row>
    <row r="26" spans="1:17">
      <c r="A26" s="450" t="s">
        <v>634</v>
      </c>
      <c r="B26" s="451">
        <f t="shared" ca="1" si="2"/>
        <v>179.4018651993247</v>
      </c>
      <c r="C26" s="451">
        <f t="shared" ca="1" si="3"/>
        <v>0</v>
      </c>
      <c r="D26" s="451">
        <f t="shared" si="4"/>
        <v>209.66409010111784</v>
      </c>
      <c r="E26" s="451">
        <f t="shared" si="5"/>
        <v>27.610822777729286</v>
      </c>
      <c r="F26" s="451">
        <f t="shared" si="6"/>
        <v>96.582184126834264</v>
      </c>
      <c r="G26" s="451">
        <f t="shared" si="7"/>
        <v>0</v>
      </c>
      <c r="H26" s="451">
        <f t="shared" si="8"/>
        <v>0</v>
      </c>
      <c r="I26" s="451">
        <f t="shared" si="9"/>
        <v>0</v>
      </c>
      <c r="J26" s="451">
        <f t="shared" si="10"/>
        <v>0.44507298551898589</v>
      </c>
      <c r="K26" s="451">
        <f t="shared" si="11"/>
        <v>0</v>
      </c>
      <c r="L26" s="451">
        <f t="shared" si="12"/>
        <v>0</v>
      </c>
      <c r="M26" s="451">
        <f t="shared" si="13"/>
        <v>0</v>
      </c>
      <c r="N26" s="451">
        <f t="shared" si="14"/>
        <v>0</v>
      </c>
      <c r="O26" s="451">
        <f t="shared" si="15"/>
        <v>0</v>
      </c>
      <c r="P26" s="452">
        <f t="shared" si="16"/>
        <v>0</v>
      </c>
      <c r="Q26" s="450">
        <f t="shared" ca="1" si="17"/>
        <v>513.70403519052513</v>
      </c>
    </row>
    <row r="27" spans="1:17" s="456" customFormat="1">
      <c r="A27" s="454" t="s">
        <v>560</v>
      </c>
      <c r="B27" s="754">
        <f t="shared" ca="1" si="2"/>
        <v>1.9128822249624267</v>
      </c>
      <c r="C27" s="455">
        <f t="shared" ca="1" si="3"/>
        <v>0</v>
      </c>
      <c r="D27" s="455">
        <f t="shared" si="4"/>
        <v>5.7884281185404642</v>
      </c>
      <c r="E27" s="455">
        <f t="shared" si="5"/>
        <v>10.922718145242257</v>
      </c>
      <c r="F27" s="455">
        <f t="shared" si="6"/>
        <v>0</v>
      </c>
      <c r="G27" s="455">
        <f t="shared" si="7"/>
        <v>5477.6184070277213</v>
      </c>
      <c r="H27" s="455">
        <f t="shared" si="8"/>
        <v>1200.7402220948577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6696.9826576113246</v>
      </c>
    </row>
    <row r="28" spans="1:17">
      <c r="A28" s="450" t="s">
        <v>550</v>
      </c>
      <c r="B28" s="451">
        <f t="shared" ca="1" si="2"/>
        <v>0</v>
      </c>
      <c r="C28" s="451">
        <f t="shared" ca="1" si="3"/>
        <v>0</v>
      </c>
      <c r="D28" s="451">
        <f t="shared" si="4"/>
        <v>0</v>
      </c>
      <c r="E28" s="451">
        <f t="shared" si="5"/>
        <v>0</v>
      </c>
      <c r="F28" s="451">
        <f t="shared" si="6"/>
        <v>0</v>
      </c>
      <c r="G28" s="451">
        <f t="shared" si="7"/>
        <v>116.23308490787514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116.23308490787514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57.165281956056759</v>
      </c>
      <c r="C32" s="451">
        <f t="shared" ca="1" si="3"/>
        <v>0</v>
      </c>
      <c r="D32" s="451">
        <f t="shared" si="4"/>
        <v>73.613845404828666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130.77912736088541</v>
      </c>
    </row>
    <row r="33" spans="1:17" s="460" customFormat="1">
      <c r="A33" s="1005" t="s">
        <v>554</v>
      </c>
      <c r="B33" s="953">
        <f ca="1">SUM(B22:B32)</f>
        <v>3591.8692652926347</v>
      </c>
      <c r="C33" s="953">
        <f t="shared" ref="C33:Q33" ca="1" si="18">SUM(C22:C32)</f>
        <v>0</v>
      </c>
      <c r="D33" s="953">
        <f t="shared" ca="1" si="18"/>
        <v>3738.317693937553</v>
      </c>
      <c r="E33" s="953">
        <f t="shared" si="18"/>
        <v>1043.8402135227916</v>
      </c>
      <c r="F33" s="953">
        <f t="shared" ca="1" si="18"/>
        <v>6651.7022987831169</v>
      </c>
      <c r="G33" s="953">
        <f t="shared" si="18"/>
        <v>5593.8514919355966</v>
      </c>
      <c r="H33" s="953">
        <f t="shared" si="18"/>
        <v>1200.7402220948577</v>
      </c>
      <c r="I33" s="953">
        <f t="shared" si="18"/>
        <v>0</v>
      </c>
      <c r="J33" s="953">
        <f t="shared" si="18"/>
        <v>680.43401592206897</v>
      </c>
      <c r="K33" s="953">
        <f t="shared" si="18"/>
        <v>0</v>
      </c>
      <c r="L33" s="953">
        <f t="shared" ca="1" si="18"/>
        <v>0</v>
      </c>
      <c r="M33" s="953">
        <f t="shared" si="18"/>
        <v>0</v>
      </c>
      <c r="N33" s="953">
        <f t="shared" ca="1" si="18"/>
        <v>0</v>
      </c>
      <c r="O33" s="953">
        <f t="shared" si="18"/>
        <v>0</v>
      </c>
      <c r="P33" s="953">
        <f t="shared" si="18"/>
        <v>0</v>
      </c>
      <c r="Q33" s="953">
        <f t="shared" ca="1" si="18"/>
        <v>22500.755201488617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1604.1813123433551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1604.1813123433551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0.20114647481412332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0.20114647481412332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2020-06-20T15:47:37Z</dcterms:modified>
</cp:coreProperties>
</file>