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1" i="18"/>
  <c r="V41" i="18"/>
  <c r="U41" i="18"/>
  <c r="T41" i="18"/>
  <c r="L6" i="17" s="1"/>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J9" i="18" s="1"/>
  <c r="J77" i="14" s="1"/>
  <c r="J9" i="61" s="1"/>
  <c r="U38" i="18"/>
  <c r="T38" i="18"/>
  <c r="I9" i="18" s="1"/>
  <c r="S38" i="18"/>
  <c r="E9" i="18" s="1"/>
  <c r="R38" i="18"/>
  <c r="Q38" i="18"/>
  <c r="P38" i="18"/>
  <c r="C9" i="18" s="1"/>
  <c r="O38" i="18"/>
  <c r="N38" i="18"/>
  <c r="B9" i="18" s="1"/>
  <c r="M38" i="18"/>
  <c r="W34" i="18"/>
  <c r="V34" i="18"/>
  <c r="U34" i="18"/>
  <c r="T34" i="18"/>
  <c r="S34" i="18"/>
  <c r="R34" i="18"/>
  <c r="Q34" i="18"/>
  <c r="P34" i="18"/>
  <c r="O34" i="18"/>
  <c r="N34" i="18"/>
  <c r="M34" i="18"/>
  <c r="W33" i="18"/>
  <c r="V33" i="18"/>
  <c r="U33" i="18"/>
  <c r="T33" i="18"/>
  <c r="S33" i="18"/>
  <c r="F13" i="15" s="1"/>
  <c r="R33" i="18"/>
  <c r="Q33" i="18"/>
  <c r="P33" i="18"/>
  <c r="D13" i="15" s="1"/>
  <c r="O33" i="18"/>
  <c r="N33" i="18"/>
  <c r="M33" i="18"/>
  <c r="W32" i="18"/>
  <c r="V32" i="18"/>
  <c r="U32" i="18"/>
  <c r="T32" i="18"/>
  <c r="S32" i="18"/>
  <c r="R32" i="18"/>
  <c r="Q32" i="18"/>
  <c r="P32" i="18"/>
  <c r="O32" i="18"/>
  <c r="N32" i="18"/>
  <c r="M32" i="18"/>
  <c r="W31" i="18"/>
  <c r="V31" i="18"/>
  <c r="U31" i="18"/>
  <c r="T31" i="18"/>
  <c r="S31" i="18"/>
  <c r="R31" i="18"/>
  <c r="Q31" i="18"/>
  <c r="P31" i="18"/>
  <c r="O31" i="18"/>
  <c r="N31" i="18"/>
  <c r="C47"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B47" i="18"/>
  <c r="G51"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50" i="18"/>
  <c r="H8" i="18" s="1"/>
  <c r="E50" i="18"/>
  <c r="E8" i="18" s="1"/>
  <c r="G50" i="18"/>
  <c r="F50" i="18"/>
  <c r="H50" i="18"/>
  <c r="D50" i="18"/>
  <c r="C50" i="18"/>
  <c r="B50" i="18"/>
  <c r="C8" i="18" s="1"/>
  <c r="C51" i="18"/>
  <c r="B51" i="18"/>
  <c r="C17" i="18" s="1"/>
  <c r="H51" i="18"/>
  <c r="D51"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E51" i="18"/>
  <c r="E17" i="18" s="1"/>
  <c r="I51" i="18"/>
  <c r="H17" i="18" s="1"/>
  <c r="F51" i="18"/>
  <c r="O9" i="18"/>
  <c r="H78" i="14"/>
  <c r="H9" i="61"/>
  <c r="H10" i="61" s="1"/>
  <c r="O90" i="14"/>
  <c r="O18" i="61"/>
  <c r="O20" i="61" s="1"/>
  <c r="B88" i="14"/>
  <c r="B18" i="61" s="1"/>
  <c r="B77" i="14"/>
  <c r="B9" i="61" s="1"/>
  <c r="Q77" i="14"/>
  <c r="P9" i="61" s="1"/>
  <c r="J17" i="18"/>
  <c r="H20" i="18"/>
  <c r="M87" i="14"/>
  <c r="J8" i="18"/>
  <c r="O8" i="18" s="1"/>
  <c r="O10" i="18" s="1"/>
  <c r="M76" i="14"/>
  <c r="H10" i="18"/>
  <c r="E20" i="18"/>
  <c r="F87" i="14"/>
  <c r="C77" i="14"/>
  <c r="C9" i="61" s="1"/>
  <c r="C20" i="18"/>
  <c r="D87" i="14"/>
  <c r="D17" i="61" s="1"/>
  <c r="D20" i="61" s="1"/>
  <c r="D76" i="14"/>
  <c r="D8" i="61" s="1"/>
  <c r="D10" i="61"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P11" i="14"/>
  <c r="O4" i="48"/>
  <c r="O22" i="48" s="1"/>
  <c r="D4" i="48"/>
  <c r="D22" i="48" s="1"/>
  <c r="E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N52" i="14"/>
  <c r="N61" i="14" s="1"/>
  <c r="F10" i="14"/>
  <c r="E5" i="48"/>
  <c r="E23" i="48"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E8" i="48" l="1"/>
  <c r="E26" i="48" s="1"/>
  <c r="F13" i="14"/>
  <c r="F16" i="14" s="1"/>
  <c r="F27" i="14" s="1"/>
  <c r="E33" i="48"/>
  <c r="H63" i="14"/>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<sst xmlns="http://schemas.openxmlformats.org/spreadsheetml/2006/main" count="2424" uniqueCount="904">
  <si>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</si>
  <si>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</si>
  <si>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</si>
  <si>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</si>
  <si>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</si>
  <si>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</si>
  <si>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</si>
  <si>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</si>
  <si>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</si>
  <si>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</si>
  <si>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</si>
  <si>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</si>
  <si>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</si>
  <si>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</si>
  <si>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</si>
  <si>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</si>
  <si>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</si>
  <si>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</si>
  <si>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</si>
  <si>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</si>
  <si>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</si>
  <si>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</si>
  <si>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</si>
  <si>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</si>
  <si>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</si>
  <si>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</si>
  <si>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</si>
  <si>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</si>
  <si>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</si>
  <si>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</si>
  <si>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</si>
  <si>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</si>
  <si>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</si>
  <si>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</si>
  <si>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</si>
  <si>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</si>
  <si>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</si>
  <si>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</si>
  <si>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</si>
  <si>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</si>
  <si>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</si>
  <si>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</si>
  <si>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</si>
  <si>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</si>
  <si>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</si>
  <si>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</si>
  <si>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</si>
  <si>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</si>
  <si>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</si>
  <si>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</si>
  <si>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</si>
  <si>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</si>
  <si>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</si>
  <si>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</si>
  <si>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</si>
  <si>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</si>
  <si>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</si>
  <si>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</si>
  <si>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</si>
  <si>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</si>
  <si>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</si>
  <si>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</si>
  <si>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</si>
  <si>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</si>
  <si>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</si>
  <si>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</si>
  <si>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</si>
  <si>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</si>
  <si>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</si>
  <si>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</si>
  <si>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</si>
  <si>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</si>
  <si>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</si>
  <si>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</si>
  <si>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</si>
  <si>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</si>
  <si>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</si>
  <si>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</si>
  <si>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</si>
  <si>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</si>
  <si>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</si>
  <si>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</si>
  <si>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</si>
  <si>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</si>
  <si>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</si>
  <si>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</si>
  <si>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</si>
  <si>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</si>
  <si>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</si>
  <si>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</si>
  <si>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</si>
  <si>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</si>
  <si>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</si>
  <si>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</si>
  <si>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</si>
  <si>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</si>
  <si>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</si>
  <si>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</si>
  <si>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</si>
  <si>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</si>
  <si>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</si>
  <si>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</si>
  <si>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</si>
  <si>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</si>
  <si>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</si>
  <si>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</si>
  <si>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</si>
  <si>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</si>
  <si>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</si>
  <si>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</si>
  <si>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</si>
  <si>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</si>
  <si>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</si>
  <si>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</si>
  <si>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</si>
  <si>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</si>
  <si>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</si>
  <si>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</si>
  <si>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</si>
  <si>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</si>
  <si>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</si>
  <si>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</si>
  <si>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</si>
  <si>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</si>
  <si>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</si>
  <si>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</si>
  <si>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</si>
  <si>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</si>
  <si>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</si>
  <si>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</si>
  <si>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</si>
  <si>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</si>
  <si>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</si>
  <si>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</si>
  <si>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</si>
  <si>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</si>
  <si>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</si>
  <si>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</si>
  <si>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</si>
  <si>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</si>
  <si>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</si>
  <si>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</si>
  <si>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</si>
  <si>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</si>
  <si>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</si>
  <si>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</si>
  <si>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</si>
  <si>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</si>
  <si>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</si>
  <si>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</si>
  <si>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</si>
  <si>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</si>
  <si>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</si>
  <si>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</si>
  <si>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</si>
  <si>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</si>
  <si>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</si>
  <si>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</si>
  <si>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</si>
  <si>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</si>
  <si>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</si>
  <si>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</si>
  <si>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</si>
  <si>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</si>
  <si>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</si>
  <si>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</si>
  <si>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</si>
  <si>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</si>
  <si>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</si>
  <si>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</si>
  <si>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</si>
  <si>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</si>
  <si>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</si>
  <si>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</si>
  <si>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</si>
  <si>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</si>
  <si>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</si>
  <si>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</si>
  <si>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</si>
  <si>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</si>
  <si>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</si>
  <si>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</si>
  <si>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</si>
  <si>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</si>
  <si>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</si>
  <si>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</si>
  <si>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</si>
  <si>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</si>
  <si>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</si>
  <si>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</si>
  <si>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</si>
  <si>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</si>
  <si>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</si>
  <si>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</si>
  <si>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</si>
  <si>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</si>
  <si>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</si>
  <si>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</si>
  <si>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</si>
  <si>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</si>
  <si>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</si>
  <si>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</si>
  <si>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</si>
  <si>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</si>
  <si>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</si>
  <si>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</si>
  <si>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</si>
  <si>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</si>
  <si>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</si>
  <si>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</si>
  <si>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</si>
  <si>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</si>
  <si>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</si>
  <si>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</si>
  <si>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</si>
  <si>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</si>
  <si>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</si>
  <si>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</si>
  <si>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</si>
  <si>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</si>
  <si>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</si>
  <si>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</si>
  <si>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</si>
  <si>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</si>
  <si>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</si>
  <si>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</si>
  <si>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</si>
  <si>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</si>
  <si>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</si>
  <si>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</si>
  <si>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</si>
  <si>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</si>
  <si>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</si>
  <si>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</si>
  <si>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</si>
  <si>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</si>
  <si>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</si>
  <si>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</si>
  <si>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</si>
  <si>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</si>
  <si>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</si>
  <si>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</si>
  <si>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</si>
  <si>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</si>
  <si>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</si>
  <si>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</si>
  <si>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</si>
  <si>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</si>
  <si>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</si>
  <si>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</si>
  <si>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</si>
  <si>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</si>
  <si>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</si>
  <si>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</si>
  <si>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</si>
  <si>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</si>
  <si>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</si>
  <si>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</si>
  <si>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</si>
  <si>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</si>
  <si>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</si>
  <si>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</si>
  <si>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</si>
  <si>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</si>
  <si>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</si>
  <si>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</si>
  <si>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</si>
  <si>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</si>
  <si>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</si>
  <si>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</si>
  <si>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</si>
  <si>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</si>
  <si>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</si>
  <si>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</si>
  <si>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</si>
  <si>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</si>
  <si>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</si>
  <si>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</si>
  <si>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</si>
  <si>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</si>
  <si>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</si>
  <si>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</si>
  <si>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</si>
  <si>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</si>
  <si>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</si>
  <si>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</si>
  <si>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</si>
  <si>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</si>
  <si>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</si>
  <si>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</si>
  <si>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</si>
  <si>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</si>
  <si>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</si>
  <si>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</si>
  <si>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</si>
  <si>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</si>
  <si>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</si>
  <si>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</si>
  <si>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</si>
  <si>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</si>
  <si>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</si>
  <si>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</si>
  <si>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</si>
  <si>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</si>
  <si>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</si>
  <si>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</si>
  <si>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</si>
  <si>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</si>
  <si>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</si>
  <si>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</si>
  <si>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</si>
  <si>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</si>
  <si>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</si>
  <si>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</si>
  <si>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</si>
  <si>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</si>
  <si>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</si>
  <si>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</si>
  <si>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</si>
  <si>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</si>
  <si>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</si>
  <si>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</si>
  <si>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</si>
  <si>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</si>
  <si>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</si>
  <si>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</si>
  <si>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</si>
  <si>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</si>
  <si>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</si>
  <si>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</si>
  <si>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</si>
  <si>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</si>
  <si>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</si>
  <si>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</si>
  <si>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</si>
  <si>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</si>
  <si>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</si>
  <si>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</si>
  <si>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</si>
  <si>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</si>
  <si>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</si>
  <si>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</si>
  <si>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</si>
  <si>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</si>
  <si>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</si>
  <si>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</si>
  <si>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</si>
  <si>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</si>
  <si>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</si>
  <si>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</si>
  <si>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</si>
  <si>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</si>
  <si>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</si>
  <si>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</si>
  <si>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</si>
  <si>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</si>
  <si>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</si>
  <si>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</si>
  <si>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</si>
  <si>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</si>
  <si>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</si>
  <si>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</si>
  <si>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</si>
  <si>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</si>
  <si>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</si>
  <si>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</si>
  <si>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</si>
  <si>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</si>
  <si>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</si>
  <si>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</si>
  <si>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</si>
  <si>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</si>
  <si>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</si>
  <si>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</si>
  <si>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</si>
  <si>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</si>
  <si>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</si>
  <si>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</si>
  <si>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</si>
  <si>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</si>
  <si>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</si>
  <si>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</si>
  <si>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</si>
  <si>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</si>
  <si>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</si>
  <si>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</si>
  <si>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</si>
  <si>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</si>
  <si>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</si>
  <si>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</si>
  <si>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</si>
  <si>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</si>
  <si>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</si>
  <si>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</si>
  <si>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</si>
  <si>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</si>
  <si>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</si>
  <si>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</si>
  <si>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</si>
  <si>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</si>
  <si>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</si>
  <si>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</si>
  <si>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</si>
  <si>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</si>
  <si>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</si>
  <si>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</si>
  <si>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</si>
  <si>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</si>
  <si>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</si>
  <si>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</si>
  <si>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</si>
  <si>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</si>
  <si>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</si>
  <si>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</si>
  <si>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</si>
  <si>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</si>
  <si>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</si>
  <si>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</si>
  <si>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</si>
  <si>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</si>
  <si>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</si>
  <si>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</si>
  <si>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</si>
  <si>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</si>
  <si>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</si>
  <si>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</si>
  <si>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</si>
  <si>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</si>
  <si>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</si>
  <si>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</si>
  <si>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</si>
  <si>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</si>
  <si>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</si>
  <si>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</si>
  <si>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</si>
  <si>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</si>
  <si>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</si>
  <si>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</si>
  <si>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</si>
  <si>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</si>
  <si>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</si>
  <si>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</si>
  <si>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</si>
  <si>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</si>
  <si>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</si>
  <si>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</si>
  <si>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</si>
  <si>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</si>
  <si>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</si>
  <si>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</si>
  <si>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</si>
  <si>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</si>
  <si>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</si>
  <si>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</si>
  <si>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</si>
  <si>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</si>
  <si>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</si>
  <si>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</si>
  <si>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</si>
  <si>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</si>
  <si>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</si>
  <si>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</si>
  <si>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</si>
  <si>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</si>
  <si>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</si>
  <si>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</si>
  <si>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</si>
  <si>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</si>
  <si>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</si>
  <si>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</si>
  <si>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</si>
  <si>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</si>
  <si>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</si>
  <si>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</si>
  <si>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</si>
  <si>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</si>
  <si>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</si>
  <si>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</si>
  <si>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</si>
  <si>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</si>
  <si>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</si>
  <si>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</si>
  <si>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</si>
  <si>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</si>
  <si>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</si>
  <si>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</si>
  <si>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</si>
  <si>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</si>
  <si>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</si>
  <si>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</si>
  <si>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</si>
  <si>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</si>
  <si>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</si>
  <si>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</si>
  <si>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</si>
  <si>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</si>
  <si>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</si>
  <si>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</si>
  <si>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</si>
  <si>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</si>
  <si>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</si>
  <si>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</si>
  <si>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</si>
  <si>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</si>
  <si>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</si>
  <si>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</si>
  <si>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</si>
  <si>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</si>
  <si>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</si>
  <si>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</si>
  <si>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</si>
  <si>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</si>
  <si>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</si>
  <si>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</si>
  <si>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</si>
  <si>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</si>
  <si>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</si>
  <si>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</si>
  <si>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</si>
  <si>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</si>
  <si>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</si>
  <si>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</si>
  <si>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</si>
  <si>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</si>
  <si>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</si>
  <si>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</si>
  <si>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</si>
  <si>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</si>
  <si>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</si>
  <si>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</si>
  <si>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</si>
  <si>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</si>
  <si>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</si>
  <si>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</si>
  <si>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</si>
  <si>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</si>
  <si>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</si>
  <si>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</si>
  <si>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</si>
  <si>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</si>
  <si>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</si>
  <si>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</si>
  <si>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</si>
  <si>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</si>
  <si>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</si>
  <si>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</si>
  <si>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</si>
  <si>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</si>
  <si>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</si>
  <si>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</si>
  <si>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</si>
  <si>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</si>
  <si>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</si>
  <si>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</si>
  <si>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</si>
  <si>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</si>
  <si>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</si>
  <si>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</si>
  <si>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</si>
  <si>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</si>
  <si>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</si>
  <si>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</si>
  <si>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</si>
  <si>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</si>
  <si>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</si>
  <si>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</si>
  <si>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</si>
  <si>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</si>
  <si>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</si>
  <si>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</si>
  <si>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</si>
  <si>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</si>
  <si>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</si>
  <si>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</si>
  <si>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</si>
  <si>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</si>
  <si>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</si>
  <si>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</si>
  <si>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</si>
  <si>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</si>
  <si>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</si>
  <si>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</si>
  <si>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</si>
  <si>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</si>
  <si>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</si>
  <si>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</si>
  <si>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</si>
  <si>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</si>
  <si>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</si>
  <si>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</si>
  <si>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</si>
  <si>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</si>
  <si>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</si>
  <si>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</si>
  <si>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</si>
  <si>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</si>
  <si>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</si>
  <si>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</si>
  <si>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</si>
  <si>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</si>
  <si>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</si>
  <si>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</si>
  <si>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</si>
  <si>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</si>
  <si>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</si>
  <si>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</si>
  <si>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</si>
  <si>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</si>
  <si>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</si>
  <si>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</si>
  <si>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</si>
  <si>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</si>
  <si>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</si>
  <si>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</si>
  <si>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</si>
  <si>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</si>
  <si>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</si>
  <si>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</si>
  <si>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</si>
  <si>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</si>
  <si>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</si>
  <si>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</si>
  <si>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</si>
  <si>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</si>
  <si>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</si>
  <si>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</si>
  <si>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</si>
  <si>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</si>
  <si>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</si>
  <si>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</si>
  <si>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</si>
  <si>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</si>
  <si>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</si>
  <si>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</si>
  <si>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</si>
  <si>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</si>
  <si>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</si>
  <si>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</si>
  <si>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</si>
  <si>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</si>
  <si>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</si>
  <si>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</si>
  <si>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</si>
  <si>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</si>
  <si>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</si>
  <si>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</si>
  <si>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</si>
  <si>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</si>
  <si>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</si>
  <si>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</si>
  <si>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</si>
  <si>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</si>
  <si>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</si>
  <si>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</si>
  <si>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</si>
  <si>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</si>
  <si>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</si>
  <si>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</si>
  <si>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</si>
  <si>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</si>
  <si>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</si>
  <si>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</si>
  <si>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</si>
  <si>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</si>
  <si>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</si>
  <si>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</si>
  <si>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</si>
  <si>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</si>
  <si>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</si>
  <si>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</si>
  <si>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</si>
  <si>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</si>
  <si>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</si>
  <si>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</si>
  <si>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</si>
  <si>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</si>
  <si>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</si>
  <si>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</si>
  <si>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</si>
  <si>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</si>
  <si>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</si>
  <si>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</si>
  <si>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</si>
  <si>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</si>
  <si>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</si>
  <si>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</si>
  <si>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</si>
  <si>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</si>
  <si>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</si>
  <si>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</si>
  <si>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</si>
  <si>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</si>
  <si>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</si>
  <si>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</si>
  <si>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</si>
  <si>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</si>
  <si>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</si>
  <si>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</si>
  <si>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</si>
  <si>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</si>
  <si>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</si>
  <si>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</si>
  <si>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</si>
  <si>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</si>
  <si>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</si>
  <si>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</si>
  <si>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</si>
  <si>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</si>
  <si>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</si>
  <si>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</si>
  <si>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</si>
  <si>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</si>
  <si>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</si>
  <si>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</si>
  <si>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</si>
  <si>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</si>
  <si>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</si>
  <si>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</si>
  <si>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</si>
  <si>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</si>
  <si>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</si>
  <si>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</si>
  <si>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</si>
  <si>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</si>
  <si>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</si>
  <si>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</si>
  <si>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</si>
  <si>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</si>
  <si>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</si>
  <si>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</si>
  <si>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</si>
  <si>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</si>
  <si>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</si>
  <si>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</si>
  <si>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</si>
  <si>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</si>
  <si>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</si>
  <si>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</si>
  <si>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</si>
  <si>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</si>
  <si>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</si>
  <si>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</si>
  <si>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</si>
  <si>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</si>
  <si>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</si>
  <si>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</si>
  <si>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</si>
  <si>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</si>
  <si>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</si>
  <si>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</si>
  <si>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</si>
  <si>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</si>
  <si>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</si>
  <si>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</si>
  <si>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</si>
  <si>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</si>
  <si>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</si>
  <si>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</si>
  <si>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</si>
  <si>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</si>
  <si>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</si>
  <si>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</si>
  <si>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</si>
  <si>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</si>
  <si>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</si>
  <si>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</si>
  <si>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</si>
  <si>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</si>
  <si>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</si>
  <si>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</si>
  <si>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</si>
  <si>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</si>
  <si>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</si>
  <si>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</si>
  <si>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</si>
  <si>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</si>
  <si>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</si>
  <si>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</si>
  <si>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</si>
  <si>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</si>
  <si>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</si>
  <si>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</si>
  <si>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</si>
  <si>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</si>
  <si>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</si>
  <si>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</si>
  <si>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</si>
  <si>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</si>
  <si>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</si>
  <si>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</si>
  <si>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</si>
  <si>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</si>
  <si>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</si>
  <si>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</si>
  <si>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</si>
  <si>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</si>
  <si>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</si>
  <si>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</si>
  <si>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</si>
  <si>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</si>
  <si>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</si>
  <si>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</si>
  <si>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</si>
  <si>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</si>
  <si>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</si>
  <si>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</si>
  <si>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</si>
  <si>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</si>
  <si>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</si>
  <si>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</si>
  <si>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</si>
  <si>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</si>
  <si>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</si>
  <si>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</si>
  <si>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</si>
  <si>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</si>
  <si>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</si>
  <si>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</si>
  <si>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</si>
  <si>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</si>
  <si>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</si>
  <si>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</si>
  <si>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</si>
  <si>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</si>
  <si>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</si>
  <si>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</si>
  <si>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</si>
  <si>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</si>
  <si>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</si>
  <si>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</si>
  <si>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</si>
  <si>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</si>
  <si>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</si>
  <si>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</si>
  <si>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</si>
  <si>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</si>
  <si>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</si>
  <si>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</si>
  <si>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</si>
  <si>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</si>
  <si>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</si>
  <si>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</si>
  <si>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</si>
  <si>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</si>
  <si>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</si>
  <si>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</si>
  <si>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</si>
  <si>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</si>
  <si>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</si>
  <si>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</si>
  <si>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</si>
  <si>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</si>
  <si>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</si>
  <si>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</si>
  <si>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</si>
  <si>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</si>
  <si>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</si>
  <si>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</si>
  <si>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</si>
  <si>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</si>
  <si>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</si>
  <si>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</si>
  <si>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</si>
  <si>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</si>
  <si>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</si>
  <si>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</si>
  <si>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</si>
  <si>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</si>
  <si>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</si>
  <si>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</si>
  <si>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</si>
  <si>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</si>
  <si>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</si>
  <si>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</si>
  <si>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</si>
  <si>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</si>
  <si>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</si>
  <si>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</si>
  <si>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</si>
  <si>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</si>
  <si>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</si>
  <si>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</si>
  <si>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</si>
  <si>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45041</t>
  </si>
  <si>
    <t>RONSE</t>
  </si>
  <si>
    <t>Fluvius</t>
  </si>
  <si>
    <t>referentietaak LNE (2017); Jaarverslag De Lijn</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</si>
  <si>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</si>
  <si>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</si>
  <si>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</si>
  <si>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</si>
  <si>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</si>
  <si>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</si>
  <si>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</si>
  <si>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</si>
  <si>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</si>
  <si>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</si>
  <si>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</si>
  <si>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</si>
  <si>
    <t>Cartridge Power</t>
  </si>
  <si>
    <t>WKK-0783</t>
  </si>
  <si>
    <t>Interne verbrandingsmotor</t>
  </si>
  <si>
    <t>Klein Frankrijkstraat 11, 9600 Ronse,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</si>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</sst>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195732.44852137333</c:v>
                </c:pt>
                <c:pt idx="1">
                  <c:v>89303.130720288464</c:v>
                </c:pt>
                <c:pt idx="2">
                  <c:v>1813.922</c:v>
                </c:pt>
                <c:pt idx="3">
                  <c:v>2022.1766016341519</c:v>
                </c:pt>
                <c:pt idx="4">
                  <c:v>167379.83052751955</c:v>
                </c:pt>
                <c:pt idx="5">
                  <c:v>107213.00860292724</c:v>
                </c:pt>
                <c:pt idx="6">
                  <c:v>770.94446833323354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195732.44852137333</c:v>
                </c:pt>
                <c:pt idx="1">
                  <c:v>89303.130720288464</c:v>
                </c:pt>
                <c:pt idx="2">
                  <c:v>1813.922</c:v>
                </c:pt>
                <c:pt idx="3">
                  <c:v>2022.1766016341519</c:v>
                </c:pt>
                <c:pt idx="4">
                  <c:v>167379.83052751955</c:v>
                </c:pt>
                <c:pt idx="5">
                  <c:v>107213.00860292724</c:v>
                </c:pt>
                <c:pt idx="6">
                  <c:v>770.94446833323354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35512.58440974963</c:v>
                </c:pt>
                <c:pt idx="2">
                  <c:v>18172.26755929018</c:v>
                </c:pt>
                <c:pt idx="3">
                  <c:v>380.41987880177834</c:v>
                </c:pt>
                <c:pt idx="4">
                  <c:v>515.76622304832074</c:v>
                </c:pt>
                <c:pt idx="5">
                  <c:v>34258.58187630304</c:v>
                </c:pt>
                <c:pt idx="6">
                  <c:v>26910.920250174815</c:v>
                </c:pt>
                <c:pt idx="7">
                  <c:v>194.7803449866083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35512.58440974963</c:v>
                </c:pt>
                <c:pt idx="2">
                  <c:v>18172.26755929018</c:v>
                </c:pt>
                <c:pt idx="3">
                  <c:v>380.41987880177834</c:v>
                </c:pt>
                <c:pt idx="4">
                  <c:v>515.76622304832074</c:v>
                </c:pt>
                <c:pt idx="5">
                  <c:v>34258.58187630304</c:v>
                </c:pt>
                <c:pt idx="6">
                  <c:v>26910.920250174815</c:v>
                </c:pt>
                <c:pt idx="7">
                  <c:v>194.7803449866083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45041</v>
      </c>
      <c r="B6" s="390"/>
      <c r="C6" s="391"/>
    </row>
    <row r="7" spans="1:7" s="388" customFormat="1" ht="15.75" customHeight="1">
      <c r="A7" s="392" t="str">
        <f>txtMunicipality</f>
        <v>RONSE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0.20972229169819778</v>
      </c>
      <c r="C17" s="498">
        <f ca="1">'EF ele_warmte'!B22</f>
        <v>0.23742257607448891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0.20972229169819778</v>
      </c>
      <c r="C29" s="499">
        <f ca="1">'EF ele_warmte'!B22</f>
        <v>0.23742257607448891</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10627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1468.2</v>
      </c>
      <c r="C14" s="330"/>
      <c r="D14" s="330"/>
      <c r="E14" s="330"/>
      <c r="F14" s="330"/>
    </row>
    <row r="15" spans="1:6">
      <c r="A15" s="1293" t="s">
        <v>183</v>
      </c>
      <c r="B15" s="1294">
        <v>11</v>
      </c>
      <c r="C15" s="330"/>
      <c r="D15" s="330"/>
      <c r="E15" s="330"/>
      <c r="F15" s="330"/>
    </row>
    <row r="16" spans="1:6">
      <c r="A16" s="1293" t="s">
        <v>6</v>
      </c>
      <c r="B16" s="1294">
        <v>323</v>
      </c>
      <c r="C16" s="330"/>
      <c r="D16" s="330"/>
      <c r="E16" s="330"/>
      <c r="F16" s="330"/>
    </row>
    <row r="17" spans="1:6">
      <c r="A17" s="1293" t="s">
        <v>7</v>
      </c>
      <c r="B17" s="1294">
        <v>406</v>
      </c>
      <c r="C17" s="330"/>
      <c r="D17" s="330"/>
      <c r="E17" s="330"/>
      <c r="F17" s="330"/>
    </row>
    <row r="18" spans="1:6">
      <c r="A18" s="1293" t="s">
        <v>8</v>
      </c>
      <c r="B18" s="1294">
        <v>576</v>
      </c>
      <c r="C18" s="330"/>
      <c r="D18" s="330"/>
      <c r="E18" s="330"/>
      <c r="F18" s="330"/>
    </row>
    <row r="19" spans="1:6">
      <c r="A19" s="1293" t="s">
        <v>9</v>
      </c>
      <c r="B19" s="1294">
        <v>474</v>
      </c>
      <c r="C19" s="330"/>
      <c r="D19" s="330"/>
      <c r="E19" s="330"/>
      <c r="F19" s="330"/>
    </row>
    <row r="20" spans="1:6">
      <c r="A20" s="1293" t="s">
        <v>10</v>
      </c>
      <c r="B20" s="1294">
        <v>343</v>
      </c>
      <c r="C20" s="330"/>
      <c r="D20" s="330"/>
      <c r="E20" s="330"/>
      <c r="F20" s="330"/>
    </row>
    <row r="21" spans="1:6">
      <c r="A21" s="1293" t="s">
        <v>11</v>
      </c>
      <c r="B21" s="1294">
        <v>290</v>
      </c>
      <c r="C21" s="330"/>
      <c r="D21" s="330"/>
      <c r="E21" s="330"/>
      <c r="F21" s="330"/>
    </row>
    <row r="22" spans="1:6">
      <c r="A22" s="1293" t="s">
        <v>12</v>
      </c>
      <c r="B22" s="1294">
        <v>870</v>
      </c>
      <c r="C22" s="330"/>
      <c r="D22" s="330"/>
      <c r="E22" s="330"/>
      <c r="F22" s="330"/>
    </row>
    <row r="23" spans="1:6">
      <c r="A23" s="1293" t="s">
        <v>13</v>
      </c>
      <c r="B23" s="1294">
        <v>10</v>
      </c>
      <c r="C23" s="330"/>
      <c r="D23" s="330"/>
      <c r="E23" s="330"/>
      <c r="F23" s="330"/>
    </row>
    <row r="24" spans="1:6">
      <c r="A24" s="1293" t="s">
        <v>14</v>
      </c>
      <c r="B24" s="1294">
        <v>1</v>
      </c>
      <c r="C24" s="330"/>
      <c r="D24" s="330"/>
      <c r="E24" s="330"/>
      <c r="F24" s="330"/>
    </row>
    <row r="25" spans="1:6">
      <c r="A25" s="1293" t="s">
        <v>15</v>
      </c>
      <c r="B25" s="1294">
        <v>92</v>
      </c>
      <c r="C25" s="330"/>
      <c r="D25" s="330"/>
      <c r="E25" s="330"/>
      <c r="F25" s="330"/>
    </row>
    <row r="26" spans="1:6">
      <c r="A26" s="1293" t="s">
        <v>16</v>
      </c>
      <c r="B26" s="1294">
        <v>172</v>
      </c>
      <c r="C26" s="330"/>
      <c r="D26" s="330"/>
      <c r="E26" s="330"/>
      <c r="F26" s="330"/>
    </row>
    <row r="27" spans="1:6">
      <c r="A27" s="1293" t="s">
        <v>17</v>
      </c>
      <c r="B27" s="1294">
        <v>60</v>
      </c>
      <c r="C27" s="330"/>
      <c r="D27" s="330"/>
      <c r="E27" s="330"/>
      <c r="F27" s="330"/>
    </row>
    <row r="28" spans="1:6" s="43" customFormat="1">
      <c r="A28" s="1295" t="s">
        <v>18</v>
      </c>
      <c r="B28" s="1296">
        <v>7</v>
      </c>
      <c r="C28" s="336"/>
      <c r="D28" s="336"/>
      <c r="E28" s="336"/>
      <c r="F28" s="336"/>
    </row>
    <row r="29" spans="1:6">
      <c r="A29" s="1295" t="s">
        <v>734</v>
      </c>
      <c r="B29" s="1296">
        <v>53</v>
      </c>
      <c r="C29" s="336"/>
      <c r="D29" s="336"/>
      <c r="E29" s="336"/>
      <c r="F29" s="336"/>
    </row>
    <row r="30" spans="1:6">
      <c r="A30" s="1288" t="s">
        <v>735</v>
      </c>
      <c r="B30" s="1297">
        <v>21</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3</v>
      </c>
      <c r="D36" s="1294">
        <v>829160.37288849999</v>
      </c>
      <c r="E36" s="1294">
        <v>4</v>
      </c>
      <c r="F36" s="1294">
        <v>11924.422796463699</v>
      </c>
    </row>
    <row r="37" spans="1:6">
      <c r="A37" s="1293" t="s">
        <v>24</v>
      </c>
      <c r="B37" s="1293" t="s">
        <v>27</v>
      </c>
      <c r="C37" s="1294">
        <v>0</v>
      </c>
      <c r="D37" s="1294">
        <v>0</v>
      </c>
      <c r="E37" s="1294">
        <v>0</v>
      </c>
      <c r="F37" s="1294">
        <v>0</v>
      </c>
    </row>
    <row r="38" spans="1:6">
      <c r="A38" s="1293" t="s">
        <v>24</v>
      </c>
      <c r="B38" s="1293" t="s">
        <v>28</v>
      </c>
      <c r="C38" s="1294">
        <v>0</v>
      </c>
      <c r="D38" s="1294">
        <v>0</v>
      </c>
      <c r="E38" s="1294">
        <v>1</v>
      </c>
      <c r="F38" s="1294">
        <v>1965.60992007</v>
      </c>
    </row>
    <row r="39" spans="1:6">
      <c r="A39" s="1293" t="s">
        <v>29</v>
      </c>
      <c r="B39" s="1293" t="s">
        <v>30</v>
      </c>
      <c r="C39" s="1294">
        <v>8037</v>
      </c>
      <c r="D39" s="1294">
        <v>116119317.247509</v>
      </c>
      <c r="E39" s="1294">
        <v>10718</v>
      </c>
      <c r="F39" s="1294">
        <v>34516596.740970001</v>
      </c>
    </row>
    <row r="40" spans="1:6">
      <c r="A40" s="1293" t="s">
        <v>29</v>
      </c>
      <c r="B40" s="1293" t="s">
        <v>28</v>
      </c>
      <c r="C40" s="1294">
        <v>0</v>
      </c>
      <c r="D40" s="1294">
        <v>0</v>
      </c>
      <c r="E40" s="1294">
        <v>0</v>
      </c>
      <c r="F40" s="1294">
        <v>0</v>
      </c>
    </row>
    <row r="41" spans="1:6">
      <c r="A41" s="1293" t="s">
        <v>31</v>
      </c>
      <c r="B41" s="1293" t="s">
        <v>32</v>
      </c>
      <c r="C41" s="1294">
        <v>85</v>
      </c>
      <c r="D41" s="1294">
        <v>1634753.3025298701</v>
      </c>
      <c r="E41" s="1294">
        <v>204</v>
      </c>
      <c r="F41" s="1294">
        <v>3330239.0698517002</v>
      </c>
    </row>
    <row r="42" spans="1:6">
      <c r="A42" s="1293" t="s">
        <v>31</v>
      </c>
      <c r="B42" s="1293" t="s">
        <v>33</v>
      </c>
      <c r="C42" s="1294">
        <v>3</v>
      </c>
      <c r="D42" s="1294">
        <v>745296.37100458099</v>
      </c>
      <c r="E42" s="1294">
        <v>0</v>
      </c>
      <c r="F42" s="1294">
        <v>0</v>
      </c>
    </row>
    <row r="43" spans="1:6">
      <c r="A43" s="1293" t="s">
        <v>31</v>
      </c>
      <c r="B43" s="1293" t="s">
        <v>34</v>
      </c>
      <c r="C43" s="1294">
        <v>0</v>
      </c>
      <c r="D43" s="1294">
        <v>0</v>
      </c>
      <c r="E43" s="1294">
        <v>0</v>
      </c>
      <c r="F43" s="1294">
        <v>0</v>
      </c>
    </row>
    <row r="44" spans="1:6">
      <c r="A44" s="1293" t="s">
        <v>31</v>
      </c>
      <c r="B44" s="1293" t="s">
        <v>35</v>
      </c>
      <c r="C44" s="1294">
        <v>3</v>
      </c>
      <c r="D44" s="1294">
        <v>24990.562073333102</v>
      </c>
      <c r="E44" s="1294">
        <v>18</v>
      </c>
      <c r="F44" s="1294">
        <v>341578.38499128801</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5</v>
      </c>
      <c r="D47" s="1294">
        <v>139583.301404703</v>
      </c>
      <c r="E47" s="1294">
        <v>12</v>
      </c>
      <c r="F47" s="1294">
        <v>106385.838493449</v>
      </c>
    </row>
    <row r="48" spans="1:6">
      <c r="A48" s="1293" t="s">
        <v>31</v>
      </c>
      <c r="B48" s="1293" t="s">
        <v>28</v>
      </c>
      <c r="C48" s="1294">
        <v>62</v>
      </c>
      <c r="D48" s="1294">
        <v>99186209.705269098</v>
      </c>
      <c r="E48" s="1294">
        <v>57</v>
      </c>
      <c r="F48" s="1294">
        <v>20450818.2777058</v>
      </c>
    </row>
    <row r="49" spans="1:6">
      <c r="A49" s="1293" t="s">
        <v>31</v>
      </c>
      <c r="B49" s="1293" t="s">
        <v>39</v>
      </c>
      <c r="C49" s="1294">
        <v>0</v>
      </c>
      <c r="D49" s="1294">
        <v>0</v>
      </c>
      <c r="E49" s="1294">
        <v>27</v>
      </c>
      <c r="F49" s="1294">
        <v>34310370.031552099</v>
      </c>
    </row>
    <row r="50" spans="1:6">
      <c r="A50" s="1293" t="s">
        <v>31</v>
      </c>
      <c r="B50" s="1293" t="s">
        <v>40</v>
      </c>
      <c r="C50" s="1294">
        <v>10</v>
      </c>
      <c r="D50" s="1294">
        <v>680204.37742669799</v>
      </c>
      <c r="E50" s="1294">
        <v>11</v>
      </c>
      <c r="F50" s="1294">
        <v>281504.33109900297</v>
      </c>
    </row>
    <row r="51" spans="1:6">
      <c r="A51" s="1293" t="s">
        <v>41</v>
      </c>
      <c r="B51" s="1293" t="s">
        <v>42</v>
      </c>
      <c r="C51" s="1294">
        <v>5</v>
      </c>
      <c r="D51" s="1294">
        <v>73850.707503261699</v>
      </c>
      <c r="E51" s="1294">
        <v>33</v>
      </c>
      <c r="F51" s="1294">
        <v>326445.33428993903</v>
      </c>
    </row>
    <row r="52" spans="1:6">
      <c r="A52" s="1293" t="s">
        <v>41</v>
      </c>
      <c r="B52" s="1293" t="s">
        <v>28</v>
      </c>
      <c r="C52" s="1294">
        <v>3</v>
      </c>
      <c r="D52" s="1294">
        <v>59650.622994458201</v>
      </c>
      <c r="E52" s="1294">
        <v>7</v>
      </c>
      <c r="F52" s="1294">
        <v>29674.690145108201</v>
      </c>
    </row>
    <row r="53" spans="1:6">
      <c r="A53" s="1293" t="s">
        <v>43</v>
      </c>
      <c r="B53" s="1293" t="s">
        <v>44</v>
      </c>
      <c r="C53" s="1294">
        <v>284</v>
      </c>
      <c r="D53" s="1294">
        <v>7227845.6760499002</v>
      </c>
      <c r="E53" s="1294">
        <v>477</v>
      </c>
      <c r="F53" s="1294">
        <v>1755510.72610172</v>
      </c>
    </row>
    <row r="54" spans="1:6">
      <c r="A54" s="1293" t="s">
        <v>45</v>
      </c>
      <c r="B54" s="1293" t="s">
        <v>46</v>
      </c>
      <c r="C54" s="1294">
        <v>0</v>
      </c>
      <c r="D54" s="1294">
        <v>0</v>
      </c>
      <c r="E54" s="1294">
        <v>1</v>
      </c>
      <c r="F54" s="1294">
        <v>1813922</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80</v>
      </c>
      <c r="D57" s="1294">
        <v>4466386.5138664003</v>
      </c>
      <c r="E57" s="1294">
        <v>119</v>
      </c>
      <c r="F57" s="1294">
        <v>2526951.30589655</v>
      </c>
    </row>
    <row r="58" spans="1:6">
      <c r="A58" s="1293" t="s">
        <v>48</v>
      </c>
      <c r="B58" s="1293" t="s">
        <v>50</v>
      </c>
      <c r="C58" s="1294">
        <v>56</v>
      </c>
      <c r="D58" s="1294">
        <v>7195421.79786254</v>
      </c>
      <c r="E58" s="1294">
        <v>84</v>
      </c>
      <c r="F58" s="1294">
        <v>6111325.71142771</v>
      </c>
    </row>
    <row r="59" spans="1:6">
      <c r="A59" s="1293" t="s">
        <v>48</v>
      </c>
      <c r="B59" s="1293" t="s">
        <v>51</v>
      </c>
      <c r="C59" s="1294">
        <v>194</v>
      </c>
      <c r="D59" s="1294">
        <v>6359585.5525711197</v>
      </c>
      <c r="E59" s="1294">
        <v>354</v>
      </c>
      <c r="F59" s="1294">
        <v>9896651.0168820005</v>
      </c>
    </row>
    <row r="60" spans="1:6">
      <c r="A60" s="1293" t="s">
        <v>48</v>
      </c>
      <c r="B60" s="1293" t="s">
        <v>52</v>
      </c>
      <c r="C60" s="1294">
        <v>91</v>
      </c>
      <c r="D60" s="1294">
        <v>3777871.8571177102</v>
      </c>
      <c r="E60" s="1294">
        <v>121</v>
      </c>
      <c r="F60" s="1294">
        <v>2352288.24103346</v>
      </c>
    </row>
    <row r="61" spans="1:6">
      <c r="A61" s="1293" t="s">
        <v>48</v>
      </c>
      <c r="B61" s="1293" t="s">
        <v>53</v>
      </c>
      <c r="C61" s="1294">
        <v>316</v>
      </c>
      <c r="D61" s="1294">
        <v>21476439.609524101</v>
      </c>
      <c r="E61" s="1294">
        <v>573</v>
      </c>
      <c r="F61" s="1294">
        <v>6858829.9005992301</v>
      </c>
    </row>
    <row r="62" spans="1:6">
      <c r="A62" s="1293" t="s">
        <v>48</v>
      </c>
      <c r="B62" s="1293" t="s">
        <v>54</v>
      </c>
      <c r="C62" s="1294">
        <v>17</v>
      </c>
      <c r="D62" s="1294">
        <v>3747991.2957073799</v>
      </c>
      <c r="E62" s="1294">
        <v>29</v>
      </c>
      <c r="F62" s="1294">
        <v>863259.03345824196</v>
      </c>
    </row>
    <row r="63" spans="1:6">
      <c r="A63" s="1293" t="s">
        <v>48</v>
      </c>
      <c r="B63" s="1293" t="s">
        <v>28</v>
      </c>
      <c r="C63" s="1294">
        <v>106</v>
      </c>
      <c r="D63" s="1294">
        <v>5892015.4066049298</v>
      </c>
      <c r="E63" s="1294">
        <v>85</v>
      </c>
      <c r="F63" s="1294">
        <v>4378804.29486953</v>
      </c>
    </row>
    <row r="64" spans="1:6">
      <c r="A64" s="1293" t="s">
        <v>55</v>
      </c>
      <c r="B64" s="1293" t="s">
        <v>56</v>
      </c>
      <c r="C64" s="1294">
        <v>0</v>
      </c>
      <c r="D64" s="1294">
        <v>0</v>
      </c>
      <c r="E64" s="1294">
        <v>0</v>
      </c>
      <c r="F64" s="1294">
        <v>0</v>
      </c>
    </row>
    <row r="65" spans="1:6">
      <c r="A65" s="1293" t="s">
        <v>55</v>
      </c>
      <c r="B65" s="1293" t="s">
        <v>28</v>
      </c>
      <c r="C65" s="1294">
        <v>5</v>
      </c>
      <c r="D65" s="1294">
        <v>167902.34806432301</v>
      </c>
      <c r="E65" s="1294">
        <v>4</v>
      </c>
      <c r="F65" s="1294">
        <v>24864.693482008501</v>
      </c>
    </row>
    <row r="66" spans="1:6">
      <c r="A66" s="1293" t="s">
        <v>55</v>
      </c>
      <c r="B66" s="1293" t="s">
        <v>57</v>
      </c>
      <c r="C66" s="1294">
        <v>0</v>
      </c>
      <c r="D66" s="1294">
        <v>0</v>
      </c>
      <c r="E66" s="1294">
        <v>8</v>
      </c>
      <c r="F66" s="1294">
        <v>33525.018259611803</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56021091</v>
      </c>
      <c r="E73" s="449"/>
      <c r="F73" s="330"/>
    </row>
    <row r="74" spans="1:6">
      <c r="A74" s="1293" t="s">
        <v>63</v>
      </c>
      <c r="B74" s="1293" t="s">
        <v>656</v>
      </c>
      <c r="C74" s="1307" t="s">
        <v>658</v>
      </c>
      <c r="D74" s="1308">
        <v>18080734.5</v>
      </c>
      <c r="E74" s="449"/>
      <c r="F74" s="330"/>
    </row>
    <row r="75" spans="1:6">
      <c r="A75" s="1293" t="s">
        <v>64</v>
      </c>
      <c r="B75" s="1293" t="s">
        <v>655</v>
      </c>
      <c r="C75" s="1307" t="s">
        <v>659</v>
      </c>
      <c r="D75" s="1308">
        <v>17232614</v>
      </c>
      <c r="E75" s="449"/>
      <c r="F75" s="330"/>
    </row>
    <row r="76" spans="1:6">
      <c r="A76" s="1293" t="s">
        <v>64</v>
      </c>
      <c r="B76" s="1293" t="s">
        <v>656</v>
      </c>
      <c r="C76" s="1307" t="s">
        <v>660</v>
      </c>
      <c r="D76" s="1308">
        <v>1955000.5</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210261</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1801.9003194067911</v>
      </c>
      <c r="C91" s="330"/>
      <c r="D91" s="330"/>
      <c r="E91" s="330"/>
      <c r="F91" s="330"/>
    </row>
    <row r="92" spans="1:6">
      <c r="A92" s="1288" t="s">
        <v>68</v>
      </c>
      <c r="B92" s="1289">
        <v>5019.1907904666468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5479</v>
      </c>
      <c r="C97" s="330"/>
      <c r="D97" s="330"/>
      <c r="E97" s="330"/>
      <c r="F97" s="330"/>
    </row>
    <row r="98" spans="1:6">
      <c r="A98" s="1293" t="s">
        <v>71</v>
      </c>
      <c r="B98" s="1294">
        <v>0</v>
      </c>
      <c r="C98" s="330"/>
      <c r="D98" s="330"/>
      <c r="E98" s="330"/>
      <c r="F98" s="330"/>
    </row>
    <row r="99" spans="1:6">
      <c r="A99" s="1293" t="s">
        <v>72</v>
      </c>
      <c r="B99" s="1294">
        <v>110</v>
      </c>
      <c r="C99" s="330"/>
      <c r="D99" s="330"/>
      <c r="E99" s="330"/>
      <c r="F99" s="330"/>
    </row>
    <row r="100" spans="1:6">
      <c r="A100" s="1293" t="s">
        <v>73</v>
      </c>
      <c r="B100" s="1294">
        <v>487</v>
      </c>
      <c r="C100" s="330"/>
      <c r="D100" s="330"/>
      <c r="E100" s="330"/>
      <c r="F100" s="330"/>
    </row>
    <row r="101" spans="1:6">
      <c r="A101" s="1293" t="s">
        <v>74</v>
      </c>
      <c r="B101" s="1294">
        <v>138</v>
      </c>
      <c r="C101" s="330"/>
      <c r="D101" s="330"/>
      <c r="E101" s="330"/>
      <c r="F101" s="330"/>
    </row>
    <row r="102" spans="1:6">
      <c r="A102" s="1293" t="s">
        <v>75</v>
      </c>
      <c r="B102" s="1294">
        <v>237</v>
      </c>
      <c r="C102" s="330"/>
      <c r="D102" s="330"/>
      <c r="E102" s="330"/>
      <c r="F102" s="330"/>
    </row>
    <row r="103" spans="1:6">
      <c r="A103" s="1293" t="s">
        <v>76</v>
      </c>
      <c r="B103" s="1294">
        <v>384</v>
      </c>
      <c r="C103" s="330"/>
      <c r="D103" s="330"/>
      <c r="E103" s="330"/>
      <c r="F103" s="330"/>
    </row>
    <row r="104" spans="1:6">
      <c r="A104" s="1293" t="s">
        <v>77</v>
      </c>
      <c r="B104" s="1294">
        <v>2766</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3</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14</v>
      </c>
      <c r="C123" s="1294">
        <v>16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100</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132724.80391061521</v>
      </c>
      <c r="C3" s="43" t="s">
        <v>169</v>
      </c>
      <c r="D3" s="43"/>
      <c r="E3" s="154"/>
      <c r="F3" s="43"/>
      <c r="G3" s="43"/>
      <c r="H3" s="43"/>
      <c r="I3" s="43"/>
      <c r="J3" s="43"/>
      <c r="K3" s="96"/>
    </row>
    <row r="4" spans="1:11">
      <c r="A4" s="358" t="s">
        <v>170</v>
      </c>
      <c r="B4" s="49">
        <f>IF(ISERROR('SEAP template'!B78+'SEAP template'!C78),0,'SEAP template'!B78+'SEAP template'!C78)</f>
        <v>7468.3411098734377</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153.67176236421295</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0.20972229169819778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223.34680906435847</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940.71428571428555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0.23742257607448891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1813.922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1813.922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0.20972229169819778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380.41987880177834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34516.596740970002</v>
      </c>
      <c r="C5" s="17">
        <f>IF(ISERROR('Eigen informatie GS &amp; warmtenet'!B57),0,'Eigen informatie GS &amp; warmtenet'!B57)</f>
        <v>0</v>
      </c>
      <c r="D5" s="30">
        <f>(SUM(HH_hh_gas_kWh,HH_rest_gas_kWh)/1000)*0.902</f>
        <v>104739.62415725311</v>
      </c>
      <c r="E5" s="17">
        <f>B46*B57</f>
        <v>15597.514710965463</v>
      </c>
      <c r="F5" s="17">
        <f>B51*B62</f>
        <v>9674.6507255395336</v>
      </c>
      <c r="G5" s="18"/>
      <c r="H5" s="17"/>
      <c r="I5" s="17"/>
      <c r="J5" s="17">
        <f>B50*B61+C50*C61</f>
        <v>1736.1986224288244</v>
      </c>
      <c r="K5" s="17"/>
      <c r="L5" s="17"/>
      <c r="M5" s="17"/>
      <c r="N5" s="17">
        <f>B48*B59+C48*C59</f>
        <v>26969.816578142963</v>
      </c>
      <c r="O5" s="17">
        <f>B69*B70*B71</f>
        <v>181.34666666666669</v>
      </c>
      <c r="P5" s="17">
        <f>B77*B78*B79/1000-B77*B78*B79/1000/B80</f>
        <v>514.79999999999995</v>
      </c>
    </row>
    <row r="6" spans="1:16">
      <c r="A6" s="16" t="s">
        <v>620</v>
      </c>
      <c r="B6" s="762">
        <f>kWh_PV_kleiner_dan_10kW</f>
        <v>1801.9003194067911</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36318.497060376794</v>
      </c>
      <c r="C8" s="21">
        <f>C5</f>
        <v>0</v>
      </c>
      <c r="D8" s="21">
        <f>D5</f>
        <v>104739.62415725311</v>
      </c>
      <c r="E8" s="21">
        <f>E5</f>
        <v>15597.514710965463</v>
      </c>
      <c r="F8" s="21">
        <f>F5</f>
        <v>9674.6507255395336</v>
      </c>
      <c r="G8" s="21"/>
      <c r="H8" s="21"/>
      <c r="I8" s="21"/>
      <c r="J8" s="21">
        <f>J5</f>
        <v>1736.1986224288244</v>
      </c>
      <c r="K8" s="21"/>
      <c r="L8" s="21">
        <f>L5</f>
        <v>0</v>
      </c>
      <c r="M8" s="21">
        <f>M5</f>
        <v>0</v>
      </c>
      <c r="N8" s="21">
        <f>N5</f>
        <v>26969.816578142963</v>
      </c>
      <c r="O8" s="21">
        <f>O5</f>
        <v>181.34666666666669</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0.20972229169819778</v>
      </c>
      <c r="C10" s="25">
        <f ca="1">'EF ele_warmte'!B22</f>
        <v>0.23742257607448891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7616.7984345364803</v>
      </c>
      <c r="C12" s="23">
        <f ca="1">C10*C8</f>
        <v>0</v>
      </c>
      <c r="D12" s="23">
        <f>D8*D10</f>
        <v>21157.404079765129</v>
      </c>
      <c r="E12" s="23">
        <f>E10*E8</f>
        <v>3540.6358393891601</v>
      </c>
      <c r="F12" s="23">
        <f>F10*F8</f>
        <v>2583.1317437190555</v>
      </c>
      <c r="G12" s="23"/>
      <c r="H12" s="23"/>
      <c r="I12" s="23"/>
      <c r="J12" s="23">
        <f>J10*J8</f>
        <v>614.61431233980375</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5479</v>
      </c>
      <c r="C18" s="166" t="s">
        <v>110</v>
      </c>
      <c r="D18" s="228"/>
      <c r="E18" s="15"/>
    </row>
    <row r="19" spans="1:7">
      <c r="A19" s="171" t="s">
        <v>71</v>
      </c>
      <c r="B19" s="37">
        <f>aantalw2001_ander</f>
        <v>0</v>
      </c>
      <c r="C19" s="166" t="s">
        <v>110</v>
      </c>
      <c r="D19" s="229"/>
      <c r="E19" s="15"/>
    </row>
    <row r="20" spans="1:7">
      <c r="A20" s="171" t="s">
        <v>72</v>
      </c>
      <c r="B20" s="37">
        <f>aantalw2001_propaan</f>
        <v>110</v>
      </c>
      <c r="C20" s="167">
        <f>IF(ISERROR(B20/SUM($B$20,$B$21,$B$22)*100),0,B20/SUM($B$20,$B$21,$B$22)*100)</f>
        <v>14.965986394557824</v>
      </c>
      <c r="D20" s="229"/>
      <c r="E20" s="15"/>
    </row>
    <row r="21" spans="1:7">
      <c r="A21" s="171" t="s">
        <v>73</v>
      </c>
      <c r="B21" s="37">
        <f>aantalw2001_elektriciteit</f>
        <v>487</v>
      </c>
      <c r="C21" s="167">
        <f>IF(ISERROR(B21/SUM($B$20,$B$21,$B$22)*100),0,B21/SUM($B$20,$B$21,$B$22)*100)</f>
        <v>66.258503401360542</v>
      </c>
      <c r="D21" s="229"/>
      <c r="E21" s="15"/>
    </row>
    <row r="22" spans="1:7">
      <c r="A22" s="171" t="s">
        <v>74</v>
      </c>
      <c r="B22" s="37">
        <f>aantalw2001_hout</f>
        <v>138</v>
      </c>
      <c r="C22" s="167">
        <f>IF(ISERROR(B22/SUM($B$20,$B$21,$B$22)*100),0,B22/SUM($B$20,$B$21,$B$22)*100)</f>
        <v>18.775510204081634</v>
      </c>
      <c r="D22" s="229"/>
      <c r="E22" s="15"/>
    </row>
    <row r="23" spans="1:7">
      <c r="A23" s="171" t="s">
        <v>75</v>
      </c>
      <c r="B23" s="37">
        <f>aantalw2001_niet_gespec</f>
        <v>237</v>
      </c>
      <c r="C23" s="166" t="s">
        <v>110</v>
      </c>
      <c r="D23" s="228"/>
      <c r="E23" s="15"/>
    </row>
    <row r="24" spans="1:7">
      <c r="A24" s="171" t="s">
        <v>76</v>
      </c>
      <c r="B24" s="37">
        <f>aantalw2001_steenkool</f>
        <v>384</v>
      </c>
      <c r="C24" s="166" t="s">
        <v>110</v>
      </c>
      <c r="D24" s="229"/>
      <c r="E24" s="15"/>
    </row>
    <row r="25" spans="1:7">
      <c r="A25" s="171" t="s">
        <v>77</v>
      </c>
      <c r="B25" s="37">
        <f>aantalw2001_stookolie</f>
        <v>2766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10627</v>
      </c>
      <c r="C28" s="36"/>
      <c r="D28" s="228"/>
    </row>
    <row r="29" spans="1:7" s="15" customFormat="1">
      <c r="A29" s="230" t="s">
        <v>781</v>
      </c>
      <c r="B29" s="37">
        <f>SUM(HH_hh_gas_aantal,HH_rest_gas_aantal)</f>
        <v>8037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8037</v>
      </c>
      <c r="C32" s="167">
        <f>IF(ISERROR(B32/SUM($B$32,$B$34,$B$35,$B$36,$B$38,$B$39)*100),0,B32/SUM($B$32,$B$34,$B$35,$B$36,$B$38,$B$39)*100)</f>
        <v>75.820754716981128</v>
      </c>
      <c r="D32" s="233"/>
      <c r="G32" s="15"/>
    </row>
    <row r="33" spans="1:7">
      <c r="A33" s="171" t="s">
        <v>71</v>
      </c>
      <c r="B33" s="34" t="s">
        <v>110</v>
      </c>
      <c r="C33" s="167"/>
      <c r="D33" s="233"/>
      <c r="G33" s="15"/>
    </row>
    <row r="34" spans="1:7">
      <c r="A34" s="171" t="s">
        <v>72</v>
      </c>
      <c r="B34" s="33">
        <f>IF((($B$28-$B$32-$B$39-$B$77-$B$38)*C20/100)&lt;0,0,($B$28-$B$32-$B$39-$B$77-$B$38)*C20/100)</f>
        <v>294.9795918367347</v>
      </c>
      <c r="C34" s="167">
        <f>IF(ISERROR(B34/SUM($B$32,$B$34,$B$35,$B$36,$B$38,$B$39)*100),0,B34/SUM($B$32,$B$34,$B$35,$B$36,$B$38,$B$39)*100)</f>
        <v>2.7828263380824025</v>
      </c>
      <c r="D34" s="233"/>
      <c r="G34" s="15"/>
    </row>
    <row r="35" spans="1:7">
      <c r="A35" s="171" t="s">
        <v>73</v>
      </c>
      <c r="B35" s="33">
        <f>IF((($B$28-$B$32-$B$39-$B$77-$B$38)*C21/100)&lt;0,0,($B$28-$B$32-$B$39-$B$77-$B$38)*C21/100)</f>
        <v>1305.9551020408164</v>
      </c>
      <c r="C35" s="167">
        <f>IF(ISERROR(B35/SUM($B$32,$B$34,$B$35,$B$36,$B$38,$B$39)*100),0,B35/SUM($B$32,$B$34,$B$35,$B$36,$B$38,$B$39)*100)</f>
        <v>12.320331151328457</v>
      </c>
      <c r="D35" s="233"/>
      <c r="G35" s="15"/>
    </row>
    <row r="36" spans="1:7">
      <c r="A36" s="171" t="s">
        <v>74</v>
      </c>
      <c r="B36" s="33">
        <f>IF((($B$28-$B$32-$B$39-$B$77-$B$38)*C22/100)&lt;0,0,($B$28-$B$32-$B$39-$B$77-$B$38)*C22/100)</f>
        <v>370.06530612244904</v>
      </c>
      <c r="C36" s="167">
        <f>IF(ISERROR(B36/SUM($B$32,$B$34,$B$35,$B$36,$B$38,$B$39)*100),0,B36/SUM($B$32,$B$34,$B$35,$B$36,$B$38,$B$39)*100)</f>
        <v>3.4911821332306512</v>
      </c>
      <c r="D36" s="233"/>
      <c r="G36" s="15"/>
    </row>
    <row r="37" spans="1:7">
      <c r="A37" s="171" t="s">
        <v>75</v>
      </c>
      <c r="B37" s="34" t="s">
        <v>110</v>
      </c>
      <c r="C37" s="167"/>
      <c r="D37" s="173"/>
      <c r="G37" s="15"/>
    </row>
    <row r="38" spans="1:7">
      <c r="A38" s="171" t="s">
        <v>76</v>
      </c>
      <c r="B38" s="33">
        <f>IF((B24-(B29-B18)*0.1)&lt;0,0,B24-(B29-B18)*0.1)</f>
        <v>128.19999999999999</v>
      </c>
      <c r="C38" s="167">
        <f>IF(ISERROR(B38/SUM($B$32,$B$34,$B$35,$B$36,$B$38,$B$39)*100),0,B38/SUM($B$32,$B$34,$B$35,$B$36,$B$38,$B$39)*100)</f>
        <v>1.2094339622641508</v>
      </c>
      <c r="D38" s="234"/>
      <c r="G38" s="15"/>
    </row>
    <row r="39" spans="1:7">
      <c r="A39" s="171" t="s">
        <v>77</v>
      </c>
      <c r="B39" s="33">
        <f>IF((B25-(B29-B18))&lt;0,0,B25-(B29-B18)*0.9)</f>
        <v>463.79999999999973</v>
      </c>
      <c r="C39" s="167">
        <f>IF(ISERROR(B39/SUM($B$32,$B$34,$B$35,$B$36,$B$38,$B$39)*100),0,B39/SUM($B$32,$B$34,$B$35,$B$36,$B$38,$B$39)*100)</f>
        <v>4.3754716981132047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8037</v>
      </c>
      <c r="C44" s="34" t="s">
        <v>110</v>
      </c>
      <c r="D44" s="174"/>
    </row>
    <row r="45" spans="1:7">
      <c r="A45" s="171" t="s">
        <v>71</v>
      </c>
      <c r="B45" s="33" t="str">
        <f t="shared" si="0"/>
        <v>-</v>
      </c>
      <c r="C45" s="34" t="s">
        <v>110</v>
      </c>
      <c r="D45" s="174"/>
    </row>
    <row r="46" spans="1:7">
      <c r="A46" s="171" t="s">
        <v>72</v>
      </c>
      <c r="B46" s="33">
        <f t="shared" si="0"/>
        <v>294.9795918367347</v>
      </c>
      <c r="C46" s="34" t="s">
        <v>110</v>
      </c>
      <c r="D46" s="174"/>
    </row>
    <row r="47" spans="1:7">
      <c r="A47" s="171" t="s">
        <v>73</v>
      </c>
      <c r="B47" s="33">
        <f t="shared" si="0"/>
        <v>1305.9551020408164</v>
      </c>
      <c r="C47" s="34" t="s">
        <v>110</v>
      </c>
      <c r="D47" s="174"/>
    </row>
    <row r="48" spans="1:7">
      <c r="A48" s="171" t="s">
        <v>74</v>
      </c>
      <c r="B48" s="33">
        <f t="shared" si="0"/>
        <v>370.06530612244904</v>
      </c>
      <c r="C48" s="33">
        <f>B48*10</f>
        <v>3700.6530612244906</v>
      </c>
      <c r="D48" s="234"/>
    </row>
    <row r="49" spans="1:6">
      <c r="A49" s="171" t="s">
        <v>75</v>
      </c>
      <c r="B49" s="33" t="str">
        <f t="shared" si="0"/>
        <v>-</v>
      </c>
      <c r="C49" s="34" t="s">
        <v>110</v>
      </c>
      <c r="D49" s="234"/>
    </row>
    <row r="50" spans="1:6">
      <c r="A50" s="171" t="s">
        <v>76</v>
      </c>
      <c r="B50" s="33">
        <f t="shared" si="0"/>
        <v>128.19999999999999</v>
      </c>
      <c r="C50" s="33">
        <f>B50*2</f>
        <v>256.39999999999998</v>
      </c>
      <c r="D50" s="234"/>
    </row>
    <row r="51" spans="1:6">
      <c r="A51" s="171" t="s">
        <v>77</v>
      </c>
      <c r="B51" s="33">
        <f t="shared" si="0"/>
        <v>463.79999999999973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116</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32988.109504166721</v>
      </c>
      <c r="C5" s="17">
        <f>IF(ISERROR('Eigen informatie GS &amp; warmtenet'!B58),0,'Eigen informatie GS &amp; warmtenet'!B58)</f>
        <v>0</v>
      </c>
      <c r="D5" s="30">
        <f>SUM(D6:D12)</f>
        <v>47729.972253995271</v>
      </c>
      <c r="E5" s="17">
        <f>SUM(E6:E12)</f>
        <v>463.47344453801304</v>
      </c>
      <c r="F5" s="17">
        <f>SUM(F6:F12)</f>
        <v>5712.2419721304841</v>
      </c>
      <c r="G5" s="18"/>
      <c r="H5" s="17"/>
      <c r="I5" s="17"/>
      <c r="J5" s="17">
        <f>SUM(J6:J12)</f>
        <v>6.5453592581202369E-2</v>
      </c>
      <c r="K5" s="17"/>
      <c r="L5" s="17"/>
      <c r="M5" s="17"/>
      <c r="N5" s="17">
        <f>SUM(N6:N12)</f>
        <v>2687.7323775796704</v>
      </c>
      <c r="O5" s="17">
        <f>B38*B39*B40</f>
        <v>0</v>
      </c>
      <c r="P5" s="17">
        <f>B46*B47*B48/1000-B46*B47*B48/1000/B49</f>
        <v>0</v>
      </c>
      <c r="R5" s="32"/>
    </row>
    <row r="6" spans="1:18">
      <c r="A6" s="32" t="s">
        <v>53</v>
      </c>
      <c r="B6" s="37">
        <f>B26</f>
        <v>6858.8299005992303</v>
      </c>
      <c r="C6" s="33"/>
      <c r="D6" s="37">
        <f>IF(ISERROR(TER_kantoor_gas_kWh/1000),0,TER_kantoor_gas_kWh/1000)*0.902</f>
        <v>19371.74852779074</v>
      </c>
      <c r="E6" s="33">
        <f>$C$26*'E Balans VL '!I12/100/3.6*1000000</f>
        <v>4.2988864605869433E-2</v>
      </c>
      <c r="F6" s="33">
        <f>$C$26*('E Balans VL '!L12+'E Balans VL '!N12)/100/3.6*1000000</f>
        <v>1030.6904800738796</v>
      </c>
      <c r="G6" s="34"/>
      <c r="H6" s="33"/>
      <c r="I6" s="33"/>
      <c r="J6" s="33">
        <f>$C$26*('E Balans VL '!D12+'E Balans VL '!E12)/100/3.6*1000000</f>
        <v>0</v>
      </c>
      <c r="K6" s="33"/>
      <c r="L6" s="33"/>
      <c r="M6" s="33"/>
      <c r="N6" s="33">
        <f>$C$26*'E Balans VL '!Y12/100/3.6*1000000</f>
        <v>6.559453866787921</v>
      </c>
      <c r="O6" s="33"/>
      <c r="P6" s="33"/>
      <c r="R6" s="32"/>
    </row>
    <row r="7" spans="1:18">
      <c r="A7" s="32" t="s">
        <v>52</v>
      </c>
      <c r="B7" s="37">
        <f t="shared" ref="B7:B12" si="0">B27</f>
        <v>2352.2882410334601</v>
      </c>
      <c r="C7" s="33"/>
      <c r="D7" s="37">
        <f>IF(ISERROR(TER_horeca_gas_kWh/1000),0,TER_horeca_gas_kWh/1000)*0.902</f>
        <v>3407.6404151201746</v>
      </c>
      <c r="E7" s="33">
        <f>$C$27*'E Balans VL '!I9/100/3.6*1000000</f>
        <v>33.6843757951752</v>
      </c>
      <c r="F7" s="33">
        <f>$C$27*('E Balans VL '!L9+'E Balans VL '!N9)/100/3.6*1000000</f>
        <v>297.87727276991791</v>
      </c>
      <c r="G7" s="34"/>
      <c r="H7" s="33"/>
      <c r="I7" s="33"/>
      <c r="J7" s="33">
        <f>$C$27*('E Balans VL '!D9+'E Balans VL '!E9)/100/3.6*1000000</f>
        <v>0</v>
      </c>
      <c r="K7" s="33"/>
      <c r="L7" s="33"/>
      <c r="M7" s="33"/>
      <c r="N7" s="33">
        <f>$C$27*'E Balans VL '!Y9/100/3.6*1000000</f>
        <v>0.67623100579335071</v>
      </c>
      <c r="O7" s="33"/>
      <c r="P7" s="33"/>
      <c r="R7" s="32"/>
    </row>
    <row r="8" spans="1:18">
      <c r="A8" s="6" t="s">
        <v>51</v>
      </c>
      <c r="B8" s="37">
        <f t="shared" si="0"/>
        <v>9896.6510168820005</v>
      </c>
      <c r="C8" s="33"/>
      <c r="D8" s="37">
        <f>IF(ISERROR(TER_handel_gas_kWh/1000),0,TER_handel_gas_kWh/1000)*0.902</f>
        <v>5736.3461684191498</v>
      </c>
      <c r="E8" s="33">
        <f>$C$28*'E Balans VL '!I13/100/3.6*1000000</f>
        <v>358.95031198198251</v>
      </c>
      <c r="F8" s="33">
        <f>$C$28*('E Balans VL '!L13+'E Balans VL '!N13)/100/3.6*1000000</f>
        <v>1906.1951958141694</v>
      </c>
      <c r="G8" s="34"/>
      <c r="H8" s="33"/>
      <c r="I8" s="33"/>
      <c r="J8" s="33">
        <f>$C$28*('E Balans VL '!D13+'E Balans VL '!E13)/100/3.6*1000000</f>
        <v>0</v>
      </c>
      <c r="K8" s="33"/>
      <c r="L8" s="33"/>
      <c r="M8" s="33"/>
      <c r="N8" s="33">
        <f>$C$28*'E Balans VL '!Y13/100/3.6*1000000</f>
        <v>13.70913877622414</v>
      </c>
      <c r="O8" s="33"/>
      <c r="P8" s="33"/>
      <c r="R8" s="32"/>
    </row>
    <row r="9" spans="1:18">
      <c r="A9" s="32" t="s">
        <v>50</v>
      </c>
      <c r="B9" s="37">
        <f t="shared" si="0"/>
        <v>6111.3257114277103</v>
      </c>
      <c r="C9" s="33"/>
      <c r="D9" s="37">
        <f>IF(ISERROR(TER_gezond_gas_kWh/1000),0,TER_gezond_gas_kWh/1000)*0.902</f>
        <v>6490.2704616720112</v>
      </c>
      <c r="E9" s="33">
        <f>$C$29*'E Balans VL '!I10/100/3.6*1000000</f>
        <v>0.38262932797600552</v>
      </c>
      <c r="F9" s="33">
        <f>$C$29*('E Balans VL '!L10+'E Balans VL '!N10)/100/3.6*1000000</f>
        <v>907.85604164732047</v>
      </c>
      <c r="G9" s="34"/>
      <c r="H9" s="33"/>
      <c r="I9" s="33"/>
      <c r="J9" s="33">
        <f>$C$29*('E Balans VL '!D10+'E Balans VL '!E10)/100/3.6*1000000</f>
        <v>0</v>
      </c>
      <c r="K9" s="33"/>
      <c r="L9" s="33"/>
      <c r="M9" s="33"/>
      <c r="N9" s="33">
        <f>$C$29*'E Balans VL '!Y10/100/3.6*1000000</f>
        <v>94.530575796887973</v>
      </c>
      <c r="O9" s="33"/>
      <c r="P9" s="33"/>
      <c r="R9" s="32"/>
    </row>
    <row r="10" spans="1:18">
      <c r="A10" s="32" t="s">
        <v>49</v>
      </c>
      <c r="B10" s="37">
        <f t="shared" si="0"/>
        <v>2526.9513058965499</v>
      </c>
      <c r="C10" s="33"/>
      <c r="D10" s="37">
        <f>IF(ISERROR(TER_ander_gas_kWh/1000),0,TER_ander_gas_kWh/1000)*0.902</f>
        <v>4028.6806355074932</v>
      </c>
      <c r="E10" s="33">
        <f>$C$30*'E Balans VL '!I14/100/3.6*1000000</f>
        <v>3.0120356586466928</v>
      </c>
      <c r="F10" s="33">
        <f>$C$30*('E Balans VL '!L14+'E Balans VL '!N14)/100/3.6*1000000</f>
        <v>661.16280105410556</v>
      </c>
      <c r="G10" s="34"/>
      <c r="H10" s="33"/>
      <c r="I10" s="33"/>
      <c r="J10" s="33">
        <f>$C$30*('E Balans VL '!D14+'E Balans VL '!E14)/100/3.6*1000000</f>
        <v>5.4850207475401813E-2</v>
      </c>
      <c r="K10" s="33"/>
      <c r="L10" s="33"/>
      <c r="M10" s="33"/>
      <c r="N10" s="33">
        <f>$C$30*'E Balans VL '!Y14/100/3.6*1000000</f>
        <v>2145.825215339265</v>
      </c>
      <c r="O10" s="33"/>
      <c r="P10" s="33"/>
      <c r="R10" s="32"/>
    </row>
    <row r="11" spans="1:18">
      <c r="A11" s="32" t="s">
        <v>54</v>
      </c>
      <c r="B11" s="37">
        <f t="shared" si="0"/>
        <v>863.25903345824202</v>
      </c>
      <c r="C11" s="33"/>
      <c r="D11" s="37">
        <f>IF(ISERROR(TER_onderwijs_gas_kWh/1000),0,TER_onderwijs_gas_kWh/1000)*0.902</f>
        <v>3380.6881487280566</v>
      </c>
      <c r="E11" s="33">
        <f>$C$31*'E Balans VL '!I11/100/3.6*1000000</f>
        <v>13.025188403997742</v>
      </c>
      <c r="F11" s="33">
        <f>$C$31*('E Balans VL '!L11+'E Balans VL '!N11)/100/3.6*1000000</f>
        <v>151.25677363522036</v>
      </c>
      <c r="G11" s="34"/>
      <c r="H11" s="33"/>
      <c r="I11" s="33"/>
      <c r="J11" s="33">
        <f>$C$31*('E Balans VL '!D11+'E Balans VL '!E11)/100/3.6*1000000</f>
        <v>0</v>
      </c>
      <c r="K11" s="33"/>
      <c r="L11" s="33"/>
      <c r="M11" s="33"/>
      <c r="N11" s="33">
        <f>$C$31*'E Balans VL '!Y11/100/3.6*1000000</f>
        <v>2.4292765476024329</v>
      </c>
      <c r="O11" s="33"/>
      <c r="P11" s="33"/>
      <c r="R11" s="32"/>
    </row>
    <row r="12" spans="1:18">
      <c r="A12" s="32" t="s">
        <v>259</v>
      </c>
      <c r="B12" s="37">
        <f t="shared" si="0"/>
        <v>4378.8042948695302</v>
      </c>
      <c r="C12" s="33"/>
      <c r="D12" s="37">
        <f>IF(ISERROR(TER_rest_gas_kWh/1000),0,TER_rest_gas_kWh/1000)*0.902</f>
        <v>5314.5978967576466</v>
      </c>
      <c r="E12" s="33">
        <f>$C$32*'E Balans VL '!I8/100/3.6*1000000</f>
        <v>54.375914505629012</v>
      </c>
      <c r="F12" s="33">
        <f>$C$32*('E Balans VL '!L8+'E Balans VL '!N8)/100/3.6*1000000</f>
        <v>757.20340713587154</v>
      </c>
      <c r="G12" s="34"/>
      <c r="H12" s="33"/>
      <c r="I12" s="33"/>
      <c r="J12" s="33">
        <f>$C$32*('E Balans VL '!D8+'E Balans VL '!E8)/100/3.6*1000000</f>
        <v>1.0603385105800556E-2</v>
      </c>
      <c r="K12" s="33"/>
      <c r="L12" s="33"/>
      <c r="M12" s="33"/>
      <c r="N12" s="33">
        <f>$C$32*'E Balans VL '!Y8/100/3.6*1000000</f>
        <v>424.00248624710935</v>
      </c>
      <c r="O12" s="33"/>
      <c r="P12" s="33"/>
      <c r="R12" s="32"/>
    </row>
    <row r="13" spans="1:18">
      <c r="A13" s="16" t="s">
        <v>487</v>
      </c>
      <c r="B13" s="247">
        <f ca="1">'lokale energieproductie'!N40+'lokale energieproductie'!N33</f>
        <v>647.24999999999989</v>
      </c>
      <c r="C13" s="247">
        <f ca="1">'lokale energieproductie'!O40+'lokale energieproductie'!O33</f>
        <v>940.71428571428555</v>
      </c>
      <c r="D13" s="308">
        <f ca="1">('lokale energieproductie'!P33+'lokale energieproductie'!P40)*(-1)</f>
        <v>-1866.4285714285713</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33635.359504166721</v>
      </c>
      <c r="C16" s="21">
        <f t="shared" ca="1" si="1"/>
        <v>940.71428571428555</v>
      </c>
      <c r="D16" s="21">
        <f t="shared" ca="1" si="1"/>
        <v>45863.543682566698</v>
      </c>
      <c r="E16" s="21">
        <f t="shared" si="1"/>
        <v>463.47344453801304</v>
      </c>
      <c r="F16" s="21">
        <f t="shared" ca="1" si="1"/>
        <v>5712.2419721304841</v>
      </c>
      <c r="G16" s="21">
        <f t="shared" si="1"/>
        <v>0</v>
      </c>
      <c r="H16" s="21">
        <f t="shared" si="1"/>
        <v>0</v>
      </c>
      <c r="I16" s="21">
        <f t="shared" si="1"/>
        <v>0</v>
      </c>
      <c r="J16" s="21">
        <f t="shared" si="1"/>
        <v>6.5453592581202369E-2</v>
      </c>
      <c r="K16" s="21">
        <f t="shared" si="1"/>
        <v>0</v>
      </c>
      <c r="L16" s="21">
        <f t="shared" ca="1" si="1"/>
        <v>0</v>
      </c>
      <c r="M16" s="21">
        <f t="shared" si="1"/>
        <v>0</v>
      </c>
      <c r="N16" s="21">
        <f t="shared" ca="1" si="1"/>
        <v>2687.7323775796704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0.20972229169819778</v>
      </c>
      <c r="C18" s="25">
        <f ca="1">'EF ele_warmte'!B22</f>
        <v>0.23742257607448891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7054.0846773066023</v>
      </c>
      <c r="C20" s="23">
        <f t="shared" ref="C20:P20" ca="1" si="2">C16*C18</f>
        <v>223.34680906435847</v>
      </c>
      <c r="D20" s="23">
        <f t="shared" ca="1" si="2"/>
        <v>9264.4358238784735</v>
      </c>
      <c r="E20" s="23">
        <f t="shared" si="2"/>
        <v>105.20847191012896</v>
      </c>
      <c r="F20" s="23">
        <f t="shared" ca="1" si="2"/>
        <v>1525.1686065588394</v>
      </c>
      <c r="G20" s="23">
        <f t="shared" si="2"/>
        <v>0</v>
      </c>
      <c r="H20" s="23">
        <f t="shared" si="2"/>
        <v>0</v>
      </c>
      <c r="I20" s="23">
        <f t="shared" si="2"/>
        <v>0</v>
      </c>
      <c r="J20" s="23">
        <f t="shared" si="2"/>
        <v>2.3170571773745638E-2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6858.8299005992303</v>
      </c>
      <c r="C26" s="39">
        <f>IF(ISERROR(B26*3.6/1000000/'E Balans VL '!Z12*100),0,B26*3.6/1000000/'E Balans VL '!Z12*100)</f>
        <v>0.14498479883446269</v>
      </c>
      <c r="D26" s="237" t="s">
        <v>744</v>
      </c>
      <c r="F26" s="6"/>
    </row>
    <row r="27" spans="1:18">
      <c r="A27" s="231" t="s">
        <v>52</v>
      </c>
      <c r="B27" s="33">
        <f>IF(ISERROR(TER_horeca_ele_kWh/1000),0,TER_horeca_ele_kWh/1000)</f>
        <v>2352.2882410334601</v>
      </c>
      <c r="C27" s="39">
        <f>IF(ISERROR(B27*3.6/1000000/'E Balans VL '!Z9*100),0,B27*3.6/1000000/'E Balans VL '!Z9*100)</f>
        <v>0.18543000529808087</v>
      </c>
      <c r="D27" s="237" t="s">
        <v>744</v>
      </c>
      <c r="F27" s="6"/>
    </row>
    <row r="28" spans="1:18">
      <c r="A28" s="171" t="s">
        <v>51</v>
      </c>
      <c r="B28" s="33">
        <f>IF(ISERROR(TER_handel_ele_kWh/1000),0,TER_handel_ele_kWh/1000)</f>
        <v>9896.6510168820005</v>
      </c>
      <c r="C28" s="39">
        <f>IF(ISERROR(B28*3.6/1000000/'E Balans VL '!Z13*100),0,B28*3.6/1000000/'E Balans VL '!Z13*100)</f>
        <v>0.28724079946080577</v>
      </c>
      <c r="D28" s="237" t="s">
        <v>744</v>
      </c>
      <c r="F28" s="6"/>
    </row>
    <row r="29" spans="1:18">
      <c r="A29" s="231" t="s">
        <v>50</v>
      </c>
      <c r="B29" s="33">
        <f>IF(ISERROR(TER_gezond_ele_kWh/1000),0,TER_gezond_ele_kWh/1000)</f>
        <v>6111.3257114277103</v>
      </c>
      <c r="C29" s="39">
        <f>IF(ISERROR(B29*3.6/1000000/'E Balans VL '!Z10*100),0,B29*3.6/1000000/'E Balans VL '!Z10*100)</f>
        <v>0.643622948030388</v>
      </c>
      <c r="D29" s="237" t="s">
        <v>744</v>
      </c>
      <c r="F29" s="6"/>
    </row>
    <row r="30" spans="1:18">
      <c r="A30" s="231" t="s">
        <v>49</v>
      </c>
      <c r="B30" s="33">
        <f>IF(ISERROR(TER_ander_ele_kWh/1000),0,TER_ander_ele_kWh/1000)</f>
        <v>2526.9513058965499</v>
      </c>
      <c r="C30" s="39">
        <f>IF(ISERROR(B30*3.6/1000000/'E Balans VL '!Z14*100),0,B30*3.6/1000000/'E Balans VL '!Z14*100)</f>
        <v>0.18638847717402299</v>
      </c>
      <c r="D30" s="237" t="s">
        <v>744</v>
      </c>
      <c r="F30" s="6"/>
    </row>
    <row r="31" spans="1:18">
      <c r="A31" s="231" t="s">
        <v>54</v>
      </c>
      <c r="B31" s="33">
        <f>IF(ISERROR(TER_onderwijs_ele_kWh/1000),0,TER_onderwijs_ele_kWh/1000)</f>
        <v>863.25903345824202</v>
      </c>
      <c r="C31" s="39">
        <f>IF(ISERROR(B31*3.6/1000000/'E Balans VL '!Z11*100),0,B31*3.6/1000000/'E Balans VL '!Z11*100)</f>
        <v>0.21438765544225252</v>
      </c>
      <c r="D31" s="237" t="s">
        <v>744</v>
      </c>
    </row>
    <row r="32" spans="1:18">
      <c r="A32" s="231" t="s">
        <v>259</v>
      </c>
      <c r="B32" s="33">
        <f>IF(ISERROR(TER_rest_ele_kWh/1000),0,TER_rest_ele_kWh/1000)</f>
        <v>4378.8042948695302</v>
      </c>
      <c r="C32" s="39">
        <f>IF(ISERROR(B32*3.6/1000000/'E Balans VL '!Z8*100),0,B32*3.6/1000000/'E Balans VL '!Z8*100)</f>
        <v>3.6031747074907562E-2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58820.895933693333</v>
      </c>
      <c r="C5" s="17">
        <f>IF(ISERROR('Eigen informatie GS &amp; warmtenet'!B59),0,'Eigen informatie GS &amp; warmtenet'!B59)</f>
        <v>0</v>
      </c>
      <c r="D5" s="30">
        <f>SUM(D6:D15)</f>
        <v>92374.75593297687</v>
      </c>
      <c r="E5" s="17">
        <f>SUM(E6:E15)</f>
        <v>2208.4906812164199</v>
      </c>
      <c r="F5" s="17">
        <f>SUM(F6:F15)</f>
        <v>10245.60779150758</v>
      </c>
      <c r="G5" s="18"/>
      <c r="H5" s="17"/>
      <c r="I5" s="17"/>
      <c r="J5" s="17">
        <f>SUM(J6:J15)</f>
        <v>73.229994117773032</v>
      </c>
      <c r="K5" s="17"/>
      <c r="L5" s="17"/>
      <c r="M5" s="17"/>
      <c r="N5" s="17">
        <f>SUM(N6:N15)</f>
        <v>3656.850194007563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341.57838499128803</v>
      </c>
      <c r="C8" s="33"/>
      <c r="D8" s="37">
        <f>IF( ISERROR(IND_metaal_Gas_kWH/1000),0,IND_metaal_Gas_kWH/1000)*0.902</f>
        <v>22.54148699014646</v>
      </c>
      <c r="E8" s="33">
        <f>C30*'E Balans VL '!I18/100/3.6*1000000</f>
        <v>3.1404833504533149</v>
      </c>
      <c r="F8" s="33">
        <f>C30*'E Balans VL '!L18/100/3.6*1000000+C30*'E Balans VL '!N18/100/3.6*1000000</f>
        <v>32.028680216590558</v>
      </c>
      <c r="G8" s="34"/>
      <c r="H8" s="33"/>
      <c r="I8" s="33"/>
      <c r="J8" s="40">
        <f>C30*'E Balans VL '!D18/100/3.6*1000000+C30*'E Balans VL '!E18/100/3.6*1000000</f>
        <v>0</v>
      </c>
      <c r="K8" s="33"/>
      <c r="L8" s="33"/>
      <c r="M8" s="33"/>
      <c r="N8" s="33">
        <f>C30*'E Balans VL '!Y18/100/3.6*1000000</f>
        <v>4.8731801439528519</v>
      </c>
      <c r="O8" s="33"/>
      <c r="P8" s="33"/>
      <c r="R8" s="32"/>
    </row>
    <row r="9" spans="1:18">
      <c r="A9" s="6" t="s">
        <v>32</v>
      </c>
      <c r="B9" s="37">
        <f t="shared" si="0"/>
        <v>3330.2390698517002</v>
      </c>
      <c r="C9" s="33"/>
      <c r="D9" s="37">
        <f>IF( ISERROR(IND_andere_gas_kWh/1000),0,IND_andere_gas_kWh/1000)*0.902</f>
        <v>1474.5474788819429</v>
      </c>
      <c r="E9" s="33">
        <f>C31*'E Balans VL '!I19/100/3.6*1000000</f>
        <v>973.49371222543903</v>
      </c>
      <c r="F9" s="33">
        <f>C31*'E Balans VL '!L19/100/3.6*1000000+C31*'E Balans VL '!N19/100/3.6*1000000</f>
        <v>2676.0991685611989</v>
      </c>
      <c r="G9" s="34"/>
      <c r="H9" s="33"/>
      <c r="I9" s="33"/>
      <c r="J9" s="40">
        <f>C31*'E Balans VL '!D19/100/3.6*1000000+C31*'E Balans VL '!E19/100/3.6*1000000</f>
        <v>0</v>
      </c>
      <c r="K9" s="33"/>
      <c r="L9" s="33"/>
      <c r="M9" s="33"/>
      <c r="N9" s="33">
        <f>C31*'E Balans VL '!Y19/100/3.6*1000000</f>
        <v>261.2194296121325</v>
      </c>
      <c r="O9" s="33"/>
      <c r="P9" s="33"/>
      <c r="R9" s="32"/>
    </row>
    <row r="10" spans="1:18">
      <c r="A10" s="6" t="s">
        <v>40</v>
      </c>
      <c r="B10" s="37">
        <f t="shared" si="0"/>
        <v>281.50433109900297</v>
      </c>
      <c r="C10" s="33"/>
      <c r="D10" s="37">
        <f>IF( ISERROR(IND_voed_gas_kWh/1000),0,IND_voed_gas_kWh/1000)*0.902</f>
        <v>613.54434843888157</v>
      </c>
      <c r="E10" s="33">
        <f>C32*'E Balans VL '!I20/100/3.6*1000000</f>
        <v>0.59552677721629033</v>
      </c>
      <c r="F10" s="33">
        <f>C32*'E Balans VL '!L20/100/3.6*1000000+C32*'E Balans VL '!N20/100/3.6*1000000</f>
        <v>17.898332919516601</v>
      </c>
      <c r="G10" s="34"/>
      <c r="H10" s="33"/>
      <c r="I10" s="33"/>
      <c r="J10" s="40">
        <f>C32*'E Balans VL '!D20/100/3.6*1000000+C32*'E Balans VL '!E20/100/3.6*1000000</f>
        <v>0</v>
      </c>
      <c r="K10" s="33"/>
      <c r="L10" s="33"/>
      <c r="M10" s="33"/>
      <c r="N10" s="33">
        <f>C32*'E Balans VL '!Y20/100/3.6*1000000</f>
        <v>19.4265767984486</v>
      </c>
      <c r="O10" s="33"/>
      <c r="P10" s="33"/>
      <c r="R10" s="32"/>
    </row>
    <row r="11" spans="1:18">
      <c r="A11" s="6" t="s">
        <v>39</v>
      </c>
      <c r="B11" s="37">
        <f t="shared" si="0"/>
        <v>34310.370031552098</v>
      </c>
      <c r="C11" s="33"/>
      <c r="D11" s="37">
        <f>IF( ISERROR(IND_textiel_gas_kWh/1000),0,IND_textiel_gas_kWh/1000)*0.902</f>
        <v>0</v>
      </c>
      <c r="E11" s="33">
        <f>C33*'E Balans VL '!I21/100/3.6*1000000</f>
        <v>101.89884087113593</v>
      </c>
      <c r="F11" s="33">
        <f>C33*'E Balans VL '!L21/100/3.6*1000000+C33*'E Balans VL '!N21/100/3.6*1000000</f>
        <v>3466.2893340866412</v>
      </c>
      <c r="G11" s="34"/>
      <c r="H11" s="33"/>
      <c r="I11" s="33"/>
      <c r="J11" s="40">
        <f>C33*'E Balans VL '!D21/100/3.6*1000000+C33*'E Balans VL '!E21/100/3.6*1000000</f>
        <v>0</v>
      </c>
      <c r="K11" s="33"/>
      <c r="L11" s="33"/>
      <c r="M11" s="33"/>
      <c r="N11" s="33">
        <f>C33*'E Balans VL '!Y21/100/3.6*1000000</f>
        <v>1892.3264037853617</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106.385838493449</v>
      </c>
      <c r="C13" s="33"/>
      <c r="D13" s="37">
        <f>IF( ISERROR(IND_papier_gas_kWh/1000),0,IND_papier_gas_kWh/1000)*0.902</f>
        <v>125.90413786704211</v>
      </c>
      <c r="E13" s="33">
        <f>C35*'E Balans VL '!I23/100/3.6*1000000</f>
        <v>0.15093717456981595</v>
      </c>
      <c r="F13" s="33">
        <f>C35*'E Balans VL '!L23/100/3.6*1000000+C35*'E Balans VL '!N23/100/3.6*1000000</f>
        <v>2.5972783541699456</v>
      </c>
      <c r="G13" s="34"/>
      <c r="H13" s="33"/>
      <c r="I13" s="33"/>
      <c r="J13" s="40">
        <f>C35*'E Balans VL '!D23/100/3.6*1000000+C35*'E Balans VL '!E23/100/3.6*1000000</f>
        <v>1.6453568734128669E-2</v>
      </c>
      <c r="K13" s="33"/>
      <c r="L13" s="33"/>
      <c r="M13" s="33"/>
      <c r="N13" s="33">
        <f>C35*'E Balans VL '!Y23/100/3.6*1000000</f>
        <v>43.467711117213874</v>
      </c>
      <c r="O13" s="33"/>
      <c r="P13" s="33"/>
      <c r="R13" s="32"/>
    </row>
    <row r="14" spans="1:18">
      <c r="A14" s="6" t="s">
        <v>33</v>
      </c>
      <c r="B14" s="37">
        <f t="shared" si="0"/>
        <v>0</v>
      </c>
      <c r="C14" s="33"/>
      <c r="D14" s="37">
        <f>IF( ISERROR(IND_chemie_gas_kWh/1000),0,IND_chemie_gas_kWh/1000)*0.902</f>
        <v>672.25732664613213</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20450.818277705799</v>
      </c>
      <c r="C15" s="33"/>
      <c r="D15" s="37">
        <f>IF( ISERROR(IND_rest_gas_kWh/1000),0,IND_rest_gas_kWh/1000)*0.902</f>
        <v>89465.961154152727</v>
      </c>
      <c r="E15" s="33">
        <f>C37*'E Balans VL '!I15/100/3.6*1000000</f>
        <v>1129.2111808176055</v>
      </c>
      <c r="F15" s="33">
        <f>C37*'E Balans VL '!L15/100/3.6*1000000+C37*'E Balans VL '!N15/100/3.6*1000000</f>
        <v>4050.6949973694636</v>
      </c>
      <c r="G15" s="34"/>
      <c r="H15" s="33"/>
      <c r="I15" s="33"/>
      <c r="J15" s="40">
        <f>C37*'E Balans VL '!D15/100/3.6*1000000+C37*'E Balans VL '!E15/100/3.6*1000000</f>
        <v>73.213540549038896</v>
      </c>
      <c r="K15" s="33"/>
      <c r="L15" s="33"/>
      <c r="M15" s="33"/>
      <c r="N15" s="33">
        <f>C37*'E Balans VL '!Y15/100/3.6*1000000</f>
        <v>1435.5368925504531</v>
      </c>
      <c r="O15" s="33"/>
      <c r="P15" s="33"/>
      <c r="R15" s="32"/>
    </row>
    <row r="16" spans="1:18">
      <c r="A16" s="16" t="s">
        <v>487</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58820.895933693333</v>
      </c>
      <c r="C18" s="21">
        <f>C5+C16</f>
        <v>0</v>
      </c>
      <c r="D18" s="21">
        <f>MAX((D5+D16),0)</f>
        <v>92374.75593297687</v>
      </c>
      <c r="E18" s="21">
        <f>MAX((E5+E16),0)</f>
        <v>2208.4906812164199</v>
      </c>
      <c r="F18" s="21">
        <f>MAX((F5+F16),0)</f>
        <v>10245.60779150758</v>
      </c>
      <c r="G18" s="21"/>
      <c r="H18" s="21"/>
      <c r="I18" s="21"/>
      <c r="J18" s="21">
        <f>MAX((J5+J16),0)</f>
        <v>73.229994117773032</v>
      </c>
      <c r="K18" s="21"/>
      <c r="L18" s="21">
        <f>MAX((L5+L16),0)</f>
        <v>0</v>
      </c>
      <c r="M18" s="21"/>
      <c r="N18" s="21">
        <f>MAX((N5+N16),0)</f>
        <v>3656.850194007563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0.20972229169819778</v>
      </c>
      <c r="C20" s="25">
        <f ca="1">'EF ele_warmte'!B22</f>
        <v>0.23742257607448891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12336.053094955369</v>
      </c>
      <c r="C22" s="23">
        <f ca="1">C18*C20</f>
        <v>0</v>
      </c>
      <c r="D22" s="23">
        <f>D18*D20</f>
        <v>18659.700698461329</v>
      </c>
      <c r="E22" s="23">
        <f>E18*E20</f>
        <v>501.32738463612736</v>
      </c>
      <c r="F22" s="23">
        <f>F18*F20</f>
        <v>2735.577280332524</v>
      </c>
      <c r="G22" s="23"/>
      <c r="H22" s="23"/>
      <c r="I22" s="23"/>
      <c r="J22" s="23">
        <f>J18*J20</f>
        <v>25.923417917691651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341.57838499128803</v>
      </c>
      <c r="C30" s="39">
        <f>IF(ISERROR(B30*3.6/1000000/'E Balans VL '!Z18*100),0,B30*3.6/1000000/'E Balans VL '!Z18*100)</f>
        <v>1.9358122941721172E-2</v>
      </c>
      <c r="D30" s="237" t="s">
        <v>744</v>
      </c>
    </row>
    <row r="31" spans="1:18">
      <c r="A31" s="6" t="s">
        <v>32</v>
      </c>
      <c r="B31" s="37">
        <f>IF( ISERROR(IND_ander_ele_kWh/1000),0,IND_ander_ele_kWh/1000)</f>
        <v>3330.2390698517002</v>
      </c>
      <c r="C31" s="39">
        <f>IF(ISERROR(B31*3.6/1000000/'E Balans VL '!Z19*100),0,B31*3.6/1000000/'E Balans VL '!Z19*100)</f>
        <v>0.15104577733433497</v>
      </c>
      <c r="D31" s="237" t="s">
        <v>744</v>
      </c>
    </row>
    <row r="32" spans="1:18">
      <c r="A32" s="171" t="s">
        <v>40</v>
      </c>
      <c r="B32" s="37">
        <f>IF( ISERROR(IND_voed_ele_kWh/1000),0,IND_voed_ele_kWh/1000)</f>
        <v>281.50433109900297</v>
      </c>
      <c r="C32" s="39">
        <f>IF(ISERROR(B32*3.6/1000000/'E Balans VL '!Z20*100),0,B32*3.6/1000000/'E Balans VL '!Z20*100)</f>
        <v>8.7082068826533961E-3</v>
      </c>
      <c r="D32" s="237" t="s">
        <v>744</v>
      </c>
    </row>
    <row r="33" spans="1:5">
      <c r="A33" s="171" t="s">
        <v>39</v>
      </c>
      <c r="B33" s="37">
        <f>IF( ISERROR(IND_textiel_ele_kWh/1000),0,IND_textiel_ele_kWh/1000)</f>
        <v>34310.370031552098</v>
      </c>
      <c r="C33" s="39">
        <f>IF(ISERROR(B33*3.6/1000000/'E Balans VL '!Z21*100),0,B33*3.6/1000000/'E Balans VL '!Z21*100)</f>
        <v>4.4736908729316136</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106.385838493449</v>
      </c>
      <c r="C35" s="39">
        <f>IF(ISERROR(B35*3.6/1000000/'E Balans VL '!Z22*100),0,B35*3.6/1000000/'E Balans VL '!Z22*100)</f>
        <v>1.9135493145037426E-2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20450.818277705799</v>
      </c>
      <c r="C37" s="39">
        <f>IF(ISERROR(B37*3.6/1000000/'E Balans VL '!Z15*100),0,B37*3.6/1000000/'E Balans VL '!Z15*100)</f>
        <v>0.16209785084431536</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356.12002443504724</v>
      </c>
      <c r="C5" s="17">
        <f>'Eigen informatie GS &amp; warmtenet'!B60</f>
        <v>0</v>
      </c>
      <c r="D5" s="30">
        <f>IF(ISERROR(SUM(LB_lb_gas_kWh,LB_rest_gas_kWh)/1000),0,SUM(LB_lb_gas_kWh,LB_rest_gas_kWh)/1000)*0.902</f>
        <v>120.41820010894334</v>
      </c>
      <c r="E5" s="17">
        <f>B17*'E Balans VL '!I25/3.6*1000000/100</f>
        <v>10.467455234246486</v>
      </c>
      <c r="F5" s="17">
        <f>B17*('E Balans VL '!L25/3.6*1000000+'E Balans VL '!N25/3.6*1000000)/100</f>
        <v>1483.5767780803444</v>
      </c>
      <c r="G5" s="18"/>
      <c r="H5" s="17"/>
      <c r="I5" s="17"/>
      <c r="J5" s="17">
        <f>('E Balans VL '!D25+'E Balans VL '!E25)/3.6*1000000*landbouw!B17/100</f>
        <v>51.594143775570508</v>
      </c>
      <c r="K5" s="17"/>
      <c r="L5" s="17">
        <f>L6*(-1)</f>
        <v>0</v>
      </c>
      <c r="M5" s="17"/>
      <c r="N5" s="17">
        <f>N6*(-1)</f>
        <v>0</v>
      </c>
      <c r="O5" s="17"/>
      <c r="P5" s="17"/>
      <c r="R5" s="32"/>
    </row>
    <row r="6" spans="1:18">
      <c r="A6" s="16" t="s">
        <v>487</v>
      </c>
      <c r="B6" s="17" t="s">
        <v>210</v>
      </c>
      <c r="C6" s="17">
        <f>'lokale energieproductie'!O41+'lokale energieproductie'!O34</f>
        <v>0</v>
      </c>
      <c r="D6" s="308">
        <f>('lokale energieproductie'!P34+'lokale energieproductie'!P41)*(-1)</f>
        <v>0</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356.12002443504724</v>
      </c>
      <c r="C8" s="21">
        <f>C5+C6</f>
        <v>0</v>
      </c>
      <c r="D8" s="21">
        <f>MAX((D5+D6),0)</f>
        <v>120.41820010894334</v>
      </c>
      <c r="E8" s="21">
        <f>MAX((E5+E6),0)</f>
        <v>10.467455234246486</v>
      </c>
      <c r="F8" s="21">
        <f>MAX((F5+F6),0)</f>
        <v>1483.5767780803444</v>
      </c>
      <c r="G8" s="21"/>
      <c r="H8" s="21"/>
      <c r="I8" s="21"/>
      <c r="J8" s="21">
        <f>MAX((J5+J6),0)</f>
        <v>51.594143775570508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0.20972229169819778</v>
      </c>
      <c r="C10" s="31">
        <f ca="1">'EF ele_warmte'!B22</f>
        <v>0.23742257607448891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74.686307644136306</v>
      </c>
      <c r="C12" s="23">
        <f ca="1">C8*C10</f>
        <v>0</v>
      </c>
      <c r="D12" s="23">
        <f>D8*D10</f>
        <v>24.324476422006555</v>
      </c>
      <c r="E12" s="23">
        <f>E8*E10</f>
        <v>2.3761123381739524</v>
      </c>
      <c r="F12" s="23">
        <f>F8*F10</f>
        <v>396.11499974745198</v>
      </c>
      <c r="G12" s="23"/>
      <c r="H12" s="23"/>
      <c r="I12" s="23"/>
      <c r="J12" s="23">
        <f>J8*J10</f>
        <v>18.26432689655196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5.0534548759835929E-2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148.68141335369975</v>
      </c>
      <c r="C26" s="247">
        <f>B26*'GWP N2O_CH4'!B5</f>
        <v>3122.3096804276947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23.506566503388353</v>
      </c>
      <c r="C27" s="247">
        <f>B27*'GWP N2O_CH4'!B5</f>
        <v>493.63789657115541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1.9553789977352105</v>
      </c>
      <c r="C28" s="247">
        <f>B28*'GWP N2O_CH4'!B4</f>
        <v>606.16748929791527</v>
      </c>
      <c r="D28" s="50"/>
    </row>
    <row r="29" spans="1:4">
      <c r="A29" s="41" t="s">
        <v>276</v>
      </c>
      <c r="B29" s="247">
        <f>B34*'ha_N2O bodem landbouw'!B4</f>
        <v>9.5524621332852639</v>
      </c>
      <c r="C29" s="247">
        <f>B29*'GWP N2O_CH4'!B4</f>
        <v>2961.2632613184319</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2.1798389395667047E-3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8.8195182629774508E-5</v>
      </c>
      <c r="C5" s="437" t="s">
        <v>210</v>
      </c>
      <c r="D5" s="422">
        <f>SUM(D6:D11)</f>
        <v>2.5405839216840689E-4</v>
      </c>
      <c r="E5" s="422">
        <f>SUM(E6:E11)</f>
        <v>4.2864379153739686E-4</v>
      </c>
      <c r="F5" s="435" t="s">
        <v>210</v>
      </c>
      <c r="G5" s="422">
        <f>SUM(G6:G11)</f>
        <v>0.32226218260669981</v>
      </c>
      <c r="H5" s="422">
        <f>SUM(H6:H11)</f>
        <v>4.2844143425404047E-2</v>
      </c>
      <c r="I5" s="437" t="s">
        <v>210</v>
      </c>
      <c r="J5" s="437" t="s">
        <v>210</v>
      </c>
      <c r="K5" s="437" t="s">
        <v>210</v>
      </c>
      <c r="L5" s="437" t="s">
        <v>210</v>
      </c>
      <c r="M5" s="422">
        <f>SUM(M6:M11)</f>
        <v>2.0089607572098628E-2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6.7447651308069902E-5</v>
      </c>
      <c r="C6" s="423"/>
      <c r="D6" s="865">
        <f>vkm_GW_PW*SUMIFS(TableVerdeelsleutelVkm[CNG],TableVerdeelsleutelVkm[Voertuigtype],"Lichte voertuigen")*SUMIFS(TableECFTransport[EnergieConsumptieFactor (PJ per km)],TableECFTransport[Index],CONCATENATE($A6,"_CNG_CNG"))</f>
        <v>1.6715174853147063E-4</v>
      </c>
      <c r="E6" s="865">
        <f>vkm_GW_PW*SUMIFS(TableVerdeelsleutelVkm[LPG],TableVerdeelsleutelVkm[Voertuigtype],"Lichte voertuigen")*SUMIFS(TableECFTransport[EnergieConsumptieFactor (PJ per km)],TableECFTransport[Index],CONCATENATE($A6,"_LPG_LPG"))</f>
        <v>2.8695781212756811E-4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8.7928040825215728E-2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2.8399780338592303E-2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5.9733489063768241E-3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0.16986629242608031</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2.8415540895979373E-6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9.9245325835942491E-3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2.07475313217046E-5</v>
      </c>
      <c r="C8" s="423"/>
      <c r="D8" s="425">
        <f>vkm_NGW_PW*SUMIFS(TableVerdeelsleutelVkm[CNG],TableVerdeelsleutelVkm[Voertuigtype],"Lichte voertuigen")*SUMIFS(TableECFTransport[EnergieConsumptieFactor (PJ per km)],TableECFTransport[Index],CONCATENATE($A8,"_CNG_CNG"))</f>
        <v>8.6906643636936267E-5</v>
      </c>
      <c r="E8" s="425">
        <f>vkm_NGW_PW*SUMIFS(TableVerdeelsleutelVkm[LPG],TableVerdeelsleutelVkm[Voertuigtype],"Lichte voertuigen")*SUMIFS(TableECFTransport[EnergieConsumptieFactor (PJ per km)],TableECFTransport[Index],CONCATENATE($A8,"_LPG_LPG"))</f>
        <v>1.4168597940982875E-4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4.0837262038765053E-2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1.4441034578584162E-2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2.8110931805561982E-3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2.3630587316638755E-2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4.8695413798673751E-7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1.3806329015713559E-3</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24.498661841604033</v>
      </c>
      <c r="C14" s="21"/>
      <c r="D14" s="21">
        <f t="shared" ref="D14:M14" si="0">((D5)*10^9/3600)+D12</f>
        <v>70.571775602335251</v>
      </c>
      <c r="E14" s="21">
        <f t="shared" si="0"/>
        <v>119.06771987149912</v>
      </c>
      <c r="F14" s="21"/>
      <c r="G14" s="21">
        <f t="shared" si="0"/>
        <v>89517.2729463055</v>
      </c>
      <c r="H14" s="21">
        <f t="shared" si="0"/>
        <v>11901.150951501126</v>
      </c>
      <c r="I14" s="21"/>
      <c r="J14" s="21"/>
      <c r="K14" s="21"/>
      <c r="L14" s="21"/>
      <c r="M14" s="21">
        <f t="shared" si="0"/>
        <v>5580.4465478051743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0.20972229169819778</v>
      </c>
      <c r="C16" s="56">
        <f ca="1">'EF ele_warmte'!B22</f>
        <v>0.23742257607448891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5.1379155049603886</v>
      </c>
      <c r="C18" s="23"/>
      <c r="D18" s="23">
        <f t="shared" ref="D18:M18" si="1">D14*D16</f>
        <v>14.255498671671722</v>
      </c>
      <c r="E18" s="23">
        <f t="shared" si="1"/>
        <v>27.028372410830301</v>
      </c>
      <c r="F18" s="23"/>
      <c r="G18" s="23">
        <f t="shared" si="1"/>
        <v>23901.11187666357</v>
      </c>
      <c r="H18" s="23">
        <f t="shared" si="1"/>
        <v>2963.3865869237802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2.6262518425160669E-3</v>
      </c>
      <c r="H50" s="319">
        <f t="shared" si="2"/>
        <v>0</v>
      </c>
      <c r="I50" s="319">
        <f t="shared" si="2"/>
        <v>0</v>
      </c>
      <c r="J50" s="319">
        <f t="shared" si="2"/>
        <v>0</v>
      </c>
      <c r="K50" s="319">
        <f t="shared" si="2"/>
        <v>0</v>
      </c>
      <c r="L50" s="319">
        <f t="shared" si="2"/>
        <v>0</v>
      </c>
      <c r="M50" s="319">
        <f t="shared" si="2"/>
        <v>1.4914824348357365E-4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2.6262518425160669E-3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1.4914824348357365E-4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729.51440069890748</v>
      </c>
      <c r="H54" s="21">
        <f t="shared" si="3"/>
        <v>0</v>
      </c>
      <c r="I54" s="21">
        <f t="shared" si="3"/>
        <v>0</v>
      </c>
      <c r="J54" s="21">
        <f t="shared" si="3"/>
        <v>0</v>
      </c>
      <c r="K54" s="21">
        <f t="shared" si="3"/>
        <v>0</v>
      </c>
      <c r="L54" s="21">
        <f t="shared" si="3"/>
        <v>0</v>
      </c>
      <c r="M54" s="21">
        <f t="shared" si="3"/>
        <v>41.430067634326015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0.20972229169819778</v>
      </c>
      <c r="C56" s="56">
        <f ca="1">'EF ele_warmte'!B22</f>
        <v>0.23742257607448891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194.7803449866083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35449.28150416672</v>
      </c>
      <c r="D10" s="979">
        <f ca="1">tertiair!C16</f>
        <v>940.71428571428555</v>
      </c>
      <c r="E10" s="979">
        <f ca="1">tertiair!D16</f>
        <v>45863.543682566698</v>
      </c>
      <c r="F10" s="979">
        <f>tertiair!E16</f>
        <v>463.47344453801304</v>
      </c>
      <c r="G10" s="979">
        <f ca="1">tertiair!F16</f>
        <v>5712.2419721304841</v>
      </c>
      <c r="H10" s="979">
        <f>tertiair!G16</f>
        <v>0</v>
      </c>
      <c r="I10" s="979">
        <f>tertiair!H16</f>
        <v>0</v>
      </c>
      <c r="J10" s="979">
        <f>tertiair!I16</f>
        <v>0</v>
      </c>
      <c r="K10" s="979">
        <f>tertiair!J16</f>
        <v>6.5453592581202369E-2</v>
      </c>
      <c r="L10" s="979">
        <f>tertiair!K16</f>
        <v>0</v>
      </c>
      <c r="M10" s="979">
        <f ca="1">tertiair!L16</f>
        <v>0</v>
      </c>
      <c r="N10" s="979">
        <f>tertiair!M16</f>
        <v>0</v>
      </c>
      <c r="O10" s="979">
        <f ca="1">tertiair!N16</f>
        <v>2687.7323775796704</v>
      </c>
      <c r="P10" s="979">
        <f>tertiair!O16</f>
        <v>0</v>
      </c>
      <c r="Q10" s="980">
        <f>tertiair!P16</f>
        <v>0</v>
      </c>
      <c r="R10" s="674">
        <f ca="1">SUM(C10:Q10)</f>
        <v>91117.05272028847</v>
      </c>
      <c r="S10" s="67"/>
    </row>
    <row r="11" spans="1:19" s="447" customFormat="1">
      <c r="A11" s="783" t="s">
        <v>224</v>
      </c>
      <c r="B11" s="788"/>
      <c r="C11" s="979">
        <f>huishoudens!B8</f>
        <v>36318.497060376794</v>
      </c>
      <c r="D11" s="979">
        <f>huishoudens!C8</f>
        <v>0</v>
      </c>
      <c r="E11" s="979">
        <f>huishoudens!D8</f>
        <v>104739.62415725311</v>
      </c>
      <c r="F11" s="979">
        <f>huishoudens!E8</f>
        <v>15597.514710965463</v>
      </c>
      <c r="G11" s="979">
        <f>huishoudens!F8</f>
        <v>9674.6507255395336</v>
      </c>
      <c r="H11" s="979">
        <f>huishoudens!G8</f>
        <v>0</v>
      </c>
      <c r="I11" s="979">
        <f>huishoudens!H8</f>
        <v>0</v>
      </c>
      <c r="J11" s="979">
        <f>huishoudens!I8</f>
        <v>0</v>
      </c>
      <c r="K11" s="979">
        <f>huishoudens!J8</f>
        <v>1736.1986224288244</v>
      </c>
      <c r="L11" s="979">
        <f>huishoudens!K8</f>
        <v>0</v>
      </c>
      <c r="M11" s="979">
        <f>huishoudens!L8</f>
        <v>0</v>
      </c>
      <c r="N11" s="979">
        <f>huishoudens!M8</f>
        <v>0</v>
      </c>
      <c r="O11" s="979">
        <f>huishoudens!N8</f>
        <v>26969.816578142963</v>
      </c>
      <c r="P11" s="979">
        <f>huishoudens!O8</f>
        <v>181.34666666666669</v>
      </c>
      <c r="Q11" s="980">
        <f>huishoudens!P8</f>
        <v>514.79999999999995</v>
      </c>
      <c r="R11" s="674">
        <f>SUM(C11:Q11)</f>
        <v>195732.44852137333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58820.895933693333</v>
      </c>
      <c r="D13" s="979">
        <f>industrie!C18</f>
        <v>0</v>
      </c>
      <c r="E13" s="979">
        <f>industrie!D18</f>
        <v>92374.75593297687</v>
      </c>
      <c r="F13" s="979">
        <f>industrie!E18</f>
        <v>2208.4906812164199</v>
      </c>
      <c r="G13" s="979">
        <f>industrie!F18</f>
        <v>10245.60779150758</v>
      </c>
      <c r="H13" s="979">
        <f>industrie!G18</f>
        <v>0</v>
      </c>
      <c r="I13" s="979">
        <f>industrie!H18</f>
        <v>0</v>
      </c>
      <c r="J13" s="979">
        <f>industrie!I18</f>
        <v>0</v>
      </c>
      <c r="K13" s="979">
        <f>industrie!J18</f>
        <v>73.229994117773032</v>
      </c>
      <c r="L13" s="979">
        <f>industrie!K18</f>
        <v>0</v>
      </c>
      <c r="M13" s="979">
        <f>industrie!L18</f>
        <v>0</v>
      </c>
      <c r="N13" s="979">
        <f>industrie!M18</f>
        <v>0</v>
      </c>
      <c r="O13" s="979">
        <f>industrie!N18</f>
        <v>3656.850194007563</v>
      </c>
      <c r="P13" s="979">
        <f>industrie!O18</f>
        <v>0</v>
      </c>
      <c r="Q13" s="980">
        <f>industrie!P18</f>
        <v>0</v>
      </c>
      <c r="R13" s="674">
        <f>SUM(C13:Q13)</f>
        <v>167379.83052751955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130588.67449823685</v>
      </c>
      <c r="D16" s="706">
        <f t="shared" ref="D16:R16" ca="1" si="0">SUM(D9:D15)</f>
        <v>940.71428571428555</v>
      </c>
      <c r="E16" s="706">
        <f t="shared" ca="1" si="0"/>
        <v>242977.92377279667</v>
      </c>
      <c r="F16" s="706">
        <f t="shared" si="0"/>
        <v>18269.478836719896</v>
      </c>
      <c r="G16" s="706">
        <f t="shared" ca="1" si="0"/>
        <v>25632.500489177597</v>
      </c>
      <c r="H16" s="706">
        <f t="shared" si="0"/>
        <v>0</v>
      </c>
      <c r="I16" s="706">
        <f t="shared" si="0"/>
        <v>0</v>
      </c>
      <c r="J16" s="706">
        <f t="shared" si="0"/>
        <v>0</v>
      </c>
      <c r="K16" s="706">
        <f t="shared" si="0"/>
        <v>1809.4940701391786</v>
      </c>
      <c r="L16" s="706">
        <f t="shared" si="0"/>
        <v>0</v>
      </c>
      <c r="M16" s="706">
        <f t="shared" ca="1" si="0"/>
        <v>0</v>
      </c>
      <c r="N16" s="706">
        <f t="shared" si="0"/>
        <v>0</v>
      </c>
      <c r="O16" s="706">
        <f t="shared" ca="1" si="0"/>
        <v>33314.399149730198</v>
      </c>
      <c r="P16" s="706">
        <f t="shared" si="0"/>
        <v>181.34666666666669</v>
      </c>
      <c r="Q16" s="706">
        <f t="shared" si="0"/>
        <v>514.79999999999995</v>
      </c>
      <c r="R16" s="706">
        <f t="shared" ca="1" si="0"/>
        <v>454229.3317691813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729.51440069890748</v>
      </c>
      <c r="I19" s="979">
        <f>transport!H54</f>
        <v>0</v>
      </c>
      <c r="J19" s="979">
        <f>transport!I54</f>
        <v>0</v>
      </c>
      <c r="K19" s="979">
        <f>transport!J54</f>
        <v>0</v>
      </c>
      <c r="L19" s="979">
        <f>transport!K54</f>
        <v>0</v>
      </c>
      <c r="M19" s="979">
        <f>transport!L54</f>
        <v>0</v>
      </c>
      <c r="N19" s="979">
        <f>transport!M54</f>
        <v>41.430067634326015</v>
      </c>
      <c r="O19" s="979">
        <f>transport!N54</f>
        <v>0</v>
      </c>
      <c r="P19" s="979">
        <f>transport!O54</f>
        <v>0</v>
      </c>
      <c r="Q19" s="980">
        <f>transport!P54</f>
        <v>0</v>
      </c>
      <c r="R19" s="674">
        <f>SUM(C19:Q19)</f>
        <v>770.94446833323354</v>
      </c>
      <c r="S19" s="67"/>
    </row>
    <row r="20" spans="1:19" s="447" customFormat="1">
      <c r="A20" s="783" t="s">
        <v>306</v>
      </c>
      <c r="B20" s="788"/>
      <c r="C20" s="979">
        <f>transport!B14</f>
        <v>24.498661841604033</v>
      </c>
      <c r="D20" s="979">
        <f>transport!C14</f>
        <v>0</v>
      </c>
      <c r="E20" s="979">
        <f>transport!D14</f>
        <v>70.571775602335251</v>
      </c>
      <c r="F20" s="979">
        <f>transport!E14</f>
        <v>119.06771987149912</v>
      </c>
      <c r="G20" s="979">
        <f>transport!F14</f>
        <v>0</v>
      </c>
      <c r="H20" s="979">
        <f>transport!G14</f>
        <v>89517.2729463055</v>
      </c>
      <c r="I20" s="979">
        <f>transport!H14</f>
        <v>11901.150951501126</v>
      </c>
      <c r="J20" s="979">
        <f>transport!I14</f>
        <v>0</v>
      </c>
      <c r="K20" s="979">
        <f>transport!J14</f>
        <v>0</v>
      </c>
      <c r="L20" s="979">
        <f>transport!K14</f>
        <v>0</v>
      </c>
      <c r="M20" s="979">
        <f>transport!L14</f>
        <v>0</v>
      </c>
      <c r="N20" s="979">
        <f>transport!M14</f>
        <v>5580.4465478051743</v>
      </c>
      <c r="O20" s="979">
        <f>transport!N14</f>
        <v>0</v>
      </c>
      <c r="P20" s="979">
        <f>transport!O14</f>
        <v>0</v>
      </c>
      <c r="Q20" s="980">
        <f>transport!P14</f>
        <v>0</v>
      </c>
      <c r="R20" s="674">
        <f>SUM(C20:Q20)</f>
        <v>107213.00860292724</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24.498661841604033</v>
      </c>
      <c r="D22" s="786">
        <f t="shared" ref="D22:R22" si="1">SUM(D18:D21)</f>
        <v>0</v>
      </c>
      <c r="E22" s="786">
        <f t="shared" si="1"/>
        <v>70.571775602335251</v>
      </c>
      <c r="F22" s="786">
        <f t="shared" si="1"/>
        <v>119.06771987149912</v>
      </c>
      <c r="G22" s="786">
        <f t="shared" si="1"/>
        <v>0</v>
      </c>
      <c r="H22" s="786">
        <f t="shared" si="1"/>
        <v>90246.787347004414</v>
      </c>
      <c r="I22" s="786">
        <f t="shared" si="1"/>
        <v>11901.150951501126</v>
      </c>
      <c r="J22" s="786">
        <f t="shared" si="1"/>
        <v>0</v>
      </c>
      <c r="K22" s="786">
        <f t="shared" si="1"/>
        <v>0</v>
      </c>
      <c r="L22" s="786">
        <f t="shared" si="1"/>
        <v>0</v>
      </c>
      <c r="M22" s="786">
        <f t="shared" si="1"/>
        <v>0</v>
      </c>
      <c r="N22" s="786">
        <f t="shared" si="1"/>
        <v>5621.8766154395007</v>
      </c>
      <c r="O22" s="786">
        <f t="shared" si="1"/>
        <v>0</v>
      </c>
      <c r="P22" s="786">
        <f t="shared" si="1"/>
        <v>0</v>
      </c>
      <c r="Q22" s="786">
        <f t="shared" si="1"/>
        <v>0</v>
      </c>
      <c r="R22" s="786">
        <f t="shared" si="1"/>
        <v>107983.95307126048</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356.12002443504724</v>
      </c>
      <c r="D24" s="979">
        <f>+landbouw!C8</f>
        <v>0</v>
      </c>
      <c r="E24" s="979">
        <f>+landbouw!D8</f>
        <v>120.41820010894334</v>
      </c>
      <c r="F24" s="979">
        <f>+landbouw!E8</f>
        <v>10.467455234246486</v>
      </c>
      <c r="G24" s="979">
        <f>+landbouw!F8</f>
        <v>1483.5767780803444</v>
      </c>
      <c r="H24" s="979">
        <f>+landbouw!G8</f>
        <v>0</v>
      </c>
      <c r="I24" s="979">
        <f>+landbouw!H8</f>
        <v>0</v>
      </c>
      <c r="J24" s="979">
        <f>+landbouw!I8</f>
        <v>0</v>
      </c>
      <c r="K24" s="979">
        <f>+landbouw!J8</f>
        <v>51.594143775570508</v>
      </c>
      <c r="L24" s="979">
        <f>+landbouw!K8</f>
        <v>0</v>
      </c>
      <c r="M24" s="979">
        <f>+landbouw!L8</f>
        <v>0</v>
      </c>
      <c r="N24" s="979">
        <f>+landbouw!M8</f>
        <v>0</v>
      </c>
      <c r="O24" s="979">
        <f>+landbouw!N8</f>
        <v>0</v>
      </c>
      <c r="P24" s="979">
        <f>+landbouw!O8</f>
        <v>0</v>
      </c>
      <c r="Q24" s="980">
        <f>+landbouw!P8</f>
        <v>0</v>
      </c>
      <c r="R24" s="674">
        <f>SUM(C24:Q24)</f>
        <v>2022.1766016341519</v>
      </c>
      <c r="S24" s="67"/>
    </row>
    <row r="25" spans="1:19" s="447" customFormat="1" ht="15" thickBot="1">
      <c r="A25" s="805" t="s">
        <v>823</v>
      </c>
      <c r="B25" s="982"/>
      <c r="C25" s="983">
        <f>IF(Onbekend_ele_kWh="---",0,Onbekend_ele_kWh)/1000+IF(REST_rest_ele_kWh="---",0,REST_rest_ele_kWh)/1000</f>
        <v>1755.5107261017199</v>
      </c>
      <c r="D25" s="983"/>
      <c r="E25" s="983">
        <f>IF(onbekend_gas_kWh="---",0,onbekend_gas_kWh)/1000+IF(REST_rest_gas_kWh="---",0,REST_rest_gas_kWh)/1000</f>
        <v>7227.8456760499002</v>
      </c>
      <c r="F25" s="983"/>
      <c r="G25" s="983"/>
      <c r="H25" s="983"/>
      <c r="I25" s="983"/>
      <c r="J25" s="983"/>
      <c r="K25" s="983"/>
      <c r="L25" s="983"/>
      <c r="M25" s="983"/>
      <c r="N25" s="983"/>
      <c r="O25" s="983"/>
      <c r="P25" s="983"/>
      <c r="Q25" s="984"/>
      <c r="R25" s="674">
        <f>SUM(C25:Q25)</f>
        <v>8983.3564021516195</v>
      </c>
      <c r="S25" s="67"/>
    </row>
    <row r="26" spans="1:19" s="447" customFormat="1" ht="15.75" thickBot="1">
      <c r="A26" s="679" t="s">
        <v>824</v>
      </c>
      <c r="B26" s="791"/>
      <c r="C26" s="786">
        <f>SUM(C24:C25)</f>
        <v>2111.6307505367672</v>
      </c>
      <c r="D26" s="786">
        <f t="shared" ref="D26:R26" si="2">SUM(D24:D25)</f>
        <v>0</v>
      </c>
      <c r="E26" s="786">
        <f t="shared" si="2"/>
        <v>7348.2638761588432</v>
      </c>
      <c r="F26" s="786">
        <f t="shared" si="2"/>
        <v>10.467455234246486</v>
      </c>
      <c r="G26" s="786">
        <f t="shared" si="2"/>
        <v>1483.5767780803444</v>
      </c>
      <c r="H26" s="786">
        <f t="shared" si="2"/>
        <v>0</v>
      </c>
      <c r="I26" s="786">
        <f t="shared" si="2"/>
        <v>0</v>
      </c>
      <c r="J26" s="786">
        <f t="shared" si="2"/>
        <v>0</v>
      </c>
      <c r="K26" s="786">
        <f t="shared" si="2"/>
        <v>51.594143775570508</v>
      </c>
      <c r="L26" s="786">
        <f t="shared" si="2"/>
        <v>0</v>
      </c>
      <c r="M26" s="786">
        <f t="shared" si="2"/>
        <v>0</v>
      </c>
      <c r="N26" s="786">
        <f t="shared" si="2"/>
        <v>0</v>
      </c>
      <c r="O26" s="786">
        <f t="shared" si="2"/>
        <v>0</v>
      </c>
      <c r="P26" s="786">
        <f t="shared" si="2"/>
        <v>0</v>
      </c>
      <c r="Q26" s="786">
        <f t="shared" si="2"/>
        <v>0</v>
      </c>
      <c r="R26" s="786">
        <f t="shared" si="2"/>
        <v>11005.533003785771</v>
      </c>
      <c r="S26" s="67"/>
    </row>
    <row r="27" spans="1:19" s="447" customFormat="1" ht="17.25" thickTop="1" thickBot="1">
      <c r="A27" s="680" t="s">
        <v>115</v>
      </c>
      <c r="B27" s="779"/>
      <c r="C27" s="681">
        <f ca="1">C22+C16+C26</f>
        <v>132724.80391061521</v>
      </c>
      <c r="D27" s="681">
        <f t="shared" ref="D27:R27" ca="1" si="3">D22+D16+D26</f>
        <v>940.71428571428555</v>
      </c>
      <c r="E27" s="681">
        <f t="shared" ca="1" si="3"/>
        <v>250396.75942455782</v>
      </c>
      <c r="F27" s="681">
        <f t="shared" si="3"/>
        <v>18399.014011825642</v>
      </c>
      <c r="G27" s="681">
        <f t="shared" ca="1" si="3"/>
        <v>27116.077267257941</v>
      </c>
      <c r="H27" s="681">
        <f t="shared" si="3"/>
        <v>90246.787347004414</v>
      </c>
      <c r="I27" s="681">
        <f t="shared" si="3"/>
        <v>11901.150951501126</v>
      </c>
      <c r="J27" s="681">
        <f t="shared" si="3"/>
        <v>0</v>
      </c>
      <c r="K27" s="681">
        <f t="shared" si="3"/>
        <v>1861.0882139147491</v>
      </c>
      <c r="L27" s="681">
        <f t="shared" si="3"/>
        <v>0</v>
      </c>
      <c r="M27" s="681">
        <f t="shared" ca="1" si="3"/>
        <v>0</v>
      </c>
      <c r="N27" s="681">
        <f t="shared" si="3"/>
        <v>5621.8766154395007</v>
      </c>
      <c r="O27" s="681">
        <f t="shared" ca="1" si="3"/>
        <v>33314.399149730198</v>
      </c>
      <c r="P27" s="681">
        <f t="shared" si="3"/>
        <v>181.34666666666669</v>
      </c>
      <c r="Q27" s="681">
        <f t="shared" si="3"/>
        <v>514.79999999999995</v>
      </c>
      <c r="R27" s="681">
        <f t="shared" ca="1" si="3"/>
        <v>573218.81784422754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7434.5045561083807</v>
      </c>
      <c r="D40" s="979">
        <f ca="1">tertiair!C20</f>
        <v>223.34680906435847</v>
      </c>
      <c r="E40" s="979">
        <f ca="1">tertiair!D20</f>
        <v>9264.4358238784735</v>
      </c>
      <c r="F40" s="979">
        <f>tertiair!E20</f>
        <v>105.20847191012896</v>
      </c>
      <c r="G40" s="979">
        <f ca="1">tertiair!F20</f>
        <v>1525.1686065588394</v>
      </c>
      <c r="H40" s="979">
        <f>tertiair!G20</f>
        <v>0</v>
      </c>
      <c r="I40" s="979">
        <f>tertiair!H20</f>
        <v>0</v>
      </c>
      <c r="J40" s="979">
        <f>tertiair!I20</f>
        <v>0</v>
      </c>
      <c r="K40" s="979">
        <f>tertiair!J20</f>
        <v>2.3170571773745638E-2</v>
      </c>
      <c r="L40" s="979">
        <f>tertiair!K20</f>
        <v>0</v>
      </c>
      <c r="M40" s="979">
        <f ca="1">tertiair!L20</f>
        <v>0</v>
      </c>
      <c r="N40" s="979">
        <f>tertiair!M20</f>
        <v>0</v>
      </c>
      <c r="O40" s="979">
        <f ca="1">tertiair!N20</f>
        <v>0</v>
      </c>
      <c r="P40" s="979">
        <f>tertiair!O20</f>
        <v>0</v>
      </c>
      <c r="Q40" s="748">
        <f>tertiair!P20</f>
        <v>0</v>
      </c>
      <c r="R40" s="824">
        <f t="shared" ca="1" si="4"/>
        <v>18552.687438091954</v>
      </c>
    </row>
    <row r="41" spans="1:18">
      <c r="A41" s="796" t="s">
        <v>224</v>
      </c>
      <c r="B41" s="803"/>
      <c r="C41" s="979">
        <f ca="1">huishoudens!B12</f>
        <v>7616.7984345364803</v>
      </c>
      <c r="D41" s="979">
        <f ca="1">huishoudens!C12</f>
        <v>0</v>
      </c>
      <c r="E41" s="979">
        <f>huishoudens!D12</f>
        <v>21157.404079765129</v>
      </c>
      <c r="F41" s="979">
        <f>huishoudens!E12</f>
        <v>3540.6358393891601</v>
      </c>
      <c r="G41" s="979">
        <f>huishoudens!F12</f>
        <v>2583.1317437190555</v>
      </c>
      <c r="H41" s="979">
        <f>huishoudens!G12</f>
        <v>0</v>
      </c>
      <c r="I41" s="979">
        <f>huishoudens!H12</f>
        <v>0</v>
      </c>
      <c r="J41" s="979">
        <f>huishoudens!I12</f>
        <v>0</v>
      </c>
      <c r="K41" s="979">
        <f>huishoudens!J12</f>
        <v>614.61431233980375</v>
      </c>
      <c r="L41" s="979">
        <f>huishoudens!K12</f>
        <v>0</v>
      </c>
      <c r="M41" s="979">
        <f>huishoudens!L12</f>
        <v>0</v>
      </c>
      <c r="N41" s="979">
        <f>huishoudens!M12</f>
        <v>0</v>
      </c>
      <c r="O41" s="979">
        <f>huishoudens!N12</f>
        <v>0</v>
      </c>
      <c r="P41" s="979">
        <f>huishoudens!O12</f>
        <v>0</v>
      </c>
      <c r="Q41" s="748">
        <f>huishoudens!P12</f>
        <v>0</v>
      </c>
      <c r="R41" s="824">
        <f t="shared" ca="1" si="4"/>
        <v>35512.58440974963</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12336.053094955369</v>
      </c>
      <c r="D43" s="979">
        <f ca="1">industrie!C22</f>
        <v>0</v>
      </c>
      <c r="E43" s="979">
        <f>industrie!D22</f>
        <v>18659.700698461329</v>
      </c>
      <c r="F43" s="979">
        <f>industrie!E22</f>
        <v>501.32738463612736</v>
      </c>
      <c r="G43" s="979">
        <f>industrie!F22</f>
        <v>2735.577280332524</v>
      </c>
      <c r="H43" s="979">
        <f>industrie!G22</f>
        <v>0</v>
      </c>
      <c r="I43" s="979">
        <f>industrie!H22</f>
        <v>0</v>
      </c>
      <c r="J43" s="979">
        <f>industrie!I22</f>
        <v>0</v>
      </c>
      <c r="K43" s="979">
        <f>industrie!J22</f>
        <v>25.923417917691651</v>
      </c>
      <c r="L43" s="979">
        <f>industrie!K22</f>
        <v>0</v>
      </c>
      <c r="M43" s="979">
        <f>industrie!L22</f>
        <v>0</v>
      </c>
      <c r="N43" s="979">
        <f>industrie!M22</f>
        <v>0</v>
      </c>
      <c r="O43" s="979">
        <f>industrie!N22</f>
        <v>0</v>
      </c>
      <c r="P43" s="979">
        <f>industrie!O22</f>
        <v>0</v>
      </c>
      <c r="Q43" s="748">
        <f>industrie!P22</f>
        <v>0</v>
      </c>
      <c r="R43" s="823">
        <f t="shared" ca="1" si="4"/>
        <v>34258.58187630304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27387.35608560023</v>
      </c>
      <c r="D46" s="706">
        <f t="shared" ref="D46:Q46" ca="1" si="5">SUM(D39:D45)</f>
        <v>223.34680906435847</v>
      </c>
      <c r="E46" s="706">
        <f t="shared" ca="1" si="5"/>
        <v>49081.540602104928</v>
      </c>
      <c r="F46" s="706">
        <f t="shared" si="5"/>
        <v>4147.1716959354162</v>
      </c>
      <c r="G46" s="706">
        <f t="shared" ca="1" si="5"/>
        <v>6843.8776306104191</v>
      </c>
      <c r="H46" s="706">
        <f t="shared" si="5"/>
        <v>0</v>
      </c>
      <c r="I46" s="706">
        <f t="shared" si="5"/>
        <v>0</v>
      </c>
      <c r="J46" s="706">
        <f t="shared" si="5"/>
        <v>0</v>
      </c>
      <c r="K46" s="706">
        <f t="shared" si="5"/>
        <v>640.56090082926914</v>
      </c>
      <c r="L46" s="706">
        <f t="shared" si="5"/>
        <v>0</v>
      </c>
      <c r="M46" s="706">
        <f t="shared" ca="1" si="5"/>
        <v>0</v>
      </c>
      <c r="N46" s="706">
        <f t="shared" si="5"/>
        <v>0</v>
      </c>
      <c r="O46" s="706">
        <f t="shared" ca="1" si="5"/>
        <v>0</v>
      </c>
      <c r="P46" s="706">
        <f t="shared" si="5"/>
        <v>0</v>
      </c>
      <c r="Q46" s="706">
        <f t="shared" si="5"/>
        <v>0</v>
      </c>
      <c r="R46" s="706">
        <f ca="1">SUM(R39:R45)</f>
        <v>88323.853724144632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194.7803449866083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194.7803449866083</v>
      </c>
    </row>
    <row r="50" spans="1:18">
      <c r="A50" s="799" t="s">
        <v>306</v>
      </c>
      <c r="B50" s="809"/>
      <c r="C50" s="677">
        <f ca="1">transport!B18</f>
        <v>5.1379155049603886</v>
      </c>
      <c r="D50" s="677">
        <f>transport!C18</f>
        <v>0</v>
      </c>
      <c r="E50" s="677">
        <f>transport!D18</f>
        <v>14.255498671671722</v>
      </c>
      <c r="F50" s="677">
        <f>transport!E18</f>
        <v>27.028372410830301</v>
      </c>
      <c r="G50" s="677">
        <f>transport!F18</f>
        <v>0</v>
      </c>
      <c r="H50" s="677">
        <f>transport!G18</f>
        <v>23901.11187666357</v>
      </c>
      <c r="I50" s="677">
        <f>transport!H18</f>
        <v>2963.3865869237802</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26910.920250174815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5.1379155049603886</v>
      </c>
      <c r="D52" s="706">
        <f t="shared" ref="D52:Q52" ca="1" si="6">SUM(D48:D51)</f>
        <v>0</v>
      </c>
      <c r="E52" s="706">
        <f t="shared" si="6"/>
        <v>14.255498671671722</v>
      </c>
      <c r="F52" s="706">
        <f t="shared" si="6"/>
        <v>27.028372410830301</v>
      </c>
      <c r="G52" s="706">
        <f t="shared" si="6"/>
        <v>0</v>
      </c>
      <c r="H52" s="706">
        <f t="shared" si="6"/>
        <v>24095.892221650178</v>
      </c>
      <c r="I52" s="706">
        <f t="shared" si="6"/>
        <v>2963.3865869237802</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27105.700595161423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74.686307644136306</v>
      </c>
      <c r="D54" s="677">
        <f ca="1">+landbouw!C12</f>
        <v>0</v>
      </c>
      <c r="E54" s="677">
        <f>+landbouw!D12</f>
        <v>24.324476422006555</v>
      </c>
      <c r="F54" s="677">
        <f>+landbouw!E12</f>
        <v>2.3761123381739524</v>
      </c>
      <c r="G54" s="677">
        <f>+landbouw!F12</f>
        <v>396.11499974745198</v>
      </c>
      <c r="H54" s="677">
        <f>+landbouw!G12</f>
        <v>0</v>
      </c>
      <c r="I54" s="677">
        <f>+landbouw!H12</f>
        <v>0</v>
      </c>
      <c r="J54" s="677">
        <f>+landbouw!I12</f>
        <v>0</v>
      </c>
      <c r="K54" s="677">
        <f>+landbouw!J12</f>
        <v>18.26432689655196</v>
      </c>
      <c r="L54" s="677">
        <f>+landbouw!K12</f>
        <v>0</v>
      </c>
      <c r="M54" s="677">
        <f>+landbouw!L12</f>
        <v>0</v>
      </c>
      <c r="N54" s="677">
        <f>+landbouw!M12</f>
        <v>0</v>
      </c>
      <c r="O54" s="677">
        <f>+landbouw!N12</f>
        <v>0</v>
      </c>
      <c r="P54" s="677">
        <f>+landbouw!O12</f>
        <v>0</v>
      </c>
      <c r="Q54" s="678">
        <f>+landbouw!P12</f>
        <v>0</v>
      </c>
      <c r="R54" s="705">
        <f ca="1">SUM(C54:Q54)</f>
        <v>515.76622304832074</v>
      </c>
    </row>
    <row r="55" spans="1:18" ht="15" thickBot="1">
      <c r="A55" s="799" t="s">
        <v>823</v>
      </c>
      <c r="B55" s="809"/>
      <c r="C55" s="677">
        <f ca="1">C25*'EF ele_warmte'!B12</f>
        <v>368.16973257881989</v>
      </c>
      <c r="D55" s="677"/>
      <c r="E55" s="677">
        <f>E25*EF_CO2_aardgas</f>
        <v>1460.0248265620799</v>
      </c>
      <c r="F55" s="677"/>
      <c r="G55" s="677"/>
      <c r="H55" s="677"/>
      <c r="I55" s="677"/>
      <c r="J55" s="677"/>
      <c r="K55" s="677"/>
      <c r="L55" s="677"/>
      <c r="M55" s="677"/>
      <c r="N55" s="677"/>
      <c r="O55" s="677"/>
      <c r="P55" s="677"/>
      <c r="Q55" s="678"/>
      <c r="R55" s="705">
        <f ca="1">SUM(C55:Q55)</f>
        <v>1828.1945591408999</v>
      </c>
    </row>
    <row r="56" spans="1:18" ht="15.75" thickBot="1">
      <c r="A56" s="797" t="s">
        <v>824</v>
      </c>
      <c r="B56" s="810"/>
      <c r="C56" s="706">
        <f ca="1">SUM(C54:C55)</f>
        <v>442.85604022295621</v>
      </c>
      <c r="D56" s="706">
        <f t="shared" ref="D56:Q56" ca="1" si="7">SUM(D54:D55)</f>
        <v>0</v>
      </c>
      <c r="E56" s="706">
        <f t="shared" si="7"/>
        <v>1484.3493029840863</v>
      </c>
      <c r="F56" s="706">
        <f t="shared" si="7"/>
        <v>2.3761123381739524</v>
      </c>
      <c r="G56" s="706">
        <f t="shared" si="7"/>
        <v>396.11499974745198</v>
      </c>
      <c r="H56" s="706">
        <f t="shared" si="7"/>
        <v>0</v>
      </c>
      <c r="I56" s="706">
        <f t="shared" si="7"/>
        <v>0</v>
      </c>
      <c r="J56" s="706">
        <f t="shared" si="7"/>
        <v>0</v>
      </c>
      <c r="K56" s="706">
        <f t="shared" si="7"/>
        <v>18.26432689655196</v>
      </c>
      <c r="L56" s="706">
        <f t="shared" si="7"/>
        <v>0</v>
      </c>
      <c r="M56" s="706">
        <f t="shared" si="7"/>
        <v>0</v>
      </c>
      <c r="N56" s="706">
        <f t="shared" si="7"/>
        <v>0</v>
      </c>
      <c r="O56" s="706">
        <f t="shared" si="7"/>
        <v>0</v>
      </c>
      <c r="P56" s="706">
        <f t="shared" si="7"/>
        <v>0</v>
      </c>
      <c r="Q56" s="707">
        <f t="shared" si="7"/>
        <v>0</v>
      </c>
      <c r="R56" s="708">
        <f ca="1">SUM(R54:R55)</f>
        <v>2343.9607821892205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27835.350041328147</v>
      </c>
      <c r="D61" s="714">
        <f t="shared" ref="D61:Q61" ca="1" si="8">D46+D52+D56</f>
        <v>223.34680906435847</v>
      </c>
      <c r="E61" s="714">
        <f t="shared" ca="1" si="8"/>
        <v>50580.145403760682</v>
      </c>
      <c r="F61" s="714">
        <f t="shared" si="8"/>
        <v>4176.5761806844203</v>
      </c>
      <c r="G61" s="714">
        <f t="shared" ca="1" si="8"/>
        <v>7239.9926303578713</v>
      </c>
      <c r="H61" s="714">
        <f t="shared" si="8"/>
        <v>24095.892221650178</v>
      </c>
      <c r="I61" s="714">
        <f t="shared" si="8"/>
        <v>2963.3865869237802</v>
      </c>
      <c r="J61" s="714">
        <f t="shared" si="8"/>
        <v>0</v>
      </c>
      <c r="K61" s="714">
        <f t="shared" si="8"/>
        <v>658.82522772582115</v>
      </c>
      <c r="L61" s="714">
        <f t="shared" si="8"/>
        <v>0</v>
      </c>
      <c r="M61" s="714">
        <f t="shared" ca="1" si="8"/>
        <v>0</v>
      </c>
      <c r="N61" s="714">
        <f t="shared" si="8"/>
        <v>0</v>
      </c>
      <c r="O61" s="714">
        <f t="shared" ca="1" si="8"/>
        <v>0</v>
      </c>
      <c r="P61" s="714">
        <f t="shared" si="8"/>
        <v>0</v>
      </c>
      <c r="Q61" s="714">
        <f t="shared" si="8"/>
        <v>0</v>
      </c>
      <c r="R61" s="714">
        <f ca="1">R46+R52+R56</f>
        <v>117773.51510149529</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0.20972229169819778</v>
      </c>
      <c r="D63" s="755">
        <f t="shared" ca="1" si="9"/>
        <v>0.23742257607448891</v>
      </c>
      <c r="E63" s="990">
        <f t="shared" ca="1" si="9"/>
        <v>0.20200000000000001</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6821.0911098734377</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647.24999999999989</v>
      </c>
      <c r="D76" s="1000">
        <f>'lokale energieproductie'!C8</f>
        <v>760.75129883273735</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153.67176236421295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6821.0911098734377</v>
      </c>
      <c r="C78" s="729">
        <f>SUM(C72:C77)</f>
        <v>647.24999999999989</v>
      </c>
      <c r="D78" s="730">
        <f t="shared" ref="D78:H78" si="10">SUM(D76:D77)</f>
        <v>760.75129883273735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153.67176236421295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940.71428571428555</v>
      </c>
      <c r="D87" s="751">
        <f>'lokale energieproductie'!C17</f>
        <v>1105.677272595834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223.34680906435847</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940.71428571428555</v>
      </c>
      <c r="D90" s="729">
        <f t="shared" ref="D90:H90" si="12">SUM(D87:D89)</f>
        <v>1105.677272595834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223.34680906435847</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6821.0911098734377</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647.24999999999989</v>
      </c>
      <c r="C8" s="544">
        <f>B50</f>
        <v>760.75129883273735</v>
      </c>
      <c r="D8" s="1010"/>
      <c r="E8" s="1010">
        <f>E50</f>
        <v>0</v>
      </c>
      <c r="F8" s="1011"/>
      <c r="G8" s="545"/>
      <c r="H8" s="1010">
        <f>I50</f>
        <v>0</v>
      </c>
      <c r="I8" s="1010">
        <f>G50+F50</f>
        <v>0</v>
      </c>
      <c r="J8" s="1010">
        <f>H50+D50+C50</f>
        <v>0</v>
      </c>
      <c r="K8" s="1010"/>
      <c r="L8" s="1010"/>
      <c r="M8" s="1010"/>
      <c r="N8" s="546"/>
      <c r="O8" s="547">
        <f>C8*$C$12+D8*$D$12+E8*$E$12+F8*$F$12+G8*$G$12+H8*$H$12+I8*$I$12+J8*$J$12</f>
        <v>153.67176236421295</v>
      </c>
      <c r="P8" s="1250"/>
      <c r="Q8" s="1251"/>
      <c r="S8" s="973"/>
      <c r="T8" s="1225"/>
      <c r="U8" s="1225"/>
    </row>
    <row r="9" spans="1:21" s="533" customFormat="1" ht="17.45" customHeight="1" thickBot="1">
      <c r="A9" s="548" t="s">
        <v>247</v>
      </c>
      <c r="B9" s="549">
        <f>N38+'Eigen informatie GS &amp; warmtenet'!B12</f>
        <v>0</v>
      </c>
      <c r="C9" s="550">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7468.3411098734377</v>
      </c>
      <c r="C10" s="557">
        <f t="shared" ref="C10:L10" si="0">SUM(C8:C9)</f>
        <v>760.75129883273735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153.67176236421295</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940.71428571428555</v>
      </c>
      <c r="C17" s="569">
        <f>B51</f>
        <v>1105.677272595834</v>
      </c>
      <c r="D17" s="570"/>
      <c r="E17" s="570">
        <f>E51</f>
        <v>0</v>
      </c>
      <c r="F17" s="1016"/>
      <c r="G17" s="571"/>
      <c r="H17" s="569">
        <f>I51</f>
        <v>0</v>
      </c>
      <c r="I17" s="570">
        <f>G51+F51</f>
        <v>0</v>
      </c>
      <c r="J17" s="570">
        <f>H51+D51+C51</f>
        <v>0</v>
      </c>
      <c r="K17" s="570"/>
      <c r="L17" s="570"/>
      <c r="M17" s="570"/>
      <c r="N17" s="1017"/>
      <c r="O17" s="572">
        <f>C17*$C$22+E17*$E$22+H17*$H$22+I17*$I$22+J17*$J$22+D17*$D$22+F17*$F$22+G17*$G$22+K17*$K$22+L17*$L$22</f>
        <v>223.34680906435847</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940.71428571428555</v>
      </c>
      <c r="C20" s="556">
        <f>SUM(C17:C19)</f>
        <v>1105.677272595834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223.34680906435847</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45041</v>
      </c>
      <c r="C28" s="770">
        <v>9600</v>
      </c>
      <c r="D28" s="627" t="s">
        <v>887</v>
      </c>
      <c r="E28" s="626" t="s">
        <v>888</v>
      </c>
      <c r="F28" s="626" t="s">
        <v>889</v>
      </c>
      <c r="G28" s="626" t="s">
        <v>890</v>
      </c>
      <c r="H28" s="626" t="s">
        <v>890</v>
      </c>
      <c r="I28" s="626" t="s">
        <v>891</v>
      </c>
      <c r="J28" s="769">
        <v>41031</v>
      </c>
      <c r="K28" s="769">
        <v>41091</v>
      </c>
      <c r="L28" s="626" t="s">
        <v>892</v>
      </c>
      <c r="M28" s="626">
        <v>1</v>
      </c>
      <c r="N28" s="626">
        <v>4.5</v>
      </c>
      <c r="O28" s="626">
        <v>22.5</v>
      </c>
      <c r="P28" s="626">
        <v>30</v>
      </c>
      <c r="Q28" s="626">
        <v>0</v>
      </c>
      <c r="R28" s="626">
        <v>0</v>
      </c>
      <c r="S28" s="626">
        <v>0</v>
      </c>
      <c r="T28" s="626">
        <v>0</v>
      </c>
      <c r="U28" s="626">
        <v>0</v>
      </c>
      <c r="V28" s="626">
        <v>0</v>
      </c>
      <c r="W28" s="626">
        <v>0</v>
      </c>
      <c r="X28" s="626">
        <v>1300</v>
      </c>
      <c r="Y28" s="626" t="s">
        <v>53</v>
      </c>
      <c r="Z28" s="628" t="s">
        <v>155</v>
      </c>
    </row>
    <row r="29" spans="1:26" s="580" customFormat="1" ht="51">
      <c r="A29" s="579"/>
      <c r="B29" s="770">
        <v>45041</v>
      </c>
      <c r="C29" s="770">
        <v>9600</v>
      </c>
      <c r="D29" s="627" t="s">
        <v>893</v>
      </c>
      <c r="E29" s="626" t="s">
        <v>894</v>
      </c>
      <c r="F29" s="626" t="s">
        <v>895</v>
      </c>
      <c r="G29" s="626" t="s">
        <v>896</v>
      </c>
      <c r="H29" s="626" t="s">
        <v>897</v>
      </c>
      <c r="I29" s="626" t="s">
        <v>898</v>
      </c>
      <c r="J29" s="769">
        <v>41151</v>
      </c>
      <c r="K29" s="769">
        <v>41585</v>
      </c>
      <c r="L29" s="626" t="s">
        <v>892</v>
      </c>
      <c r="M29" s="626">
        <v>142</v>
      </c>
      <c r="N29" s="626">
        <v>638.99999999999989</v>
      </c>
      <c r="O29" s="626">
        <v>912.85714285714266</v>
      </c>
      <c r="P29" s="626">
        <v>1825.7142857142856</v>
      </c>
      <c r="Q29" s="626">
        <v>0</v>
      </c>
      <c r="R29" s="626">
        <v>0</v>
      </c>
      <c r="S29" s="626">
        <v>0</v>
      </c>
      <c r="T29" s="626">
        <v>0</v>
      </c>
      <c r="U29" s="626">
        <v>0</v>
      </c>
      <c r="V29" s="626">
        <v>0</v>
      </c>
      <c r="W29" s="626">
        <v>0</v>
      </c>
      <c r="X29" s="626">
        <v>1500</v>
      </c>
      <c r="Y29" s="626" t="s">
        <v>50</v>
      </c>
      <c r="Z29" s="628" t="s">
        <v>155</v>
      </c>
    </row>
    <row r="30" spans="1:26" s="580" customFormat="1" ht="25.5">
      <c r="A30" s="579"/>
      <c r="B30" s="770">
        <v>45041</v>
      </c>
      <c r="C30" s="770">
        <v>9600</v>
      </c>
      <c r="D30" s="627" t="s">
        <v>899</v>
      </c>
      <c r="E30" s="626"/>
      <c r="F30" s="626" t="s">
        <v>900</v>
      </c>
      <c r="G30" s="626" t="s">
        <v>901</v>
      </c>
      <c r="H30" s="626" t="s">
        <v>897</v>
      </c>
      <c r="I30" s="626" t="s">
        <v>902</v>
      </c>
      <c r="J30" s="769">
        <v>42650</v>
      </c>
      <c r="K30" s="769">
        <v>42677</v>
      </c>
      <c r="L30" s="626" t="s">
        <v>903</v>
      </c>
      <c r="M30" s="626">
        <v>10</v>
      </c>
      <c r="N30" s="626">
        <v>3.75</v>
      </c>
      <c r="O30" s="626">
        <v>5.3571428571428577</v>
      </c>
      <c r="P30" s="626">
        <v>10.714285714285715</v>
      </c>
      <c r="Q30" s="626">
        <v>0</v>
      </c>
      <c r="R30" s="626">
        <v>0</v>
      </c>
      <c r="S30" s="626">
        <v>0</v>
      </c>
      <c r="T30" s="626">
        <v>0</v>
      </c>
      <c r="U30" s="626">
        <v>0</v>
      </c>
      <c r="V30" s="626">
        <v>0</v>
      </c>
      <c r="W30" s="626">
        <v>0</v>
      </c>
      <c r="X30" s="626">
        <v>1100</v>
      </c>
      <c r="Y30" s="626" t="s">
        <v>51</v>
      </c>
      <c r="Z30" s="628" t="s">
        <v>155</v>
      </c>
    </row>
    <row r="31" spans="1:26" s="564" customFormat="1">
      <c r="A31" s="582" t="s">
        <v>279</v>
      </c>
      <c r="B31" s="583"/>
      <c r="C31" s="583"/>
      <c r="D31" s="583"/>
      <c r="E31" s="583"/>
      <c r="F31" s="583"/>
      <c r="G31" s="583"/>
      <c r="H31" s="583"/>
      <c r="I31" s="583"/>
      <c r="J31" s="583"/>
      <c r="K31" s="583"/>
      <c r="L31" s="584"/>
      <c r="M31" s="584">
        <f>SUM(M28:M30)</f>
        <v>153</v>
      </c>
      <c r="N31" s="584">
        <f>SUM(N28:N30)</f>
        <v>647.24999999999989</v>
      </c>
      <c r="O31" s="584">
        <f>SUM(O28:O30)</f>
        <v>940.71428571428555</v>
      </c>
      <c r="P31" s="584">
        <f>SUM(P28:P30)</f>
        <v>1866.4285714285713</v>
      </c>
      <c r="Q31" s="584">
        <f>SUM(Q28:Q30)</f>
        <v>0</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153</v>
      </c>
      <c r="N33" s="584">
        <f ca="1">SUMIF($Z$28:AD30,"tertiair",N28:N30)</f>
        <v>647.24999999999989</v>
      </c>
      <c r="O33" s="584">
        <f ca="1">SUMIF($Z$28:AE30,"tertiair",O28:O30)</f>
        <v>940.71428571428555</v>
      </c>
      <c r="P33" s="584">
        <f ca="1">SUMIF($Z$28:AF30,"tertiair",P28:P30)</f>
        <v>1866.4285714285713</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0</v>
      </c>
      <c r="N34" s="589">
        <f>SUMIF($Z$28:$Z$30,"landbouw",N28:N30)</f>
        <v>0</v>
      </c>
      <c r="O34" s="589">
        <f>SUMIF($Z$28:$Z$30,"landbouw",O28:O30)</f>
        <v>0</v>
      </c>
      <c r="P34" s="589">
        <f>SUMIF($Z$28:$Z$30,"landbouw",P28:P30)</f>
        <v>0</v>
      </c>
      <c r="Q34" s="589">
        <f>SUMIF($Z$28:$Z$30,"landbouw",Q28:Q30)</f>
        <v>0</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12.75">
      <c r="A37" s="581"/>
      <c r="B37" s="770"/>
      <c r="C37" s="770"/>
      <c r="D37" s="629"/>
      <c r="E37" s="629"/>
      <c r="F37" s="629"/>
      <c r="G37" s="629"/>
      <c r="H37" s="629"/>
      <c r="I37" s="629"/>
      <c r="J37" s="769"/>
      <c r="K37" s="769"/>
      <c r="L37" s="629"/>
      <c r="M37" s="629"/>
      <c r="N37" s="629"/>
      <c r="O37" s="629"/>
      <c r="P37" s="629"/>
      <c r="Q37" s="629"/>
      <c r="R37" s="629"/>
      <c r="S37" s="629"/>
      <c r="T37" s="629"/>
      <c r="U37" s="629"/>
      <c r="V37" s="629"/>
      <c r="W37" s="629"/>
      <c r="X37" s="629"/>
      <c r="Y37" s="629"/>
      <c r="Z37" s="630"/>
    </row>
    <row r="38" spans="1:27" s="564" customFormat="1">
      <c r="A38" s="582" t="s">
        <v>279</v>
      </c>
      <c r="B38" s="583"/>
      <c r="C38" s="583"/>
      <c r="D38" s="583"/>
      <c r="E38" s="583"/>
      <c r="F38" s="583"/>
      <c r="G38" s="583"/>
      <c r="H38" s="583"/>
      <c r="I38" s="583"/>
      <c r="J38" s="583"/>
      <c r="K38" s="583"/>
      <c r="L38" s="584"/>
      <c r="M38" s="584">
        <f>SUM(M37:M37)</f>
        <v>0</v>
      </c>
      <c r="N38" s="584">
        <f>SUM(N37:N37)</f>
        <v>0</v>
      </c>
      <c r="O38" s="584">
        <f>SUM(O37:O37)</f>
        <v>0</v>
      </c>
      <c r="P38" s="584">
        <f>SUM(P37:P37)</f>
        <v>0</v>
      </c>
      <c r="Q38" s="584">
        <f>SUM(Q37:Q37)</f>
        <v>0</v>
      </c>
      <c r="R38" s="584">
        <f>SUM(R37:R37)</f>
        <v>0</v>
      </c>
      <c r="S38" s="584">
        <f>SUM(S37:S37)</f>
        <v>0</v>
      </c>
      <c r="T38" s="584">
        <f>SUM(T37:T37)</f>
        <v>0</v>
      </c>
      <c r="U38" s="584">
        <f>SUM(U37:U37)</f>
        <v>0</v>
      </c>
      <c r="V38" s="584">
        <f>SUM(V37:V37)</f>
        <v>0</v>
      </c>
      <c r="W38" s="584">
        <f>SUM(W37:W37)</f>
        <v>0</v>
      </c>
      <c r="X38" s="585"/>
      <c r="Y38" s="585"/>
      <c r="Z38" s="586"/>
    </row>
    <row r="39" spans="1:27" s="564" customFormat="1">
      <c r="A39" s="582" t="s">
        <v>286</v>
      </c>
      <c r="B39" s="583"/>
      <c r="C39" s="583"/>
      <c r="D39" s="583"/>
      <c r="E39" s="583"/>
      <c r="F39" s="583"/>
      <c r="G39" s="583"/>
      <c r="H39" s="583"/>
      <c r="I39" s="583"/>
      <c r="J39" s="583"/>
      <c r="K39" s="583"/>
      <c r="L39" s="584"/>
      <c r="M39" s="584">
        <f>SUMIF($Z$37:$Z$37,"industrie",M37:M37)</f>
        <v>0</v>
      </c>
      <c r="N39" s="584">
        <f>SUMIF($Z$37:$Z$37,"industrie",N37:N37)</f>
        <v>0</v>
      </c>
      <c r="O39" s="584">
        <f>SUMIF($Z$37:$Z$37,"industrie",O37:O37)</f>
        <v>0</v>
      </c>
      <c r="P39" s="584">
        <f>SUMIF($Z$37:$Z$37,"industrie",P37:P37)</f>
        <v>0</v>
      </c>
      <c r="Q39" s="584">
        <f>SUMIF($Z$37:$Z$37,"industrie",Q37:Q37)</f>
        <v>0</v>
      </c>
      <c r="R39" s="584">
        <f>SUMIF($Z$37:$Z$37,"industrie",R37:R37)</f>
        <v>0</v>
      </c>
      <c r="S39" s="584">
        <f>SUMIF($Z$37:$Z$37,"industrie",S37:S37)</f>
        <v>0</v>
      </c>
      <c r="T39" s="584">
        <f>SUMIF($Z$37:$Z$37,"industrie",T37:T37)</f>
        <v>0</v>
      </c>
      <c r="U39" s="584">
        <f>SUMIF($Z$37:$Z$37,"industrie",U37:U37)</f>
        <v>0</v>
      </c>
      <c r="V39" s="584">
        <f>SUMIF($Z$37:$Z$37,"industrie",V37:V37)</f>
        <v>0</v>
      </c>
      <c r="W39" s="584">
        <f>SUMIF($Z$37:$Z$37,"industrie",W37:W37)</f>
        <v>0</v>
      </c>
      <c r="X39" s="585"/>
      <c r="Y39" s="585"/>
      <c r="Z39" s="586"/>
    </row>
    <row r="40" spans="1:27" s="564" customFormat="1">
      <c r="A40" s="582" t="s">
        <v>287</v>
      </c>
      <c r="B40" s="583"/>
      <c r="C40" s="583"/>
      <c r="D40" s="583"/>
      <c r="E40" s="583"/>
      <c r="F40" s="583"/>
      <c r="G40" s="583"/>
      <c r="H40" s="583"/>
      <c r="I40" s="583"/>
      <c r="J40" s="583"/>
      <c r="K40" s="583"/>
      <c r="L40" s="584"/>
      <c r="M40" s="584">
        <f>SUMIF($Z$37:$Z$38,"tertiair",M37:M38)</f>
        <v>0</v>
      </c>
      <c r="N40" s="584">
        <f>SUMIF($Z$37:$Z$38,"tertiair",N37:N38)</f>
        <v>0</v>
      </c>
      <c r="O40" s="584">
        <f>SUMIF($Z$37:$Z$38,"tertiair",O37:O38)</f>
        <v>0</v>
      </c>
      <c r="P40" s="584">
        <f>SUMIF($Z$37:$Z$38,"tertiair",P37:P38)</f>
        <v>0</v>
      </c>
      <c r="Q40" s="584">
        <f>SUMIF($Z$37:$Z$38,"tertiair",Q37:Q38)</f>
        <v>0</v>
      </c>
      <c r="R40" s="584">
        <f>SUMIF($Z$37:$Z$38,"tertiair",R37:R38)</f>
        <v>0</v>
      </c>
      <c r="S40" s="584">
        <f>SUMIF($Z$37:$Z$38,"tertiair",S37:S38)</f>
        <v>0</v>
      </c>
      <c r="T40" s="584">
        <f>SUMIF($Z$37:$Z$38,"tertiair",T37:T38)</f>
        <v>0</v>
      </c>
      <c r="U40" s="584">
        <f>SUMIF($Z$37:$Z$38,"tertiair",U37:U38)</f>
        <v>0</v>
      </c>
      <c r="V40" s="584">
        <f>SUMIF($Z$37:$Z$38,"tertiair",V37:V38)</f>
        <v>0</v>
      </c>
      <c r="W40" s="584">
        <f>SUMIF($Z$37:$Z$38,"tertiair",W37:W38)</f>
        <v>0</v>
      </c>
      <c r="X40" s="585"/>
      <c r="Y40" s="585"/>
      <c r="Z40" s="586"/>
    </row>
    <row r="41" spans="1:27" s="564" customFormat="1" ht="15.75" thickBot="1">
      <c r="A41" s="587" t="s">
        <v>288</v>
      </c>
      <c r="B41" s="588"/>
      <c r="C41" s="588"/>
      <c r="D41" s="588"/>
      <c r="E41" s="588"/>
      <c r="F41" s="588"/>
      <c r="G41" s="588"/>
      <c r="H41" s="588"/>
      <c r="I41" s="588"/>
      <c r="J41" s="588"/>
      <c r="K41" s="588"/>
      <c r="L41" s="589"/>
      <c r="M41" s="589">
        <f>SUMIF($Z$37:$Z$39,"landbouw",M37:M39)</f>
        <v>0</v>
      </c>
      <c r="N41" s="589">
        <f>SUMIF($Z$37:$Z$39,"landbouw",N37:N39)</f>
        <v>0</v>
      </c>
      <c r="O41" s="589">
        <f>SUMIF($Z$37:$Z$39,"landbouw",O37:O39)</f>
        <v>0</v>
      </c>
      <c r="P41" s="589">
        <f>SUMIF($Z$37:$Z$39,"landbouw",P37:P39)</f>
        <v>0</v>
      </c>
      <c r="Q41" s="589">
        <f>SUMIF($Z$37:$Z$39,"landbouw",Q37:Q39)</f>
        <v>0</v>
      </c>
      <c r="R41" s="589">
        <f>SUMIF($Z$37:$Z$39,"landbouw",R37:R39)</f>
        <v>0</v>
      </c>
      <c r="S41" s="589">
        <f>SUMIF($Z$37:$Z$39,"landbouw",S37:S39)</f>
        <v>0</v>
      </c>
      <c r="T41" s="589">
        <f>SUMIF($Z$37:$Z$39,"landbouw",T37:T39)</f>
        <v>0</v>
      </c>
      <c r="U41" s="589">
        <f>SUMIF($Z$37:$Z$39,"landbouw",U37:U39)</f>
        <v>0</v>
      </c>
      <c r="V41" s="589">
        <f>SUMIF($Z$37:$Z$39,"landbouw",V37:V39)</f>
        <v>0</v>
      </c>
      <c r="W41" s="589">
        <f>SUMIF($Z$37:$Z$39,"landbouw",W37:W39)</f>
        <v>0</v>
      </c>
      <c r="X41" s="590"/>
      <c r="Y41" s="590"/>
      <c r="Z41" s="591"/>
    </row>
    <row r="42" spans="1:27" s="596" customForma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row>
    <row r="43" spans="1:27" s="596" customFormat="1" ht="15.75" thickBot="1">
      <c r="A43" s="592"/>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row>
    <row r="44" spans="1:27">
      <c r="A44" s="597" t="s">
        <v>281</v>
      </c>
      <c r="B44" s="598"/>
      <c r="C44" s="598"/>
      <c r="D44" s="598"/>
      <c r="E44" s="598"/>
      <c r="F44" s="598"/>
      <c r="G44" s="598"/>
      <c r="H44" s="598"/>
      <c r="I44" s="599"/>
      <c r="J44" s="600"/>
      <c r="K44" s="600"/>
      <c r="L44" s="601"/>
      <c r="M44" s="601"/>
      <c r="N44" s="601"/>
      <c r="O44" s="601"/>
      <c r="P44" s="601"/>
    </row>
    <row r="45" spans="1:27">
      <c r="A45" s="603"/>
      <c r="B45" s="593"/>
      <c r="C45" s="593"/>
      <c r="D45" s="593"/>
      <c r="E45" s="593"/>
      <c r="F45" s="593"/>
      <c r="G45" s="593"/>
      <c r="H45" s="593"/>
      <c r="I45" s="604"/>
      <c r="J45" s="593"/>
      <c r="K45" s="593"/>
      <c r="L45" s="601"/>
      <c r="M45" s="601"/>
      <c r="N45" s="601"/>
      <c r="O45" s="601"/>
      <c r="P45" s="601"/>
    </row>
    <row r="46" spans="1:27">
      <c r="A46" s="605"/>
      <c r="B46" s="606" t="s">
        <v>282</v>
      </c>
      <c r="C46" s="606" t="s">
        <v>283</v>
      </c>
      <c r="D46" s="606"/>
      <c r="E46" s="606"/>
      <c r="F46" s="606"/>
      <c r="G46" s="606"/>
      <c r="H46" s="606"/>
      <c r="I46" s="607"/>
      <c r="J46" s="606"/>
      <c r="K46" s="606"/>
      <c r="L46" s="606"/>
      <c r="M46" s="606"/>
      <c r="N46" s="606"/>
      <c r="O46" s="606"/>
      <c r="P46" s="601"/>
    </row>
    <row r="47" spans="1:27">
      <c r="A47" s="603" t="s">
        <v>279</v>
      </c>
      <c r="B47" s="608">
        <f>IF(ISERROR(O31/(O31+N31)),0,O31/(O31+N31))</f>
        <v>0.59240267188448825</v>
      </c>
      <c r="C47" s="609">
        <f>IF(ISERROR(N31/(O31+N31)),0,N31/(N31+O31))</f>
        <v>0.4075973281155118</v>
      </c>
      <c r="D47" s="576"/>
      <c r="E47" s="576"/>
      <c r="F47" s="576"/>
      <c r="G47" s="576"/>
      <c r="H47" s="576"/>
      <c r="I47" s="610"/>
      <c r="J47" s="576"/>
      <c r="K47" s="576"/>
      <c r="L47" s="611"/>
      <c r="M47" s="611"/>
      <c r="N47" s="611"/>
      <c r="O47" s="611"/>
      <c r="P47" s="601"/>
    </row>
    <row r="48" spans="1:27">
      <c r="A48" s="603"/>
      <c r="B48" s="612"/>
      <c r="C48" s="612"/>
      <c r="D48" s="612"/>
      <c r="E48" s="612"/>
      <c r="F48" s="612"/>
      <c r="G48" s="612"/>
      <c r="H48" s="612"/>
      <c r="I48" s="613"/>
      <c r="J48" s="612"/>
      <c r="K48" s="612"/>
      <c r="L48" s="614"/>
      <c r="M48" s="614"/>
      <c r="N48" s="614"/>
      <c r="O48" s="614"/>
      <c r="P48" s="601"/>
    </row>
    <row r="49" spans="1:16" ht="30">
      <c r="A49" s="615"/>
      <c r="B49" s="616" t="s">
        <v>533</v>
      </c>
      <c r="C49" s="616" t="s">
        <v>102</v>
      </c>
      <c r="D49" s="616" t="s">
        <v>103</v>
      </c>
      <c r="E49" s="616" t="s">
        <v>104</v>
      </c>
      <c r="F49" s="616" t="s">
        <v>105</v>
      </c>
      <c r="G49" s="616" t="s">
        <v>106</v>
      </c>
      <c r="H49" s="616" t="s">
        <v>107</v>
      </c>
      <c r="I49" s="617" t="s">
        <v>108</v>
      </c>
      <c r="J49" s="606"/>
      <c r="K49" s="606"/>
      <c r="L49" s="614"/>
      <c r="M49" s="614"/>
      <c r="N49" s="614"/>
      <c r="O49" s="601"/>
      <c r="P49" s="601"/>
    </row>
    <row r="50" spans="1:16">
      <c r="A50" s="605" t="s">
        <v>284</v>
      </c>
      <c r="B50" s="618">
        <f t="shared" ref="B50:I50" si="2">$C$47*P31</f>
        <v>760.75129883273735</v>
      </c>
      <c r="C50" s="618">
        <f t="shared" si="2"/>
        <v>0</v>
      </c>
      <c r="D50" s="618">
        <f t="shared" si="2"/>
        <v>0</v>
      </c>
      <c r="E50" s="618">
        <f t="shared" si="2"/>
        <v>0</v>
      </c>
      <c r="F50" s="618">
        <f t="shared" si="2"/>
        <v>0</v>
      </c>
      <c r="G50" s="618">
        <f t="shared" si="2"/>
        <v>0</v>
      </c>
      <c r="H50" s="618">
        <f t="shared" si="2"/>
        <v>0</v>
      </c>
      <c r="I50" s="619">
        <f t="shared" si="2"/>
        <v>0</v>
      </c>
      <c r="J50" s="576"/>
      <c r="K50" s="576"/>
      <c r="L50" s="614"/>
      <c r="M50" s="614"/>
      <c r="N50" s="614"/>
      <c r="O50" s="601"/>
      <c r="P50" s="601"/>
    </row>
    <row r="51" spans="1:16" ht="15.75" thickBot="1">
      <c r="A51" s="620" t="s">
        <v>285</v>
      </c>
      <c r="B51" s="621">
        <f t="shared" ref="B51:I51" si="3">$B$47*P31</f>
        <v>1105.677272595834</v>
      </c>
      <c r="C51" s="621">
        <f t="shared" si="3"/>
        <v>0</v>
      </c>
      <c r="D51" s="621">
        <f t="shared" si="3"/>
        <v>0</v>
      </c>
      <c r="E51" s="621">
        <f t="shared" si="3"/>
        <v>0</v>
      </c>
      <c r="F51" s="621">
        <f t="shared" si="3"/>
        <v>0</v>
      </c>
      <c r="G51" s="621">
        <f t="shared" si="3"/>
        <v>0</v>
      </c>
      <c r="H51" s="621">
        <f t="shared" si="3"/>
        <v>0</v>
      </c>
      <c r="I51" s="622">
        <f t="shared" si="3"/>
        <v>0</v>
      </c>
      <c r="J51" s="576"/>
      <c r="K51" s="576"/>
      <c r="L51" s="614"/>
      <c r="M51" s="614"/>
      <c r="N51" s="614"/>
      <c r="O51" s="601"/>
      <c r="P51" s="601"/>
    </row>
    <row r="52" spans="1:16">
      <c r="J52" s="562"/>
      <c r="K52" s="562"/>
      <c r="L52" s="562"/>
      <c r="M52" s="562"/>
      <c r="N52" s="562"/>
    </row>
    <row r="53" spans="1:16">
      <c r="J53" s="562"/>
      <c r="K53" s="562"/>
      <c r="L53" s="562"/>
      <c r="M53" s="562"/>
      <c r="N53"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36318.497060376794</v>
      </c>
      <c r="C4" s="451">
        <f>huishoudens!C8</f>
        <v>0</v>
      </c>
      <c r="D4" s="451">
        <f>huishoudens!D8</f>
        <v>104739.62415725311</v>
      </c>
      <c r="E4" s="451">
        <f>huishoudens!E8</f>
        <v>15597.514710965463</v>
      </c>
      <c r="F4" s="451">
        <f>huishoudens!F8</f>
        <v>9674.6507255395336</v>
      </c>
      <c r="G4" s="451">
        <f>huishoudens!G8</f>
        <v>0</v>
      </c>
      <c r="H4" s="451">
        <f>huishoudens!H8</f>
        <v>0</v>
      </c>
      <c r="I4" s="451">
        <f>huishoudens!I8</f>
        <v>0</v>
      </c>
      <c r="J4" s="451">
        <f>huishoudens!J8</f>
        <v>1736.1986224288244</v>
      </c>
      <c r="K4" s="451">
        <f>huishoudens!K8</f>
        <v>0</v>
      </c>
      <c r="L4" s="451">
        <f>huishoudens!L8</f>
        <v>0</v>
      </c>
      <c r="M4" s="451">
        <f>huishoudens!M8</f>
        <v>0</v>
      </c>
      <c r="N4" s="451">
        <f>huishoudens!N8</f>
        <v>26969.816578142963</v>
      </c>
      <c r="O4" s="451">
        <f>huishoudens!O8</f>
        <v>181.34666666666669</v>
      </c>
      <c r="P4" s="452">
        <f>huishoudens!P8</f>
        <v>514.79999999999995</v>
      </c>
      <c r="Q4" s="453">
        <f>SUM(B4:P4)</f>
        <v>195732.44852137333</v>
      </c>
    </row>
    <row r="5" spans="1:17">
      <c r="A5" s="450" t="s">
        <v>155</v>
      </c>
      <c r="B5" s="451">
        <f ca="1">tertiair!B16</f>
        <v>33635.359504166721</v>
      </c>
      <c r="C5" s="451">
        <f ca="1">tertiair!C16</f>
        <v>940.71428571428555</v>
      </c>
      <c r="D5" s="451">
        <f ca="1">tertiair!D16</f>
        <v>45863.543682566698</v>
      </c>
      <c r="E5" s="451">
        <f>tertiair!E16</f>
        <v>463.47344453801304</v>
      </c>
      <c r="F5" s="451">
        <f ca="1">tertiair!F16</f>
        <v>5712.2419721304841</v>
      </c>
      <c r="G5" s="451">
        <f>tertiair!G16</f>
        <v>0</v>
      </c>
      <c r="H5" s="451">
        <f>tertiair!H16</f>
        <v>0</v>
      </c>
      <c r="I5" s="451">
        <f>tertiair!I16</f>
        <v>0</v>
      </c>
      <c r="J5" s="451">
        <f>tertiair!J16</f>
        <v>6.5453592581202369E-2</v>
      </c>
      <c r="K5" s="451">
        <f>tertiair!K16</f>
        <v>0</v>
      </c>
      <c r="L5" s="451">
        <f ca="1">tertiair!L16</f>
        <v>0</v>
      </c>
      <c r="M5" s="451">
        <f>tertiair!M16</f>
        <v>0</v>
      </c>
      <c r="N5" s="451">
        <f ca="1">tertiair!N16</f>
        <v>2687.7323775796704</v>
      </c>
      <c r="O5" s="451">
        <f>tertiair!O16</f>
        <v>0</v>
      </c>
      <c r="P5" s="452">
        <f>tertiair!P16</f>
        <v>0</v>
      </c>
      <c r="Q5" s="450">
        <f t="shared" ref="Q5:Q14" ca="1" si="0">SUM(B5:P5)</f>
        <v>89303.130720288464</v>
      </c>
    </row>
    <row r="6" spans="1:17">
      <c r="A6" s="450" t="s">
        <v>193</v>
      </c>
      <c r="B6" s="451">
        <f>'openbare verlichting'!B8</f>
        <v>1813.922</v>
      </c>
      <c r="C6" s="451"/>
      <c r="D6" s="451"/>
      <c r="E6" s="451"/>
      <c r="F6" s="451"/>
      <c r="G6" s="451"/>
      <c r="H6" s="451"/>
      <c r="I6" s="451"/>
      <c r="J6" s="451"/>
      <c r="K6" s="451"/>
      <c r="L6" s="451"/>
      <c r="M6" s="451"/>
      <c r="N6" s="451"/>
      <c r="O6" s="451"/>
      <c r="P6" s="452"/>
      <c r="Q6" s="450">
        <f t="shared" si="0"/>
        <v>1813.922</v>
      </c>
    </row>
    <row r="7" spans="1:17">
      <c r="A7" s="450" t="s">
        <v>111</v>
      </c>
      <c r="B7" s="451">
        <f>landbouw!B8</f>
        <v>356.12002443504724</v>
      </c>
      <c r="C7" s="451">
        <f>landbouw!C8</f>
        <v>0</v>
      </c>
      <c r="D7" s="451">
        <f>landbouw!D8</f>
        <v>120.41820010894334</v>
      </c>
      <c r="E7" s="451">
        <f>landbouw!E8</f>
        <v>10.467455234246486</v>
      </c>
      <c r="F7" s="451">
        <f>landbouw!F8</f>
        <v>1483.5767780803444</v>
      </c>
      <c r="G7" s="451">
        <f>landbouw!G8</f>
        <v>0</v>
      </c>
      <c r="H7" s="451">
        <f>landbouw!H8</f>
        <v>0</v>
      </c>
      <c r="I7" s="451">
        <f>landbouw!I8</f>
        <v>0</v>
      </c>
      <c r="J7" s="451">
        <f>landbouw!J8</f>
        <v>51.594143775570508</v>
      </c>
      <c r="K7" s="451">
        <f>landbouw!K8</f>
        <v>0</v>
      </c>
      <c r="L7" s="451">
        <f>landbouw!L8</f>
        <v>0</v>
      </c>
      <c r="M7" s="451">
        <f>landbouw!M8</f>
        <v>0</v>
      </c>
      <c r="N7" s="451">
        <f>landbouw!N8</f>
        <v>0</v>
      </c>
      <c r="O7" s="451">
        <f>landbouw!O8</f>
        <v>0</v>
      </c>
      <c r="P7" s="452">
        <f>landbouw!P8</f>
        <v>0</v>
      </c>
      <c r="Q7" s="450">
        <f t="shared" si="0"/>
        <v>2022.1766016341519</v>
      </c>
    </row>
    <row r="8" spans="1:17">
      <c r="A8" s="450" t="s">
        <v>634</v>
      </c>
      <c r="B8" s="451">
        <f>industrie!B18</f>
        <v>58820.895933693333</v>
      </c>
      <c r="C8" s="451">
        <f>industrie!C18</f>
        <v>0</v>
      </c>
      <c r="D8" s="451">
        <f>industrie!D18</f>
        <v>92374.75593297687</v>
      </c>
      <c r="E8" s="451">
        <f>industrie!E18</f>
        <v>2208.4906812164199</v>
      </c>
      <c r="F8" s="451">
        <f>industrie!F18</f>
        <v>10245.60779150758</v>
      </c>
      <c r="G8" s="451">
        <f>industrie!G18</f>
        <v>0</v>
      </c>
      <c r="H8" s="451">
        <f>industrie!H18</f>
        <v>0</v>
      </c>
      <c r="I8" s="451">
        <f>industrie!I18</f>
        <v>0</v>
      </c>
      <c r="J8" s="451">
        <f>industrie!J18</f>
        <v>73.229994117773032</v>
      </c>
      <c r="K8" s="451">
        <f>industrie!K18</f>
        <v>0</v>
      </c>
      <c r="L8" s="451">
        <f>industrie!L18</f>
        <v>0</v>
      </c>
      <c r="M8" s="451">
        <f>industrie!M18</f>
        <v>0</v>
      </c>
      <c r="N8" s="451">
        <f>industrie!N18</f>
        <v>3656.850194007563</v>
      </c>
      <c r="O8" s="451">
        <f>industrie!O18</f>
        <v>0</v>
      </c>
      <c r="P8" s="452">
        <f>industrie!P18</f>
        <v>0</v>
      </c>
      <c r="Q8" s="450">
        <f t="shared" si="0"/>
        <v>167379.83052751955</v>
      </c>
    </row>
    <row r="9" spans="1:17" s="456" customFormat="1">
      <c r="A9" s="454" t="s">
        <v>560</v>
      </c>
      <c r="B9" s="455">
        <f>transport!B14</f>
        <v>24.498661841604033</v>
      </c>
      <c r="C9" s="455">
        <f>transport!C14</f>
        <v>0</v>
      </c>
      <c r="D9" s="455">
        <f>transport!D14</f>
        <v>70.571775602335251</v>
      </c>
      <c r="E9" s="455">
        <f>transport!E14</f>
        <v>119.06771987149912</v>
      </c>
      <c r="F9" s="455">
        <f>transport!F14</f>
        <v>0</v>
      </c>
      <c r="G9" s="455">
        <f>transport!G14</f>
        <v>89517.2729463055</v>
      </c>
      <c r="H9" s="455">
        <f>transport!H14</f>
        <v>11901.150951501126</v>
      </c>
      <c r="I9" s="455">
        <f>transport!I14</f>
        <v>0</v>
      </c>
      <c r="J9" s="455">
        <f>transport!J14</f>
        <v>0</v>
      </c>
      <c r="K9" s="455">
        <f>transport!K14</f>
        <v>0</v>
      </c>
      <c r="L9" s="455">
        <f>transport!L14</f>
        <v>0</v>
      </c>
      <c r="M9" s="455">
        <f>transport!M14</f>
        <v>5580.4465478051743</v>
      </c>
      <c r="N9" s="455">
        <f>transport!N14</f>
        <v>0</v>
      </c>
      <c r="O9" s="455">
        <f>transport!O14</f>
        <v>0</v>
      </c>
      <c r="P9" s="455">
        <f>transport!P14</f>
        <v>0</v>
      </c>
      <c r="Q9" s="454">
        <f>SUM(B9:P9)</f>
        <v>107213.00860292724</v>
      </c>
    </row>
    <row r="10" spans="1:17">
      <c r="A10" s="450" t="s">
        <v>550</v>
      </c>
      <c r="B10" s="451">
        <f>transport!B54</f>
        <v>0</v>
      </c>
      <c r="C10" s="451">
        <f>transport!C54</f>
        <v>0</v>
      </c>
      <c r="D10" s="451">
        <f>transport!D54</f>
        <v>0</v>
      </c>
      <c r="E10" s="451">
        <f>transport!E54</f>
        <v>0</v>
      </c>
      <c r="F10" s="451">
        <f>transport!F54</f>
        <v>0</v>
      </c>
      <c r="G10" s="451">
        <f>transport!G54</f>
        <v>729.51440069890748</v>
      </c>
      <c r="H10" s="451">
        <f>transport!H54</f>
        <v>0</v>
      </c>
      <c r="I10" s="451">
        <f>transport!I54</f>
        <v>0</v>
      </c>
      <c r="J10" s="451">
        <f>transport!J54</f>
        <v>0</v>
      </c>
      <c r="K10" s="451">
        <f>transport!K54</f>
        <v>0</v>
      </c>
      <c r="L10" s="451">
        <f>transport!L54</f>
        <v>0</v>
      </c>
      <c r="M10" s="451">
        <f>transport!M54</f>
        <v>41.430067634326015</v>
      </c>
      <c r="N10" s="451">
        <f>transport!N54</f>
        <v>0</v>
      </c>
      <c r="O10" s="451">
        <f>transport!O54</f>
        <v>0</v>
      </c>
      <c r="P10" s="452">
        <f>transport!P54</f>
        <v>0</v>
      </c>
      <c r="Q10" s="450">
        <f t="shared" si="0"/>
        <v>770.94446833323354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1755.5107261017199</v>
      </c>
      <c r="C14" s="458"/>
      <c r="D14" s="458">
        <f>'SEAP template'!E25</f>
        <v>7227.8456760499002</v>
      </c>
      <c r="E14" s="458"/>
      <c r="F14" s="458"/>
      <c r="G14" s="458"/>
      <c r="H14" s="458"/>
      <c r="I14" s="458"/>
      <c r="J14" s="458"/>
      <c r="K14" s="458"/>
      <c r="L14" s="458"/>
      <c r="M14" s="458"/>
      <c r="N14" s="458"/>
      <c r="O14" s="458"/>
      <c r="P14" s="459"/>
      <c r="Q14" s="450">
        <f t="shared" si="0"/>
        <v>8983.3564021516195</v>
      </c>
    </row>
    <row r="15" spans="1:17" s="460" customFormat="1">
      <c r="A15" s="1005" t="s">
        <v>554</v>
      </c>
      <c r="B15" s="953">
        <f ca="1">SUM(B4:B14)</f>
        <v>132724.80391061521</v>
      </c>
      <c r="C15" s="953">
        <f t="shared" ref="C15:Q15" ca="1" si="1">SUM(C4:C14)</f>
        <v>940.71428571428555</v>
      </c>
      <c r="D15" s="953">
        <f t="shared" ca="1" si="1"/>
        <v>250396.75942455785</v>
      </c>
      <c r="E15" s="953">
        <f t="shared" si="1"/>
        <v>18399.014011825639</v>
      </c>
      <c r="F15" s="953">
        <f t="shared" ca="1" si="1"/>
        <v>27116.077267257941</v>
      </c>
      <c r="G15" s="953">
        <f t="shared" si="1"/>
        <v>90246.787347004414</v>
      </c>
      <c r="H15" s="953">
        <f t="shared" si="1"/>
        <v>11901.150951501126</v>
      </c>
      <c r="I15" s="953">
        <f t="shared" si="1"/>
        <v>0</v>
      </c>
      <c r="J15" s="953">
        <f t="shared" si="1"/>
        <v>1861.0882139147491</v>
      </c>
      <c r="K15" s="953">
        <f t="shared" si="1"/>
        <v>0</v>
      </c>
      <c r="L15" s="953">
        <f t="shared" ca="1" si="1"/>
        <v>0</v>
      </c>
      <c r="M15" s="953">
        <f t="shared" si="1"/>
        <v>5621.8766154395007</v>
      </c>
      <c r="N15" s="953">
        <f t="shared" ca="1" si="1"/>
        <v>33314.399149730198</v>
      </c>
      <c r="O15" s="953">
        <f t="shared" si="1"/>
        <v>181.34666666666669</v>
      </c>
      <c r="P15" s="953">
        <f t="shared" si="1"/>
        <v>514.79999999999995</v>
      </c>
      <c r="Q15" s="953">
        <f t="shared" ca="1" si="1"/>
        <v>573218.81784422765</v>
      </c>
    </row>
    <row r="17" spans="1:17">
      <c r="A17" s="461" t="s">
        <v>555</v>
      </c>
      <c r="B17" s="760">
        <f ca="1">huishoudens!B10</f>
        <v>0.20972229169819778</v>
      </c>
      <c r="C17" s="760">
        <f ca="1">huishoudens!C10</f>
        <v>0.23742257607448891</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7616.7984345364803</v>
      </c>
      <c r="C22" s="451">
        <f t="shared" ref="C22:C32" ca="1" si="3">C4*$C$17</f>
        <v>0</v>
      </c>
      <c r="D22" s="451">
        <f t="shared" ref="D22:D32" si="4">D4*$D$17</f>
        <v>21157.404079765129</v>
      </c>
      <c r="E22" s="451">
        <f t="shared" ref="E22:E32" si="5">E4*$E$17</f>
        <v>3540.6358393891601</v>
      </c>
      <c r="F22" s="451">
        <f t="shared" ref="F22:F32" si="6">F4*$F$17</f>
        <v>2583.1317437190555</v>
      </c>
      <c r="G22" s="451">
        <f t="shared" ref="G22:G32" si="7">G4*$G$17</f>
        <v>0</v>
      </c>
      <c r="H22" s="451">
        <f t="shared" ref="H22:H32" si="8">H4*$H$17</f>
        <v>0</v>
      </c>
      <c r="I22" s="451">
        <f t="shared" ref="I22:I32" si="9">I4*$I$17</f>
        <v>0</v>
      </c>
      <c r="J22" s="451">
        <f t="shared" ref="J22:J32" si="10">J4*$J$17</f>
        <v>614.61431233980375</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35512.58440974963</v>
      </c>
    </row>
    <row r="23" spans="1:17">
      <c r="A23" s="450" t="s">
        <v>155</v>
      </c>
      <c r="B23" s="451">
        <f t="shared" ca="1" si="2"/>
        <v>7054.0846773066023</v>
      </c>
      <c r="C23" s="451">
        <f t="shared" ca="1" si="3"/>
        <v>223.34680906435847</v>
      </c>
      <c r="D23" s="451">
        <f t="shared" ca="1" si="4"/>
        <v>9264.4358238784735</v>
      </c>
      <c r="E23" s="451">
        <f t="shared" si="5"/>
        <v>105.20847191012896</v>
      </c>
      <c r="F23" s="451">
        <f t="shared" ca="1" si="6"/>
        <v>1525.1686065588394</v>
      </c>
      <c r="G23" s="451">
        <f t="shared" si="7"/>
        <v>0</v>
      </c>
      <c r="H23" s="451">
        <f t="shared" si="8"/>
        <v>0</v>
      </c>
      <c r="I23" s="451">
        <f t="shared" si="9"/>
        <v>0</v>
      </c>
      <c r="J23" s="451">
        <f t="shared" si="10"/>
        <v>2.3170571773745638E-2</v>
      </c>
      <c r="K23" s="451">
        <f t="shared" si="11"/>
        <v>0</v>
      </c>
      <c r="L23" s="451">
        <f t="shared" ca="1" si="12"/>
        <v>0</v>
      </c>
      <c r="M23" s="451">
        <f t="shared" si="13"/>
        <v>0</v>
      </c>
      <c r="N23" s="451">
        <f t="shared" ca="1" si="14"/>
        <v>0</v>
      </c>
      <c r="O23" s="451">
        <f t="shared" si="15"/>
        <v>0</v>
      </c>
      <c r="P23" s="452">
        <f t="shared" si="16"/>
        <v>0</v>
      </c>
      <c r="Q23" s="450">
        <f t="shared" ref="Q23:Q32" ca="1" si="17">SUM(B23:P23)</f>
        <v>18172.26755929018</v>
      </c>
    </row>
    <row r="24" spans="1:17">
      <c r="A24" s="450" t="s">
        <v>193</v>
      </c>
      <c r="B24" s="451">
        <f t="shared" ca="1" si="2"/>
        <v>380.41987880177834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380.41987880177834</v>
      </c>
    </row>
    <row r="25" spans="1:17">
      <c r="A25" s="450" t="s">
        <v>111</v>
      </c>
      <c r="B25" s="451">
        <f t="shared" ca="1" si="2"/>
        <v>74.686307644136306</v>
      </c>
      <c r="C25" s="451">
        <f t="shared" ca="1" si="3"/>
        <v>0</v>
      </c>
      <c r="D25" s="451">
        <f t="shared" si="4"/>
        <v>24.324476422006555</v>
      </c>
      <c r="E25" s="451">
        <f t="shared" si="5"/>
        <v>2.3761123381739524</v>
      </c>
      <c r="F25" s="451">
        <f t="shared" si="6"/>
        <v>396.11499974745198</v>
      </c>
      <c r="G25" s="451">
        <f t="shared" si="7"/>
        <v>0</v>
      </c>
      <c r="H25" s="451">
        <f t="shared" si="8"/>
        <v>0</v>
      </c>
      <c r="I25" s="451">
        <f t="shared" si="9"/>
        <v>0</v>
      </c>
      <c r="J25" s="451">
        <f t="shared" si="10"/>
        <v>18.26432689655196</v>
      </c>
      <c r="K25" s="451">
        <f t="shared" si="11"/>
        <v>0</v>
      </c>
      <c r="L25" s="451">
        <f t="shared" si="12"/>
        <v>0</v>
      </c>
      <c r="M25" s="451">
        <f t="shared" si="13"/>
        <v>0</v>
      </c>
      <c r="N25" s="451">
        <f t="shared" si="14"/>
        <v>0</v>
      </c>
      <c r="O25" s="451">
        <f t="shared" si="15"/>
        <v>0</v>
      </c>
      <c r="P25" s="452">
        <f t="shared" si="16"/>
        <v>0</v>
      </c>
      <c r="Q25" s="450">
        <f t="shared" ca="1" si="17"/>
        <v>515.76622304832074</v>
      </c>
    </row>
    <row r="26" spans="1:17">
      <c r="A26" s="450" t="s">
        <v>634</v>
      </c>
      <c r="B26" s="451">
        <f t="shared" ca="1" si="2"/>
        <v>12336.053094955369</v>
      </c>
      <c r="C26" s="451">
        <f t="shared" ca="1" si="3"/>
        <v>0</v>
      </c>
      <c r="D26" s="451">
        <f t="shared" si="4"/>
        <v>18659.700698461329</v>
      </c>
      <c r="E26" s="451">
        <f t="shared" si="5"/>
        <v>501.32738463612736</v>
      </c>
      <c r="F26" s="451">
        <f t="shared" si="6"/>
        <v>2735.577280332524</v>
      </c>
      <c r="G26" s="451">
        <f t="shared" si="7"/>
        <v>0</v>
      </c>
      <c r="H26" s="451">
        <f t="shared" si="8"/>
        <v>0</v>
      </c>
      <c r="I26" s="451">
        <f t="shared" si="9"/>
        <v>0</v>
      </c>
      <c r="J26" s="451">
        <f t="shared" si="10"/>
        <v>25.923417917691651</v>
      </c>
      <c r="K26" s="451">
        <f t="shared" si="11"/>
        <v>0</v>
      </c>
      <c r="L26" s="451">
        <f t="shared" si="12"/>
        <v>0</v>
      </c>
      <c r="M26" s="451">
        <f t="shared" si="13"/>
        <v>0</v>
      </c>
      <c r="N26" s="451">
        <f t="shared" si="14"/>
        <v>0</v>
      </c>
      <c r="O26" s="451">
        <f t="shared" si="15"/>
        <v>0</v>
      </c>
      <c r="P26" s="452">
        <f t="shared" si="16"/>
        <v>0</v>
      </c>
      <c r="Q26" s="450">
        <f t="shared" ca="1" si="17"/>
        <v>34258.58187630304</v>
      </c>
    </row>
    <row r="27" spans="1:17" s="456" customFormat="1">
      <c r="A27" s="454" t="s">
        <v>560</v>
      </c>
      <c r="B27" s="754">
        <f t="shared" ca="1" si="2"/>
        <v>5.1379155049603886</v>
      </c>
      <c r="C27" s="455">
        <f t="shared" ca="1" si="3"/>
        <v>0</v>
      </c>
      <c r="D27" s="455">
        <f t="shared" si="4"/>
        <v>14.255498671671722</v>
      </c>
      <c r="E27" s="455">
        <f t="shared" si="5"/>
        <v>27.028372410830301</v>
      </c>
      <c r="F27" s="455">
        <f t="shared" si="6"/>
        <v>0</v>
      </c>
      <c r="G27" s="455">
        <f t="shared" si="7"/>
        <v>23901.11187666357</v>
      </c>
      <c r="H27" s="455">
        <f t="shared" si="8"/>
        <v>2963.3865869237802</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26910.920250174815</v>
      </c>
    </row>
    <row r="28" spans="1:17">
      <c r="A28" s="450" t="s">
        <v>550</v>
      </c>
      <c r="B28" s="451">
        <f t="shared" ca="1" si="2"/>
        <v>0</v>
      </c>
      <c r="C28" s="451">
        <f t="shared" ca="1" si="3"/>
        <v>0</v>
      </c>
      <c r="D28" s="451">
        <f t="shared" si="4"/>
        <v>0</v>
      </c>
      <c r="E28" s="451">
        <f t="shared" si="5"/>
        <v>0</v>
      </c>
      <c r="F28" s="451">
        <f t="shared" si="6"/>
        <v>0</v>
      </c>
      <c r="G28" s="451">
        <f t="shared" si="7"/>
        <v>194.7803449866083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194.7803449866083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368.16973257881989</v>
      </c>
      <c r="C32" s="451">
        <f t="shared" ca="1" si="3"/>
        <v>0</v>
      </c>
      <c r="D32" s="451">
        <f t="shared" si="4"/>
        <v>1460.0248265620799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1828.1945591408999</v>
      </c>
    </row>
    <row r="33" spans="1:17" s="460" customFormat="1">
      <c r="A33" s="1005" t="s">
        <v>554</v>
      </c>
      <c r="B33" s="953">
        <f ca="1">SUM(B22:B32)</f>
        <v>27835.350041328147</v>
      </c>
      <c r="C33" s="953">
        <f t="shared" ref="C33:Q33" ca="1" si="18">SUM(C22:C32)</f>
        <v>223.34680906435847</v>
      </c>
      <c r="D33" s="953">
        <f t="shared" ca="1" si="18"/>
        <v>50580.145403760696</v>
      </c>
      <c r="E33" s="953">
        <f t="shared" si="18"/>
        <v>4176.5761806844212</v>
      </c>
      <c r="F33" s="953">
        <f t="shared" ca="1" si="18"/>
        <v>7239.9926303578704</v>
      </c>
      <c r="G33" s="953">
        <f t="shared" si="18"/>
        <v>24095.892221650178</v>
      </c>
      <c r="H33" s="953">
        <f t="shared" si="18"/>
        <v>2963.3865869237802</v>
      </c>
      <c r="I33" s="953">
        <f t="shared" si="18"/>
        <v>0</v>
      </c>
      <c r="J33" s="953">
        <f t="shared" si="18"/>
        <v>658.82522772582115</v>
      </c>
      <c r="K33" s="953">
        <f t="shared" si="18"/>
        <v>0</v>
      </c>
      <c r="L33" s="953">
        <f t="shared" ca="1" si="18"/>
        <v>0</v>
      </c>
      <c r="M33" s="953">
        <f t="shared" si="18"/>
        <v>0</v>
      </c>
      <c r="N33" s="953">
        <f t="shared" ca="1" si="18"/>
        <v>0</v>
      </c>
      <c r="O33" s="953">
        <f t="shared" si="18"/>
        <v>0</v>
      </c>
      <c r="P33" s="953">
        <f t="shared" si="18"/>
        <v>0</v>
      </c>
      <c r="Q33" s="953">
        <f t="shared" ca="1" si="18"/>
        <v>117773.51510149526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6821.0911098734377</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647.24999999999989</v>
      </c>
      <c r="D8" s="1022">
        <f>'SEAP template'!D76</f>
        <v>760.75129883273735</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153.67176236421295</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6821.0911098734377</v>
      </c>
      <c r="C10" s="1026">
        <f>SUM(C4:C9)</f>
        <v>647.24999999999989</v>
      </c>
      <c r="D10" s="1026">
        <f t="shared" ref="D10:H10" si="0">SUM(D8:D9)</f>
        <v>760.75129883273735</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153.67176236421295</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0.20972229169819778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940.71428571428555</v>
      </c>
      <c r="D17" s="1023">
        <f>'SEAP template'!D87</f>
        <v>1105.677272595834</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223.34680906435847</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940.71428571428555</v>
      </c>
      <c r="D20" s="1026">
        <f t="shared" ref="D20:H20" si="2">SUM(D17:D19)</f>
        <v>1105.677272595834</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223.34680906435847</v>
      </c>
    </row>
    <row r="22" spans="1:16">
      <c r="A22" s="461" t="s">
        <v>848</v>
      </c>
      <c r="B22" s="760" t="s">
        <v>842</v>
      </c>
      <c r="C22" s="760">
        <f ca="1">'EF ele_warmte'!B22</f>
        <v>0.23742257607448891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0.20972229169819778</v>
      </c>
      <c r="C17" s="498">
        <f ca="1">'EF ele_warmte'!B22</f>
        <v>0.23742257607448891</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3</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4.6900000000000004</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2020-06-20T15:47:24Z</dcterms:modified>
</cp:coreProperties>
</file>