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O9" i="18" s="1"/>
  <c r="F6" i="17"/>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G48" i="18" l="1"/>
  <c r="I8" i="18" s="1"/>
  <c r="I48" i="18"/>
  <c r="H8" i="18" s="1"/>
  <c r="M76" i="14" s="1"/>
  <c r="E48" i="18"/>
  <c r="E8" i="18" s="1"/>
  <c r="B48" i="18"/>
  <c r="C8" i="18" s="1"/>
  <c r="O8" i="18" s="1"/>
  <c r="O10" i="18" s="1"/>
  <c r="M77" i="14"/>
  <c r="M9" i="61" s="1"/>
  <c r="H78" i="14"/>
  <c r="H9" i="61"/>
  <c r="H10" i="61" s="1"/>
  <c r="O90" i="14"/>
  <c r="O18" i="61"/>
  <c r="O20" i="61" s="1"/>
  <c r="B88" i="14"/>
  <c r="B18" i="61" s="1"/>
  <c r="Q77" i="14"/>
  <c r="P9" i="61" s="1"/>
  <c r="J17" i="18"/>
  <c r="H20" i="18"/>
  <c r="M87" i="14"/>
  <c r="J8" i="18"/>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B77" i="14" l="1"/>
  <c r="B9" i="61" s="1"/>
  <c r="C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J15" i="48"/>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<sst xmlns="http://schemas.openxmlformats.org/spreadsheetml/2006/main" count="2398" uniqueCount="887">
  <si>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</si>
  <si>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</si>
  <si>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</si>
  <si>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</si>
  <si>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</si>
  <si>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</si>
  <si>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</si>
  <si>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</si>
  <si>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</si>
  <si>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</si>
  <si>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</si>
  <si>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</si>
  <si>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</si>
  <si>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</si>
  <si>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</si>
  <si>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</si>
  <si>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</si>
  <si>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</si>
  <si>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</si>
  <si>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</si>
  <si>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</si>
  <si>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</si>
  <si>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</si>
  <si>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</si>
  <si>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</si>
  <si>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</si>
  <si>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</si>
  <si>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</si>
  <si>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</si>
  <si>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</si>
  <si>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</si>
  <si>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</si>
  <si>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</si>
  <si>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</si>
  <si>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</si>
  <si>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</si>
  <si>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</si>
  <si>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</si>
  <si>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</si>
  <si>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</si>
  <si>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</si>
  <si>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</si>
  <si>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</si>
  <si>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</si>
  <si>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</si>
  <si>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</si>
  <si>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</si>
  <si>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</si>
  <si>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</si>
  <si>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</si>
  <si>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</si>
  <si>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</si>
  <si>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</si>
  <si>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</si>
  <si>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</si>
  <si>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</si>
  <si>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</si>
  <si>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</si>
  <si>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</si>
  <si>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</si>
  <si>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</si>
  <si>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</si>
  <si>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</si>
  <si>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</si>
  <si>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</si>
  <si>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</si>
  <si>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</si>
  <si>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</si>
  <si>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</si>
  <si>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</si>
  <si>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</si>
  <si>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</si>
  <si>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</si>
  <si>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</si>
  <si>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</si>
  <si>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</si>
  <si>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</si>
  <si>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</si>
  <si>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</si>
  <si>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</si>
  <si>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</si>
  <si>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</si>
  <si>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</si>
  <si>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</si>
  <si>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</si>
  <si>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</si>
  <si>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</si>
  <si>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</si>
  <si>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</si>
  <si>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</si>
  <si>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</si>
  <si>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</si>
  <si>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</si>
  <si>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</si>
  <si>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</si>
  <si>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</si>
  <si>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</si>
  <si>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</si>
  <si>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</si>
  <si>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</si>
  <si>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</si>
  <si>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</si>
  <si>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</si>
  <si>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</si>
  <si>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</si>
  <si>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</si>
  <si>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</si>
  <si>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</si>
  <si>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</si>
  <si>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</si>
  <si>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</si>
  <si>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</si>
  <si>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</si>
  <si>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</si>
  <si>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</si>
  <si>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</si>
  <si>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</si>
  <si>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</si>
  <si>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</si>
  <si>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</si>
  <si>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</si>
  <si>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</si>
  <si>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</si>
  <si>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</si>
  <si>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</si>
  <si>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</si>
  <si>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</si>
  <si>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</si>
  <si>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</si>
  <si>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</si>
  <si>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</si>
  <si>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</si>
  <si>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</si>
  <si>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</si>
  <si>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</si>
  <si>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</si>
  <si>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</si>
  <si>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</si>
  <si>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</si>
  <si>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</si>
  <si>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</si>
  <si>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</si>
  <si>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</si>
  <si>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</si>
  <si>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</si>
  <si>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</si>
  <si>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</si>
  <si>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</si>
  <si>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</si>
  <si>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</si>
  <si>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</si>
  <si>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</si>
  <si>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</si>
  <si>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</si>
  <si>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</si>
  <si>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</si>
  <si>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</si>
  <si>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</si>
  <si>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</si>
  <si>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</si>
  <si>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</si>
  <si>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</si>
  <si>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</si>
  <si>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</si>
  <si>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</si>
  <si>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</si>
  <si>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</si>
  <si>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</si>
  <si>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</si>
  <si>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</si>
  <si>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</si>
  <si>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</si>
  <si>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</si>
  <si>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</si>
  <si>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</si>
  <si>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</si>
  <si>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</si>
  <si>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</si>
  <si>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</si>
  <si>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</si>
  <si>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</si>
  <si>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</si>
  <si>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</si>
  <si>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</si>
  <si>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</si>
  <si>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</si>
  <si>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</si>
  <si>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</si>
  <si>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</si>
  <si>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</si>
  <si>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</si>
  <si>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</si>
  <si>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</si>
  <si>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</si>
  <si>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</si>
  <si>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</si>
  <si>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</si>
  <si>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</si>
  <si>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</si>
  <si>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</si>
  <si>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</si>
  <si>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</si>
  <si>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</si>
  <si>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</si>
  <si>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</si>
  <si>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</si>
  <si>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</si>
  <si>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</si>
  <si>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</si>
  <si>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</si>
  <si>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</si>
  <si>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</si>
  <si>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</si>
  <si>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</si>
  <si>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</si>
  <si>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</si>
  <si>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</si>
  <si>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</si>
  <si>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</si>
  <si>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</si>
  <si>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</si>
  <si>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</si>
  <si>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</si>
  <si>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</si>
  <si>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</si>
  <si>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</si>
  <si>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</si>
  <si>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</si>
  <si>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</si>
  <si>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</si>
  <si>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</si>
  <si>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</si>
  <si>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</si>
  <si>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</si>
  <si>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</si>
  <si>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</si>
  <si>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</si>
  <si>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</si>
  <si>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</si>
  <si>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</si>
  <si>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</si>
  <si>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</si>
  <si>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</si>
  <si>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</si>
  <si>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</si>
  <si>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</si>
  <si>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</si>
  <si>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</si>
  <si>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</si>
  <si>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</si>
  <si>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</si>
  <si>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</si>
  <si>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</si>
  <si>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</si>
  <si>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</si>
  <si>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</si>
  <si>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</si>
  <si>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</si>
  <si>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</si>
  <si>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</si>
  <si>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</si>
  <si>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</si>
  <si>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</si>
  <si>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</si>
  <si>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</si>
  <si>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</si>
  <si>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</si>
  <si>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</si>
  <si>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</si>
  <si>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</si>
  <si>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</si>
  <si>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</si>
  <si>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</si>
  <si>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</si>
  <si>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</si>
  <si>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</si>
  <si>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</si>
  <si>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</si>
  <si>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</si>
  <si>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</si>
  <si>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</si>
  <si>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</si>
  <si>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</si>
  <si>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</si>
  <si>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</si>
  <si>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</si>
  <si>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</si>
  <si>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</si>
  <si>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</si>
  <si>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</si>
  <si>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</si>
  <si>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</si>
  <si>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</si>
  <si>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</si>
  <si>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</si>
  <si>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</si>
  <si>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</si>
  <si>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</si>
  <si>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</si>
  <si>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</si>
  <si>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</si>
  <si>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</si>
  <si>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</si>
  <si>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</si>
  <si>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</si>
  <si>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</si>
  <si>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</si>
  <si>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</si>
  <si>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</si>
  <si>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</si>
  <si>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</si>
  <si>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</si>
  <si>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</si>
  <si>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</si>
  <si>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</si>
  <si>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</si>
  <si>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</si>
  <si>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</si>
  <si>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</si>
  <si>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</si>
  <si>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</si>
  <si>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</si>
  <si>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</si>
  <si>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</si>
  <si>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</si>
  <si>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</si>
  <si>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</si>
  <si>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</si>
  <si>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</si>
  <si>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</si>
  <si>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</si>
  <si>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</si>
  <si>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</si>
  <si>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</si>
  <si>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</si>
  <si>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</si>
  <si>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</si>
  <si>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</si>
  <si>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</si>
  <si>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</si>
  <si>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</si>
  <si>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</si>
  <si>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</si>
  <si>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</si>
  <si>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</si>
  <si>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</si>
  <si>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</si>
  <si>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</si>
  <si>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</si>
  <si>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</si>
  <si>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</si>
  <si>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</si>
  <si>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</si>
  <si>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</si>
  <si>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</si>
  <si>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</si>
  <si>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</si>
  <si>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</si>
  <si>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</si>
  <si>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</si>
  <si>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</si>
  <si>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</si>
  <si>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</si>
  <si>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</si>
  <si>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</si>
  <si>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</si>
  <si>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</si>
  <si>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</si>
  <si>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</si>
  <si>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</si>
  <si>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</si>
  <si>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</si>
  <si>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</si>
  <si>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</si>
  <si>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</si>
  <si>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</si>
  <si>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</si>
  <si>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</si>
  <si>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</si>
  <si>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</si>
  <si>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</si>
  <si>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</si>
  <si>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</si>
  <si>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</si>
  <si>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</si>
  <si>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</si>
  <si>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</si>
  <si>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</si>
  <si>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</si>
  <si>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</si>
  <si>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</si>
  <si>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</si>
  <si>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</si>
  <si>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</si>
  <si>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</si>
  <si>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</si>
  <si>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</si>
  <si>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</si>
  <si>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</si>
  <si>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</si>
  <si>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</si>
  <si>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</si>
  <si>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</si>
  <si>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</si>
  <si>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</si>
  <si>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</si>
  <si>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</si>
  <si>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</si>
  <si>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</si>
  <si>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</si>
  <si>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</si>
  <si>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</si>
  <si>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</si>
  <si>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</si>
  <si>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</si>
  <si>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</si>
  <si>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</si>
  <si>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</si>
  <si>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</si>
  <si>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</si>
  <si>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</si>
  <si>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</si>
  <si>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</si>
  <si>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</si>
  <si>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</si>
  <si>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</si>
  <si>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</si>
  <si>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</si>
  <si>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</si>
  <si>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</si>
  <si>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</si>
  <si>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</si>
  <si>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</si>
  <si>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</si>
  <si>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</si>
  <si>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</si>
  <si>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</si>
  <si>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</si>
  <si>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</si>
  <si>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</si>
  <si>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</si>
  <si>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</si>
  <si>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</si>
  <si>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</si>
  <si>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</si>
  <si>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</si>
  <si>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</si>
  <si>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</si>
  <si>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</si>
  <si>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</si>
  <si>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</si>
  <si>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</si>
  <si>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</si>
  <si>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</si>
  <si>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</si>
  <si>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</si>
  <si>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</si>
  <si>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</si>
  <si>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</si>
  <si>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</si>
  <si>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</si>
  <si>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</si>
  <si>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</si>
  <si>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</si>
  <si>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</si>
  <si>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</si>
  <si>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</si>
  <si>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</si>
  <si>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</si>
  <si>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</si>
  <si>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</si>
  <si>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</si>
  <si>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</si>
  <si>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</si>
  <si>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</si>
  <si>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</si>
  <si>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</si>
  <si>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</si>
  <si>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</si>
  <si>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</si>
  <si>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</si>
  <si>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</si>
  <si>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</si>
  <si>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</si>
  <si>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</si>
  <si>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</si>
  <si>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</si>
  <si>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</si>
  <si>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</si>
  <si>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</si>
  <si>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</si>
  <si>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</si>
  <si>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</si>
  <si>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</si>
  <si>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</si>
  <si>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</si>
  <si>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</si>
  <si>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</si>
  <si>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</si>
  <si>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</si>
  <si>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</si>
  <si>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</si>
  <si>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</si>
  <si>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</si>
  <si>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</si>
  <si>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</si>
  <si>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</si>
  <si>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</si>
  <si>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</si>
  <si>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</si>
  <si>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</si>
  <si>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</si>
  <si>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</si>
  <si>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</si>
  <si>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</si>
  <si>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</si>
  <si>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</si>
  <si>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</si>
  <si>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</si>
  <si>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</si>
  <si>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</si>
  <si>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</si>
  <si>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</si>
  <si>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</si>
  <si>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</si>
  <si>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</si>
  <si>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</si>
  <si>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</si>
  <si>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</si>
  <si>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</si>
  <si>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</si>
  <si>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</si>
  <si>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</si>
  <si>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</si>
  <si>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</si>
  <si>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</si>
  <si>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</si>
  <si>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</si>
  <si>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</si>
  <si>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</si>
  <si>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</si>
  <si>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</si>
  <si>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</si>
  <si>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</si>
  <si>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</si>
  <si>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</si>
  <si>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</si>
  <si>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</si>
  <si>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</si>
  <si>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</si>
  <si>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</si>
  <si>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</si>
  <si>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</si>
  <si>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</si>
  <si>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</si>
  <si>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</si>
  <si>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</si>
  <si>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</si>
  <si>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</si>
  <si>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</si>
  <si>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</si>
  <si>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</si>
  <si>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</si>
  <si>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</si>
  <si>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</si>
  <si>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</si>
  <si>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</si>
  <si>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</si>
  <si>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</si>
  <si>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</si>
  <si>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</si>
  <si>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</si>
  <si>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</si>
  <si>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</si>
  <si>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</si>
  <si>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</si>
  <si>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</si>
  <si>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</si>
  <si>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</si>
  <si>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</si>
  <si>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</si>
  <si>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</si>
  <si>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</si>
  <si>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</si>
  <si>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</si>
  <si>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</si>
  <si>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</si>
  <si>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</si>
  <si>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</si>
  <si>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</si>
  <si>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</si>
  <si>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</si>
  <si>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</si>
  <si>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</si>
  <si>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</si>
  <si>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</si>
  <si>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</si>
  <si>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</si>
  <si>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</si>
  <si>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</si>
  <si>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</si>
  <si>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</si>
  <si>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</si>
  <si>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</si>
  <si>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</si>
  <si>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</si>
  <si>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</si>
  <si>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</si>
  <si>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</si>
  <si>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</si>
  <si>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</si>
  <si>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</si>
  <si>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</si>
  <si>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</si>
  <si>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</si>
  <si>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</si>
  <si>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</si>
  <si>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</si>
  <si>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</si>
  <si>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</si>
  <si>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</si>
  <si>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</si>
  <si>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</si>
  <si>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</si>
  <si>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</si>
  <si>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</si>
  <si>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</si>
  <si>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</si>
  <si>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</si>
  <si>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</si>
  <si>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</si>
  <si>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</si>
  <si>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</si>
  <si>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</si>
  <si>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</si>
  <si>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</si>
  <si>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</si>
  <si>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</si>
  <si>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</si>
  <si>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</si>
  <si>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</si>
  <si>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</si>
  <si>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</si>
  <si>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</si>
  <si>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</si>
  <si>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</si>
  <si>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</si>
  <si>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</si>
  <si>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</si>
  <si>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</si>
  <si>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</si>
  <si>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</si>
  <si>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</si>
  <si>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</si>
  <si>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</si>
  <si>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</si>
  <si>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</si>
  <si>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</si>
  <si>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</si>
  <si>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</si>
  <si>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</si>
  <si>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</si>
  <si>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</si>
  <si>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</si>
  <si>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</si>
  <si>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</si>
  <si>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</si>
  <si>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</si>
  <si>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</si>
  <si>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</si>
  <si>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</si>
  <si>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</si>
  <si>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</si>
  <si>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</si>
  <si>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</si>
  <si>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</si>
  <si>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</si>
  <si>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</si>
  <si>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</si>
  <si>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</si>
  <si>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</si>
  <si>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</si>
  <si>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</si>
  <si>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</si>
  <si>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</si>
  <si>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</si>
  <si>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</si>
  <si>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</si>
  <si>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</si>
  <si>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</si>
  <si>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</si>
  <si>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</si>
  <si>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</si>
  <si>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</si>
  <si>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</si>
  <si>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</si>
  <si>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</si>
  <si>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</si>
  <si>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</si>
  <si>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</si>
  <si>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</si>
  <si>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</si>
  <si>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</si>
  <si>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</si>
  <si>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</si>
  <si>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</si>
  <si>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</si>
  <si>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</si>
  <si>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</si>
  <si>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</si>
  <si>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</si>
  <si>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</si>
  <si>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</si>
  <si>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</si>
  <si>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</si>
  <si>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</si>
  <si>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</si>
  <si>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</si>
  <si>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</si>
  <si>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</si>
  <si>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</si>
  <si>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</si>
  <si>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</si>
  <si>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</si>
  <si>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</si>
  <si>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</si>
  <si>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</si>
  <si>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</si>
  <si>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</si>
  <si>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</si>
  <si>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</si>
  <si>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</si>
  <si>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</si>
  <si>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</si>
  <si>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</si>
  <si>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</si>
  <si>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</si>
  <si>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</si>
  <si>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</si>
  <si>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</si>
  <si>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</si>
  <si>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</si>
  <si>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</si>
  <si>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</si>
  <si>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</si>
  <si>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</si>
  <si>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</si>
  <si>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</si>
  <si>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</si>
  <si>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</si>
  <si>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</si>
  <si>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</si>
  <si>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</si>
  <si>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</si>
  <si>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</si>
  <si>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</si>
  <si>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</si>
  <si>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</si>
  <si>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</si>
  <si>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</si>
  <si>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</si>
  <si>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</si>
  <si>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</si>
  <si>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</si>
  <si>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</si>
  <si>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</si>
  <si>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</si>
  <si>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</si>
  <si>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</si>
  <si>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</si>
  <si>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</si>
  <si>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</si>
  <si>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</si>
  <si>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</si>
  <si>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</si>
  <si>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</si>
  <si>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</si>
  <si>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</si>
  <si>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</si>
  <si>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</si>
  <si>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</si>
  <si>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</si>
  <si>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</si>
  <si>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</si>
  <si>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</si>
  <si>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</si>
  <si>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</si>
  <si>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</si>
  <si>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</si>
  <si>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</si>
  <si>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</si>
  <si>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</si>
  <si>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</si>
  <si>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</si>
  <si>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</si>
  <si>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</si>
  <si>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</si>
  <si>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</si>
  <si>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</si>
  <si>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</si>
  <si>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</si>
  <si>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</si>
  <si>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</si>
  <si>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</si>
  <si>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</si>
  <si>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</si>
  <si>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</si>
  <si>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</si>
  <si>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</si>
  <si>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</si>
  <si>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</si>
  <si>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</si>
  <si>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</si>
  <si>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</si>
  <si>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</si>
  <si>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</si>
  <si>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</si>
  <si>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</si>
  <si>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</si>
  <si>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</si>
  <si>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</si>
  <si>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</si>
  <si>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</si>
  <si>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</si>
  <si>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</si>
  <si>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</si>
  <si>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</si>
  <si>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</si>
  <si>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</si>
  <si>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</si>
  <si>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</si>
  <si>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</si>
  <si>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</si>
  <si>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</si>
  <si>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</si>
  <si>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</si>
  <si>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</si>
  <si>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</si>
  <si>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</si>
  <si>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</si>
  <si>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</si>
  <si>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</si>
  <si>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</si>
  <si>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</si>
  <si>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</si>
  <si>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</si>
  <si>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</si>
  <si>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</si>
  <si>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</si>
  <si>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</si>
  <si>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</si>
  <si>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</si>
  <si>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</si>
  <si>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</si>
  <si>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</si>
  <si>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</si>
  <si>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</si>
  <si>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</si>
  <si>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</si>
  <si>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</si>
  <si>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</si>
  <si>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</si>
  <si>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</si>
  <si>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</si>
  <si>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</si>
  <si>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</si>
  <si>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</si>
  <si>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</si>
  <si>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</si>
  <si>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</si>
  <si>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</si>
  <si>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</si>
  <si>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</si>
  <si>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</si>
  <si>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</si>
  <si>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</si>
  <si>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</si>
  <si>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</si>
  <si>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</si>
  <si>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</si>
  <si>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</si>
  <si>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</si>
  <si>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</si>
  <si>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44040</t>
  </si>
  <si>
    <t>MELLE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</si>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</sst>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81733.101694241515</c:v>
                </c:pt>
                <c:pt idx="1">
                  <c:v>43568.930127018401</c:v>
                </c:pt>
                <c:pt idx="2">
                  <c:v>859.20100000000002</c:v>
                </c:pt>
                <c:pt idx="3">
                  <c:v>2310.7113051556739</c:v>
                </c:pt>
                <c:pt idx="4">
                  <c:v>19151.531072482583</c:v>
                </c:pt>
                <c:pt idx="5">
                  <c:v>239423.34815376095</c:v>
                </c:pt>
                <c:pt idx="6">
                  <c:v>1423.654228342358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81733.101694241515</c:v>
                </c:pt>
                <c:pt idx="1">
                  <c:v>43568.930127018401</c:v>
                </c:pt>
                <c:pt idx="2">
                  <c:v>859.20100000000002</c:v>
                </c:pt>
                <c:pt idx="3">
                  <c:v>2310.7113051556739</c:v>
                </c:pt>
                <c:pt idx="4">
                  <c:v>19151.531072482583</c:v>
                </c:pt>
                <c:pt idx="5">
                  <c:v>239423.34815376095</c:v>
                </c:pt>
                <c:pt idx="6">
                  <c:v>1423.654228342358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13729.166885094464</c:v>
                </c:pt>
                <c:pt idx="2">
                  <c:v>7819.0600800326711</c:v>
                </c:pt>
                <c:pt idx="3">
                  <c:v>121.38154642291498</c:v>
                </c:pt>
                <c:pt idx="4">
                  <c:v>521.99901328104841</c:v>
                </c:pt>
                <c:pt idx="5">
                  <c:v>3536.1013041963683</c:v>
                </c:pt>
                <c:pt idx="6">
                  <c:v>59973.220375140751</c:v>
                </c:pt>
                <c:pt idx="7">
                  <c:v>320.21107550471248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13729.166885094464</c:v>
                </c:pt>
                <c:pt idx="2">
                  <c:v>7819.0600800326711</c:v>
                </c:pt>
                <c:pt idx="3">
                  <c:v>121.38154642291498</c:v>
                </c:pt>
                <c:pt idx="4">
                  <c:v>521.99901328104841</c:v>
                </c:pt>
                <c:pt idx="5">
                  <c:v>3536.1013041963683</c:v>
                </c:pt>
                <c:pt idx="6">
                  <c:v>59973.220375140751</c:v>
                </c:pt>
                <c:pt idx="7">
                  <c:v>320.21107550471248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44040</v>
      </c>
      <c r="B6" s="390"/>
      <c r="C6" s="391"/>
    </row>
    <row r="7" spans="1:7" s="388" customFormat="1" ht="15.75" customHeight="1">
      <c r="A7" s="392" t="str">
        <f>txtMunicipality</f>
        <v>MELLE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0.14127258513772095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0.14127258513772095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468.79</v>
      </c>
      <c r="C14" s="330"/>
      <c r="D14" s="330"/>
      <c r="E14" s="330"/>
      <c r="F14" s="330"/>
    </row>
    <row r="15" spans="1:6">
      <c r="A15" s="1293" t="s">
        <v>183</v>
      </c>
      <c r="B15" s="1294">
        <v>7</v>
      </c>
      <c r="C15" s="330"/>
      <c r="D15" s="330"/>
      <c r="E15" s="330"/>
      <c r="F15" s="330"/>
    </row>
    <row r="16" spans="1:6">
      <c r="A16" s="1293" t="s">
        <v>6</v>
      </c>
      <c r="B16" s="1294">
        <v>218</v>
      </c>
      <c r="C16" s="330"/>
      <c r="D16" s="330"/>
      <c r="E16" s="330"/>
      <c r="F16" s="330"/>
    </row>
    <row r="17" spans="1:6">
      <c r="A17" s="1293" t="s">
        <v>7</v>
      </c>
      <c r="B17" s="1294">
        <v>110</v>
      </c>
      <c r="C17" s="330"/>
      <c r="D17" s="330"/>
      <c r="E17" s="330"/>
      <c r="F17" s="330"/>
    </row>
    <row r="18" spans="1:6">
      <c r="A18" s="1293" t="s">
        <v>8</v>
      </c>
      <c r="B18" s="1294">
        <v>184</v>
      </c>
      <c r="C18" s="330"/>
      <c r="D18" s="330"/>
      <c r="E18" s="330"/>
      <c r="F18" s="330"/>
    </row>
    <row r="19" spans="1:6">
      <c r="A19" s="1293" t="s">
        <v>9</v>
      </c>
      <c r="B19" s="1294">
        <v>127</v>
      </c>
      <c r="C19" s="330"/>
      <c r="D19" s="330"/>
      <c r="E19" s="330"/>
      <c r="F19" s="330"/>
    </row>
    <row r="20" spans="1:6">
      <c r="A20" s="1293" t="s">
        <v>10</v>
      </c>
      <c r="B20" s="1294">
        <v>66</v>
      </c>
      <c r="C20" s="330"/>
      <c r="D20" s="330"/>
      <c r="E20" s="330"/>
      <c r="F20" s="330"/>
    </row>
    <row r="21" spans="1:6">
      <c r="A21" s="1293" t="s">
        <v>11</v>
      </c>
      <c r="B21" s="1294">
        <v>1017</v>
      </c>
      <c r="C21" s="330"/>
      <c r="D21" s="330"/>
      <c r="E21" s="330"/>
      <c r="F21" s="330"/>
    </row>
    <row r="22" spans="1:6">
      <c r="A22" s="1293" t="s">
        <v>12</v>
      </c>
      <c r="B22" s="1294">
        <v>955</v>
      </c>
      <c r="C22" s="330"/>
      <c r="D22" s="330"/>
      <c r="E22" s="330"/>
      <c r="F22" s="330"/>
    </row>
    <row r="23" spans="1:6">
      <c r="A23" s="1293" t="s">
        <v>13</v>
      </c>
      <c r="B23" s="1294">
        <v>45</v>
      </c>
      <c r="C23" s="330"/>
      <c r="D23" s="330"/>
      <c r="E23" s="330"/>
      <c r="F23" s="330"/>
    </row>
    <row r="24" spans="1:6">
      <c r="A24" s="1293" t="s">
        <v>14</v>
      </c>
      <c r="B24" s="1294">
        <v>2</v>
      </c>
      <c r="C24" s="330"/>
      <c r="D24" s="330"/>
      <c r="E24" s="330"/>
      <c r="F24" s="330"/>
    </row>
    <row r="25" spans="1:6">
      <c r="A25" s="1293" t="s">
        <v>15</v>
      </c>
      <c r="B25" s="1294">
        <v>214</v>
      </c>
      <c r="C25" s="330"/>
      <c r="D25" s="330"/>
      <c r="E25" s="330"/>
      <c r="F25" s="330"/>
    </row>
    <row r="26" spans="1:6">
      <c r="A26" s="1293" t="s">
        <v>16</v>
      </c>
      <c r="B26" s="1294">
        <v>52</v>
      </c>
      <c r="C26" s="330"/>
      <c r="D26" s="330"/>
      <c r="E26" s="330"/>
      <c r="F26" s="330"/>
    </row>
    <row r="27" spans="1:6">
      <c r="A27" s="1293" t="s">
        <v>17</v>
      </c>
      <c r="B27" s="1294">
        <v>33</v>
      </c>
      <c r="C27" s="330"/>
      <c r="D27" s="330"/>
      <c r="E27" s="330"/>
      <c r="F27" s="330"/>
    </row>
    <row r="28" spans="1:6" s="43" customFormat="1">
      <c r="A28" s="1295" t="s">
        <v>18</v>
      </c>
      <c r="B28" s="1296">
        <v>545</v>
      </c>
      <c r="C28" s="336"/>
      <c r="D28" s="336"/>
      <c r="E28" s="336"/>
      <c r="F28" s="336"/>
    </row>
    <row r="29" spans="1:6">
      <c r="A29" s="1295" t="s">
        <v>734</v>
      </c>
      <c r="B29" s="1296">
        <v>196</v>
      </c>
      <c r="C29" s="336"/>
      <c r="D29" s="336"/>
      <c r="E29" s="336"/>
      <c r="F29" s="336"/>
    </row>
    <row r="30" spans="1:6">
      <c r="A30" s="1288" t="s">
        <v>735</v>
      </c>
      <c r="B30" s="1297">
        <v>36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5</v>
      </c>
      <c r="D36" s="1294">
        <v>1961274.5975426999</v>
      </c>
      <c r="E36" s="1294">
        <v>11</v>
      </c>
      <c r="F36" s="1294">
        <v>2277509.8736618902</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3378</v>
      </c>
      <c r="D39" s="1294">
        <v>56863669.465582103</v>
      </c>
      <c r="E39" s="1294">
        <v>4492</v>
      </c>
      <c r="F39" s="1294">
        <v>17607463.9659422</v>
      </c>
    </row>
    <row r="40" spans="1:6">
      <c r="A40" s="1293" t="s">
        <v>29</v>
      </c>
      <c r="B40" s="1293" t="s">
        <v>28</v>
      </c>
      <c r="C40" s="1294">
        <v>0</v>
      </c>
      <c r="D40" s="1294">
        <v>0</v>
      </c>
      <c r="E40" s="1294">
        <v>0</v>
      </c>
      <c r="F40" s="1294">
        <v>0</v>
      </c>
    </row>
    <row r="41" spans="1:6">
      <c r="A41" s="1293" t="s">
        <v>31</v>
      </c>
      <c r="B41" s="1293" t="s">
        <v>32</v>
      </c>
      <c r="C41" s="1294">
        <v>59</v>
      </c>
      <c r="D41" s="1294">
        <v>1792288.8993214699</v>
      </c>
      <c r="E41" s="1294">
        <v>125</v>
      </c>
      <c r="F41" s="1294">
        <v>1690071.14681094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83477.218395915901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85995.8984272042</v>
      </c>
      <c r="E47" s="1294">
        <v>4</v>
      </c>
      <c r="F47" s="1294">
        <v>11928.880989731901</v>
      </c>
    </row>
    <row r="48" spans="1:6">
      <c r="A48" s="1293" t="s">
        <v>31</v>
      </c>
      <c r="B48" s="1293" t="s">
        <v>28</v>
      </c>
      <c r="C48" s="1294">
        <v>24</v>
      </c>
      <c r="D48" s="1294">
        <v>919291.21768392704</v>
      </c>
      <c r="E48" s="1294">
        <v>29</v>
      </c>
      <c r="F48" s="1294">
        <v>885688.99622792494</v>
      </c>
    </row>
    <row r="49" spans="1:6">
      <c r="A49" s="1293" t="s">
        <v>31</v>
      </c>
      <c r="B49" s="1293" t="s">
        <v>39</v>
      </c>
      <c r="C49" s="1294">
        <v>0</v>
      </c>
      <c r="D49" s="1294">
        <v>0</v>
      </c>
      <c r="E49" s="1294">
        <v>3</v>
      </c>
      <c r="F49" s="1294">
        <v>14737.149379897401</v>
      </c>
    </row>
    <row r="50" spans="1:6">
      <c r="A50" s="1293" t="s">
        <v>31</v>
      </c>
      <c r="B50" s="1293" t="s">
        <v>40</v>
      </c>
      <c r="C50" s="1294">
        <v>8</v>
      </c>
      <c r="D50" s="1294">
        <v>8578178.9923601206</v>
      </c>
      <c r="E50" s="1294">
        <v>8</v>
      </c>
      <c r="F50" s="1294">
        <v>3448468.9597370499</v>
      </c>
    </row>
    <row r="51" spans="1:6">
      <c r="A51" s="1293" t="s">
        <v>41</v>
      </c>
      <c r="B51" s="1293" t="s">
        <v>42</v>
      </c>
      <c r="C51" s="1294">
        <v>6</v>
      </c>
      <c r="D51" s="1294">
        <v>1030149.49733545</v>
      </c>
      <c r="E51" s="1294">
        <v>20</v>
      </c>
      <c r="F51" s="1294">
        <v>132238.62820941501</v>
      </c>
    </row>
    <row r="52" spans="1:6">
      <c r="A52" s="1293" t="s">
        <v>41</v>
      </c>
      <c r="B52" s="1293" t="s">
        <v>28</v>
      </c>
      <c r="C52" s="1294">
        <v>2</v>
      </c>
      <c r="D52" s="1294">
        <v>126998.75925171599</v>
      </c>
      <c r="E52" s="1294">
        <v>6</v>
      </c>
      <c r="F52" s="1294">
        <v>105010.803627977</v>
      </c>
    </row>
    <row r="53" spans="1:6">
      <c r="A53" s="1293" t="s">
        <v>43</v>
      </c>
      <c r="B53" s="1293" t="s">
        <v>44</v>
      </c>
      <c r="C53" s="1294">
        <v>92</v>
      </c>
      <c r="D53" s="1294">
        <v>4183789.0606943099</v>
      </c>
      <c r="E53" s="1294">
        <v>158</v>
      </c>
      <c r="F53" s="1294">
        <v>520972.46310414001</v>
      </c>
    </row>
    <row r="54" spans="1:6">
      <c r="A54" s="1293" t="s">
        <v>45</v>
      </c>
      <c r="B54" s="1293" t="s">
        <v>46</v>
      </c>
      <c r="C54" s="1294">
        <v>0</v>
      </c>
      <c r="D54" s="1294">
        <v>0</v>
      </c>
      <c r="E54" s="1294">
        <v>2</v>
      </c>
      <c r="F54" s="1294">
        <v>859201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21</v>
      </c>
      <c r="D57" s="1294">
        <v>899563.46347761003</v>
      </c>
      <c r="E57" s="1294">
        <v>85</v>
      </c>
      <c r="F57" s="1294">
        <v>1199274.31249048</v>
      </c>
    </row>
    <row r="58" spans="1:6">
      <c r="A58" s="1293" t="s">
        <v>48</v>
      </c>
      <c r="B58" s="1293" t="s">
        <v>50</v>
      </c>
      <c r="C58" s="1294">
        <v>23</v>
      </c>
      <c r="D58" s="1294">
        <v>5471309.1523855198</v>
      </c>
      <c r="E58" s="1294">
        <v>35</v>
      </c>
      <c r="F58" s="1294">
        <v>402094.13797647197</v>
      </c>
    </row>
    <row r="59" spans="1:6">
      <c r="A59" s="1293" t="s">
        <v>48</v>
      </c>
      <c r="B59" s="1293" t="s">
        <v>51</v>
      </c>
      <c r="C59" s="1294">
        <v>64</v>
      </c>
      <c r="D59" s="1294">
        <v>6185607.3961913399</v>
      </c>
      <c r="E59" s="1294">
        <v>112</v>
      </c>
      <c r="F59" s="1294">
        <v>3093080.98308525</v>
      </c>
    </row>
    <row r="60" spans="1:6">
      <c r="A60" s="1293" t="s">
        <v>48</v>
      </c>
      <c r="B60" s="1293" t="s">
        <v>52</v>
      </c>
      <c r="C60" s="1294">
        <v>33</v>
      </c>
      <c r="D60" s="1294">
        <v>1308561.5849337601</v>
      </c>
      <c r="E60" s="1294">
        <v>44</v>
      </c>
      <c r="F60" s="1294">
        <v>1513254.54488082</v>
      </c>
    </row>
    <row r="61" spans="1:6">
      <c r="A61" s="1293" t="s">
        <v>48</v>
      </c>
      <c r="B61" s="1293" t="s">
        <v>53</v>
      </c>
      <c r="C61" s="1294">
        <v>127</v>
      </c>
      <c r="D61" s="1294">
        <v>4611987.6930061104</v>
      </c>
      <c r="E61" s="1294">
        <v>231</v>
      </c>
      <c r="F61" s="1294">
        <v>3293857.2972555598</v>
      </c>
    </row>
    <row r="62" spans="1:6">
      <c r="A62" s="1293" t="s">
        <v>48</v>
      </c>
      <c r="B62" s="1293" t="s">
        <v>54</v>
      </c>
      <c r="C62" s="1294">
        <v>6</v>
      </c>
      <c r="D62" s="1294">
        <v>665252.84212291799</v>
      </c>
      <c r="E62" s="1294">
        <v>11</v>
      </c>
      <c r="F62" s="1294">
        <v>963650.74794697599</v>
      </c>
    </row>
    <row r="63" spans="1:6">
      <c r="A63" s="1293" t="s">
        <v>48</v>
      </c>
      <c r="B63" s="1293" t="s">
        <v>28</v>
      </c>
      <c r="C63" s="1294">
        <v>78</v>
      </c>
      <c r="D63" s="1294">
        <v>8916243.6095183194</v>
      </c>
      <c r="E63" s="1294">
        <v>101</v>
      </c>
      <c r="F63" s="1294">
        <v>3715934.9247326399</v>
      </c>
    </row>
    <row r="64" spans="1:6">
      <c r="A64" s="1293" t="s">
        <v>55</v>
      </c>
      <c r="B64" s="1293" t="s">
        <v>56</v>
      </c>
      <c r="C64" s="1294">
        <v>0</v>
      </c>
      <c r="D64" s="1294">
        <v>0</v>
      </c>
      <c r="E64" s="1294">
        <v>0</v>
      </c>
      <c r="F64" s="1294">
        <v>0</v>
      </c>
    </row>
    <row r="65" spans="1:6">
      <c r="A65" s="1293" t="s">
        <v>55</v>
      </c>
      <c r="B65" s="1293" t="s">
        <v>28</v>
      </c>
      <c r="C65" s="1294">
        <v>2</v>
      </c>
      <c r="D65" s="1294">
        <v>25923.740325921201</v>
      </c>
      <c r="E65" s="1294">
        <v>3</v>
      </c>
      <c r="F65" s="1294">
        <v>265686.56662807899</v>
      </c>
    </row>
    <row r="66" spans="1:6">
      <c r="A66" s="1293" t="s">
        <v>55</v>
      </c>
      <c r="B66" s="1293" t="s">
        <v>57</v>
      </c>
      <c r="C66" s="1294">
        <v>3</v>
      </c>
      <c r="D66" s="1294">
        <v>6190747.0607183101</v>
      </c>
      <c r="E66" s="1294">
        <v>16</v>
      </c>
      <c r="F66" s="1294">
        <v>2661412.6258141501</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77243.725578051395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37270594</v>
      </c>
      <c r="E73" s="449"/>
      <c r="F73" s="330"/>
    </row>
    <row r="74" spans="1:6">
      <c r="A74" s="1293" t="s">
        <v>63</v>
      </c>
      <c r="B74" s="1293" t="s">
        <v>656</v>
      </c>
      <c r="C74" s="1307" t="s">
        <v>658</v>
      </c>
      <c r="D74" s="1308">
        <v>3468503</v>
      </c>
      <c r="E74" s="449"/>
      <c r="F74" s="330"/>
    </row>
    <row r="75" spans="1:6">
      <c r="A75" s="1293" t="s">
        <v>64</v>
      </c>
      <c r="B75" s="1293" t="s">
        <v>655</v>
      </c>
      <c r="C75" s="1307" t="s">
        <v>659</v>
      </c>
      <c r="D75" s="1308">
        <v>7985389</v>
      </c>
      <c r="E75" s="449"/>
      <c r="F75" s="330"/>
    </row>
    <row r="76" spans="1:6">
      <c r="A76" s="1293" t="s">
        <v>64</v>
      </c>
      <c r="B76" s="1293" t="s">
        <v>656</v>
      </c>
      <c r="C76" s="1307" t="s">
        <v>660</v>
      </c>
      <c r="D76" s="1308">
        <v>585063</v>
      </c>
      <c r="E76" s="449"/>
      <c r="F76" s="330"/>
    </row>
    <row r="77" spans="1:6">
      <c r="A77" s="1293" t="s">
        <v>65</v>
      </c>
      <c r="B77" s="1293" t="s">
        <v>655</v>
      </c>
      <c r="C77" s="1307" t="s">
        <v>661</v>
      </c>
      <c r="D77" s="1308">
        <v>202214803</v>
      </c>
      <c r="E77" s="449"/>
      <c r="F77" s="330"/>
    </row>
    <row r="78" spans="1:6">
      <c r="A78" s="1288" t="s">
        <v>65</v>
      </c>
      <c r="B78" s="1288" t="s">
        <v>656</v>
      </c>
      <c r="C78" s="1288" t="s">
        <v>662</v>
      </c>
      <c r="D78" s="1309">
        <v>23684785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291608</v>
      </c>
      <c r="C83" s="449"/>
      <c r="D83" s="330"/>
      <c r="E83" s="330"/>
      <c r="F83" s="330"/>
    </row>
    <row r="84" spans="1:6">
      <c r="A84" s="1288" t="s">
        <v>336</v>
      </c>
      <c r="B84" s="1309">
        <v>100551</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11884.892064256963</v>
      </c>
      <c r="C90" s="330"/>
      <c r="D90" s="330"/>
      <c r="E90" s="330"/>
      <c r="F90" s="330"/>
    </row>
    <row r="91" spans="1:6">
      <c r="A91" s="1293" t="s">
        <v>67</v>
      </c>
      <c r="B91" s="1294">
        <v>1990.1808251777409</v>
      </c>
      <c r="C91" s="330"/>
      <c r="D91" s="330"/>
      <c r="E91" s="330"/>
      <c r="F91" s="330"/>
    </row>
    <row r="92" spans="1:6">
      <c r="A92" s="1288" t="s">
        <v>68</v>
      </c>
      <c r="B92" s="1289">
        <v>1265.1243583154887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2031</v>
      </c>
      <c r="C97" s="330"/>
      <c r="D97" s="330"/>
      <c r="E97" s="330"/>
      <c r="F97" s="330"/>
    </row>
    <row r="98" spans="1:6">
      <c r="A98" s="1293" t="s">
        <v>71</v>
      </c>
      <c r="B98" s="1294">
        <v>0</v>
      </c>
      <c r="C98" s="330"/>
      <c r="D98" s="330"/>
      <c r="E98" s="330"/>
      <c r="F98" s="330"/>
    </row>
    <row r="99" spans="1:6">
      <c r="A99" s="1293" t="s">
        <v>72</v>
      </c>
      <c r="B99" s="1294">
        <v>23</v>
      </c>
      <c r="C99" s="330"/>
      <c r="D99" s="330"/>
      <c r="E99" s="330"/>
      <c r="F99" s="330"/>
    </row>
    <row r="100" spans="1:6">
      <c r="A100" s="1293" t="s">
        <v>73</v>
      </c>
      <c r="B100" s="1294">
        <v>497</v>
      </c>
      <c r="C100" s="330"/>
      <c r="D100" s="330"/>
      <c r="E100" s="330"/>
      <c r="F100" s="330"/>
    </row>
    <row r="101" spans="1:6">
      <c r="A101" s="1293" t="s">
        <v>74</v>
      </c>
      <c r="B101" s="1294">
        <v>48</v>
      </c>
      <c r="C101" s="330"/>
      <c r="D101" s="330"/>
      <c r="E101" s="330"/>
      <c r="F101" s="330"/>
    </row>
    <row r="102" spans="1:6">
      <c r="A102" s="1293" t="s">
        <v>75</v>
      </c>
      <c r="B102" s="1294">
        <v>61</v>
      </c>
      <c r="C102" s="330"/>
      <c r="D102" s="330"/>
      <c r="E102" s="330"/>
      <c r="F102" s="330"/>
    </row>
    <row r="103" spans="1:6">
      <c r="A103" s="1293" t="s">
        <v>76</v>
      </c>
      <c r="B103" s="1294">
        <v>100</v>
      </c>
      <c r="C103" s="330"/>
      <c r="D103" s="330"/>
      <c r="E103" s="330"/>
      <c r="F103" s="330"/>
    </row>
    <row r="104" spans="1:6">
      <c r="A104" s="1293" t="s">
        <v>77</v>
      </c>
      <c r="B104" s="1294">
        <v>1227</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108</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41967.792352638506</v>
      </c>
      <c r="C3" s="43" t="s">
        <v>169</v>
      </c>
      <c r="D3" s="43"/>
      <c r="E3" s="154"/>
      <c r="F3" s="43"/>
      <c r="G3" s="43"/>
      <c r="H3" s="43"/>
      <c r="I3" s="43"/>
      <c r="J3" s="43"/>
      <c r="K3" s="96"/>
    </row>
    <row r="4" spans="1:11">
      <c r="A4" s="358" t="s">
        <v>170</v>
      </c>
      <c r="B4" s="49">
        <f>IF(ISERROR('SEAP template'!B78+'SEAP template'!C78),0,'SEAP template'!B78+'SEAP template'!C78)</f>
        <v>15140.197247750191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0.14127258513772095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859.20100000000002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859.20100000000002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0.14127258513772095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121.38154642291498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17607.463965942199</v>
      </c>
      <c r="C5" s="17">
        <f>IF(ISERROR('Eigen informatie GS &amp; warmtenet'!B57),0,'Eigen informatie GS &amp; warmtenet'!B57)</f>
        <v>0</v>
      </c>
      <c r="D5" s="30">
        <f>(SUM(HH_hh_gas_kWh,HH_rest_gas_kWh)/1000)*0.902</f>
        <v>51291.029857955058</v>
      </c>
      <c r="E5" s="17">
        <f>B46*B57</f>
        <v>2642.1537953094116</v>
      </c>
      <c r="F5" s="17">
        <f>B51*B62</f>
        <v>0</v>
      </c>
      <c r="G5" s="18"/>
      <c r="H5" s="17"/>
      <c r="I5" s="17"/>
      <c r="J5" s="17">
        <f>B50*B61+C50*C61</f>
        <v>0</v>
      </c>
      <c r="K5" s="17"/>
      <c r="L5" s="17"/>
      <c r="M5" s="17"/>
      <c r="N5" s="17">
        <f>B48*B59+C48*C59</f>
        <v>7599.8965831904552</v>
      </c>
      <c r="O5" s="17">
        <f>B69*B70*B71</f>
        <v>182.91000000000003</v>
      </c>
      <c r="P5" s="17">
        <f>B77*B78*B79/1000-B77*B78*B79/1000/B80</f>
        <v>419.4666666666667</v>
      </c>
    </row>
    <row r="6" spans="1:16">
      <c r="A6" s="16" t="s">
        <v>620</v>
      </c>
      <c r="B6" s="762">
        <f>kWh_PV_kleiner_dan_10kW</f>
        <v>1990.1808251777409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19597.644791119939</v>
      </c>
      <c r="C8" s="21">
        <f>C5</f>
        <v>0</v>
      </c>
      <c r="D8" s="21">
        <f>D5</f>
        <v>51291.029857955058</v>
      </c>
      <c r="E8" s="21">
        <f>E5</f>
        <v>2642.1537953094116</v>
      </c>
      <c r="F8" s="21">
        <f>F5</f>
        <v>0</v>
      </c>
      <c r="G8" s="21"/>
      <c r="H8" s="21"/>
      <c r="I8" s="21"/>
      <c r="J8" s="21">
        <f>J5</f>
        <v>0</v>
      </c>
      <c r="K8" s="21"/>
      <c r="L8" s="21">
        <f>L5</f>
        <v>0</v>
      </c>
      <c r="M8" s="21">
        <f>M5</f>
        <v>0</v>
      </c>
      <c r="N8" s="21">
        <f>N5</f>
        <v>7599.8965831904552</v>
      </c>
      <c r="O8" s="21">
        <f>O5</f>
        <v>182.91000000000003</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0.14127258513772095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2768.6099422523052</v>
      </c>
      <c r="C12" s="23">
        <f ca="1">C10*C8</f>
        <v>0</v>
      </c>
      <c r="D12" s="23">
        <f>D8*D10</f>
        <v>10360.788031306922</v>
      </c>
      <c r="E12" s="23">
        <f>E10*E8</f>
        <v>599.7689115352365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4634</v>
      </c>
      <c r="C28" s="36"/>
      <c r="D28" s="228"/>
    </row>
    <row r="29" spans="1:7" s="15" customFormat="1">
      <c r="A29" s="230" t="s">
        <v>781</v>
      </c>
      <c r="B29" s="37">
        <f>SUM(HH_hh_gas_aantal,HH_rest_gas_aantal)</f>
        <v>3378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3378</v>
      </c>
      <c r="C32" s="167">
        <f>IF(ISERROR(B32/SUM($B$32,$B$34,$B$35,$B$36,$B$38,$B$39)*100),0,B32/SUM($B$32,$B$34,$B$35,$B$36,$B$38,$B$39)*100)</f>
        <v>73.243712055507373</v>
      </c>
      <c r="D32" s="233"/>
      <c r="G32" s="15"/>
    </row>
    <row r="33" spans="1:7">
      <c r="A33" s="171" t="s">
        <v>71</v>
      </c>
      <c r="B33" s="34" t="s">
        <v>110</v>
      </c>
      <c r="C33" s="167"/>
      <c r="D33" s="233"/>
      <c r="G33" s="15"/>
    </row>
    <row r="34" spans="1:7">
      <c r="A34" s="171" t="s">
        <v>72</v>
      </c>
      <c r="B34" s="33">
        <f>IF((($B$28-$B$32-$B$39-$B$77-$B$38)*C20/100)&lt;0,0,($B$28-$B$32-$B$39-$B$77-$B$38)*C20/100)</f>
        <v>49.968309859154935</v>
      </c>
      <c r="C34" s="167">
        <f>IF(ISERROR(B34/SUM($B$32,$B$34,$B$35,$B$36,$B$38,$B$39)*100),0,B34/SUM($B$32,$B$34,$B$35,$B$36,$B$38,$B$39)*100)</f>
        <v>1.0834412371889621</v>
      </c>
      <c r="D34" s="233"/>
      <c r="G34" s="15"/>
    </row>
    <row r="35" spans="1:7">
      <c r="A35" s="171" t="s">
        <v>73</v>
      </c>
      <c r="B35" s="33">
        <f>IF((($B$28-$B$32-$B$39-$B$77-$B$38)*C21/100)&lt;0,0,($B$28-$B$32-$B$39-$B$77-$B$38)*C21/100)</f>
        <v>1079.75</v>
      </c>
      <c r="C35" s="167">
        <f>IF(ISERROR(B35/SUM($B$32,$B$34,$B$35,$B$36,$B$38,$B$39)*100),0,B35/SUM($B$32,$B$34,$B$35,$B$36,$B$38,$B$39)*100)</f>
        <v>23.41175195143105</v>
      </c>
      <c r="D35" s="233"/>
      <c r="G35" s="15"/>
    </row>
    <row r="36" spans="1:7">
      <c r="A36" s="171" t="s">
        <v>74</v>
      </c>
      <c r="B36" s="33">
        <f>IF((($B$28-$B$32-$B$39-$B$77-$B$38)*C22/100)&lt;0,0,($B$28-$B$32-$B$39-$B$77-$B$38)*C22/100)</f>
        <v>104.28169014084506</v>
      </c>
      <c r="C36" s="167">
        <f>IF(ISERROR(B36/SUM($B$32,$B$34,$B$35,$B$36,$B$38,$B$39)*100),0,B36/SUM($B$32,$B$34,$B$35,$B$36,$B$38,$B$39)*100)</f>
        <v>2.261094755872616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3378</v>
      </c>
      <c r="C44" s="34" t="s">
        <v>110</v>
      </c>
      <c r="D44" s="174"/>
    </row>
    <row r="45" spans="1:7">
      <c r="A45" s="171" t="s">
        <v>71</v>
      </c>
      <c r="B45" s="33" t="str">
        <f t="shared" si="0"/>
        <v>-</v>
      </c>
      <c r="C45" s="34" t="s">
        <v>110</v>
      </c>
      <c r="D45" s="174"/>
    </row>
    <row r="46" spans="1:7">
      <c r="A46" s="171" t="s">
        <v>72</v>
      </c>
      <c r="B46" s="33">
        <f t="shared" si="0"/>
        <v>49.968309859154935</v>
      </c>
      <c r="C46" s="34" t="s">
        <v>110</v>
      </c>
      <c r="D46" s="174"/>
    </row>
    <row r="47" spans="1:7">
      <c r="A47" s="171" t="s">
        <v>73</v>
      </c>
      <c r="B47" s="33">
        <f t="shared" si="0"/>
        <v>1079.75</v>
      </c>
      <c r="C47" s="34" t="s">
        <v>110</v>
      </c>
      <c r="D47" s="174"/>
    </row>
    <row r="48" spans="1:7">
      <c r="A48" s="171" t="s">
        <v>74</v>
      </c>
      <c r="B48" s="33">
        <f t="shared" si="0"/>
        <v>104.28169014084506</v>
      </c>
      <c r="C48" s="33">
        <f>B48*10</f>
        <v>1042.8169014084506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14181.146948368198</v>
      </c>
      <c r="C5" s="17">
        <f>IF(ISERROR('Eigen informatie GS &amp; warmtenet'!B58),0,'Eigen informatie GS &amp; warmtenet'!B58)</f>
        <v>0</v>
      </c>
      <c r="D5" s="30">
        <f>SUM(D6:D12)</f>
        <v>25308.790218955291</v>
      </c>
      <c r="E5" s="17">
        <f>SUM(E6:E12)</f>
        <v>196.01488288569175</v>
      </c>
      <c r="F5" s="17">
        <f>SUM(F6:F12)</f>
        <v>2467.3010757850207</v>
      </c>
      <c r="G5" s="18"/>
      <c r="H5" s="17"/>
      <c r="I5" s="17"/>
      <c r="J5" s="17">
        <f>SUM(J6:J12)</f>
        <v>3.5029774496167086E-2</v>
      </c>
      <c r="K5" s="17"/>
      <c r="L5" s="17"/>
      <c r="M5" s="17"/>
      <c r="N5" s="17">
        <f>SUM(N6:N12)</f>
        <v>1395.0119712497094</v>
      </c>
      <c r="O5" s="17">
        <f>B38*B39*B40</f>
        <v>1.5633333333333335</v>
      </c>
      <c r="P5" s="17">
        <f>B46*B47*B48/1000-B46*B47*B48/1000/B49</f>
        <v>19.066666666666666</v>
      </c>
      <c r="R5" s="32"/>
    </row>
    <row r="6" spans="1:18">
      <c r="A6" s="32" t="s">
        <v>53</v>
      </c>
      <c r="B6" s="37">
        <f>B26</f>
        <v>3293.8572972555598</v>
      </c>
      <c r="C6" s="33"/>
      <c r="D6" s="37">
        <f>IF(ISERROR(TER_kantoor_gas_kWh/1000),0,TER_kantoor_gas_kWh/1000)*0.902</f>
        <v>4160.0128990915109</v>
      </c>
      <c r="E6" s="33">
        <f>$C$26*'E Balans VL '!I12/100/3.6*1000000</f>
        <v>2.0644802019423644E-2</v>
      </c>
      <c r="F6" s="33">
        <f>$C$26*('E Balans VL '!L12+'E Balans VL '!N12)/100/3.6*1000000</f>
        <v>494.97471262650527</v>
      </c>
      <c r="G6" s="34"/>
      <c r="H6" s="33"/>
      <c r="I6" s="33"/>
      <c r="J6" s="33">
        <f>$C$26*('E Balans VL '!D12+'E Balans VL '!E12)/100/3.6*1000000</f>
        <v>0</v>
      </c>
      <c r="K6" s="33"/>
      <c r="L6" s="33"/>
      <c r="M6" s="33"/>
      <c r="N6" s="33">
        <f>$C$26*'E Balans VL '!Y12/100/3.6*1000000</f>
        <v>3.1500861368850925</v>
      </c>
      <c r="O6" s="33"/>
      <c r="P6" s="33"/>
      <c r="R6" s="32"/>
    </row>
    <row r="7" spans="1:18">
      <c r="A7" s="32" t="s">
        <v>52</v>
      </c>
      <c r="B7" s="37">
        <f t="shared" ref="B7:B12" si="0">B27</f>
        <v>1513.25454488082</v>
      </c>
      <c r="C7" s="33"/>
      <c r="D7" s="37">
        <f>IF(ISERROR(TER_horeca_gas_kWh/1000),0,TER_horeca_gas_kWh/1000)*0.902</f>
        <v>1180.3225496102516</v>
      </c>
      <c r="E7" s="33">
        <f>$C$27*'E Balans VL '!I9/100/3.6*1000000</f>
        <v>21.66955302260396</v>
      </c>
      <c r="F7" s="33">
        <f>$C$27*('E Balans VL '!L9+'E Balans VL '!N9)/100/3.6*1000000</f>
        <v>191.62793443959154</v>
      </c>
      <c r="G7" s="34"/>
      <c r="H7" s="33"/>
      <c r="I7" s="33"/>
      <c r="J7" s="33">
        <f>$C$27*('E Balans VL '!D9+'E Balans VL '!E9)/100/3.6*1000000</f>
        <v>0</v>
      </c>
      <c r="K7" s="33"/>
      <c r="L7" s="33"/>
      <c r="M7" s="33"/>
      <c r="N7" s="33">
        <f>$C$27*'E Balans VL '!Y9/100/3.6*1000000</f>
        <v>0.43502731725450999</v>
      </c>
      <c r="O7" s="33"/>
      <c r="P7" s="33"/>
      <c r="R7" s="32"/>
    </row>
    <row r="8" spans="1:18">
      <c r="A8" s="6" t="s">
        <v>51</v>
      </c>
      <c r="B8" s="37">
        <f t="shared" si="0"/>
        <v>3093.08098308525</v>
      </c>
      <c r="C8" s="33"/>
      <c r="D8" s="37">
        <f>IF(ISERROR(TER_handel_gas_kWh/1000),0,TER_handel_gas_kWh/1000)*0.902</f>
        <v>5579.4178713645888</v>
      </c>
      <c r="E8" s="33">
        <f>$C$28*'E Balans VL '!I13/100/3.6*1000000</f>
        <v>112.18566583484345</v>
      </c>
      <c r="F8" s="33">
        <f>$C$28*('E Balans VL '!L13+'E Balans VL '!N13)/100/3.6*1000000</f>
        <v>595.75871677840041</v>
      </c>
      <c r="G8" s="34"/>
      <c r="H8" s="33"/>
      <c r="I8" s="33"/>
      <c r="J8" s="33">
        <f>$C$28*('E Balans VL '!D13+'E Balans VL '!E13)/100/3.6*1000000</f>
        <v>0</v>
      </c>
      <c r="K8" s="33"/>
      <c r="L8" s="33"/>
      <c r="M8" s="33"/>
      <c r="N8" s="33">
        <f>$C$28*'E Balans VL '!Y13/100/3.6*1000000</f>
        <v>4.284628847767026</v>
      </c>
      <c r="O8" s="33"/>
      <c r="P8" s="33"/>
      <c r="R8" s="32"/>
    </row>
    <row r="9" spans="1:18">
      <c r="A9" s="32" t="s">
        <v>50</v>
      </c>
      <c r="B9" s="37">
        <f t="shared" si="0"/>
        <v>402.09413797647198</v>
      </c>
      <c r="C9" s="33"/>
      <c r="D9" s="37">
        <f>IF(ISERROR(TER_gezond_gas_kWh/1000),0,TER_gezond_gas_kWh/1000)*0.902</f>
        <v>4935.1208554517389</v>
      </c>
      <c r="E9" s="33">
        <f>$C$29*'E Balans VL '!I10/100/3.6*1000000</f>
        <v>2.5175062999724485E-2</v>
      </c>
      <c r="F9" s="33">
        <f>$C$29*('E Balans VL '!L10+'E Balans VL '!N10)/100/3.6*1000000</f>
        <v>59.73230845646269</v>
      </c>
      <c r="G9" s="34"/>
      <c r="H9" s="33"/>
      <c r="I9" s="33"/>
      <c r="J9" s="33">
        <f>$C$29*('E Balans VL '!D10+'E Balans VL '!E10)/100/3.6*1000000</f>
        <v>0</v>
      </c>
      <c r="K9" s="33"/>
      <c r="L9" s="33"/>
      <c r="M9" s="33"/>
      <c r="N9" s="33">
        <f>$C$29*'E Balans VL '!Y10/100/3.6*1000000</f>
        <v>6.2196309249878592</v>
      </c>
      <c r="O9" s="33"/>
      <c r="P9" s="33"/>
      <c r="R9" s="32"/>
    </row>
    <row r="10" spans="1:18">
      <c r="A10" s="32" t="s">
        <v>49</v>
      </c>
      <c r="B10" s="37">
        <f t="shared" si="0"/>
        <v>1199.27431249048</v>
      </c>
      <c r="C10" s="33"/>
      <c r="D10" s="37">
        <f>IF(ISERROR(TER_ander_gas_kWh/1000),0,TER_ander_gas_kWh/1000)*0.902</f>
        <v>811.40624405680433</v>
      </c>
      <c r="E10" s="33">
        <f>$C$30*'E Balans VL '!I14/100/3.6*1000000</f>
        <v>1.4294921256659168</v>
      </c>
      <c r="F10" s="33">
        <f>$C$30*('E Balans VL '!L14+'E Balans VL '!N14)/100/3.6*1000000</f>
        <v>313.78347569587226</v>
      </c>
      <c r="G10" s="34"/>
      <c r="H10" s="33"/>
      <c r="I10" s="33"/>
      <c r="J10" s="33">
        <f>$C$30*('E Balans VL '!D14+'E Balans VL '!E14)/100/3.6*1000000</f>
        <v>2.6031544298667889E-2</v>
      </c>
      <c r="K10" s="33"/>
      <c r="L10" s="33"/>
      <c r="M10" s="33"/>
      <c r="N10" s="33">
        <f>$C$30*'E Balans VL '!Y14/100/3.6*1000000</f>
        <v>1018.3944003375613</v>
      </c>
      <c r="O10" s="33"/>
      <c r="P10" s="33"/>
      <c r="R10" s="32"/>
    </row>
    <row r="11" spans="1:18">
      <c r="A11" s="32" t="s">
        <v>54</v>
      </c>
      <c r="B11" s="37">
        <f t="shared" si="0"/>
        <v>963.65074794697603</v>
      </c>
      <c r="C11" s="33"/>
      <c r="D11" s="37">
        <f>IF(ISERROR(TER_onderwijs_gas_kWh/1000),0,TER_onderwijs_gas_kWh/1000)*0.902</f>
        <v>600.05806359487201</v>
      </c>
      <c r="E11" s="33">
        <f>$C$31*'E Balans VL '!I11/100/3.6*1000000</f>
        <v>14.539937679400905</v>
      </c>
      <c r="F11" s="33">
        <f>$C$31*('E Balans VL '!L11+'E Balans VL '!N11)/100/3.6*1000000</f>
        <v>168.84700581899816</v>
      </c>
      <c r="G11" s="34"/>
      <c r="H11" s="33"/>
      <c r="I11" s="33"/>
      <c r="J11" s="33">
        <f>$C$31*('E Balans VL '!D11+'E Balans VL '!E11)/100/3.6*1000000</f>
        <v>0</v>
      </c>
      <c r="K11" s="33"/>
      <c r="L11" s="33"/>
      <c r="M11" s="33"/>
      <c r="N11" s="33">
        <f>$C$31*'E Balans VL '!Y11/100/3.6*1000000</f>
        <v>2.7117864642425089</v>
      </c>
      <c r="O11" s="33"/>
      <c r="P11" s="33"/>
      <c r="R11" s="32"/>
    </row>
    <row r="12" spans="1:18">
      <c r="A12" s="32" t="s">
        <v>259</v>
      </c>
      <c r="B12" s="37">
        <f t="shared" si="0"/>
        <v>3715.93492473264</v>
      </c>
      <c r="C12" s="33"/>
      <c r="D12" s="37">
        <f>IF(ISERROR(TER_rest_gas_kWh/1000),0,TER_rest_gas_kWh/1000)*0.902</f>
        <v>8042.4517357855248</v>
      </c>
      <c r="E12" s="33">
        <f>$C$32*'E Balans VL '!I8/100/3.6*1000000</f>
        <v>46.144414358158357</v>
      </c>
      <c r="F12" s="33">
        <f>$C$32*('E Balans VL '!L8+'E Balans VL '!N8)/100/3.6*1000000</f>
        <v>642.57692196919027</v>
      </c>
      <c r="G12" s="34"/>
      <c r="H12" s="33"/>
      <c r="I12" s="33"/>
      <c r="J12" s="33">
        <f>$C$32*('E Balans VL '!D8+'E Balans VL '!E8)/100/3.6*1000000</f>
        <v>8.998230197499197E-3</v>
      </c>
      <c r="K12" s="33"/>
      <c r="L12" s="33"/>
      <c r="M12" s="33"/>
      <c r="N12" s="33">
        <f>$C$32*'E Balans VL '!Y8/100/3.6*1000000</f>
        <v>359.81641122101121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14181.146948368198</v>
      </c>
      <c r="C16" s="21">
        <f t="shared" ca="1" si="1"/>
        <v>0</v>
      </c>
      <c r="D16" s="21">
        <f t="shared" ca="1" si="1"/>
        <v>25308.790218955291</v>
      </c>
      <c r="E16" s="21">
        <f t="shared" si="1"/>
        <v>196.01488288569175</v>
      </c>
      <c r="F16" s="21">
        <f t="shared" ca="1" si="1"/>
        <v>2467.3010757850207</v>
      </c>
      <c r="G16" s="21">
        <f t="shared" si="1"/>
        <v>0</v>
      </c>
      <c r="H16" s="21">
        <f t="shared" si="1"/>
        <v>0</v>
      </c>
      <c r="I16" s="21">
        <f t="shared" si="1"/>
        <v>0</v>
      </c>
      <c r="J16" s="21">
        <f t="shared" si="1"/>
        <v>3.5029774496167086E-2</v>
      </c>
      <c r="K16" s="21">
        <f t="shared" si="1"/>
        <v>0</v>
      </c>
      <c r="L16" s="21">
        <f t="shared" ca="1" si="1"/>
        <v>0</v>
      </c>
      <c r="M16" s="21">
        <f t="shared" si="1"/>
        <v>0</v>
      </c>
      <c r="N16" s="21">
        <f t="shared" ca="1" si="1"/>
        <v>1395.0119712497094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0.14127258513772095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2003.4072896138778</v>
      </c>
      <c r="C20" s="23">
        <f t="shared" ref="C20:P20" ca="1" si="2">C16*C18</f>
        <v>0</v>
      </c>
      <c r="D20" s="23">
        <f t="shared" ca="1" si="2"/>
        <v>5112.3756242289692</v>
      </c>
      <c r="E20" s="23">
        <f t="shared" si="2"/>
        <v>44.495378415052031</v>
      </c>
      <c r="F20" s="23">
        <f t="shared" ca="1" si="2"/>
        <v>658.76938723460057</v>
      </c>
      <c r="G20" s="23">
        <f t="shared" si="2"/>
        <v>0</v>
      </c>
      <c r="H20" s="23">
        <f t="shared" si="2"/>
        <v>0</v>
      </c>
      <c r="I20" s="23">
        <f t="shared" si="2"/>
        <v>0</v>
      </c>
      <c r="J20" s="23">
        <f t="shared" si="2"/>
        <v>1.2400540171643147E-2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3293.8572972555598</v>
      </c>
      <c r="C26" s="39">
        <f>IF(ISERROR(B26*3.6/1000000/'E Balans VL '!Z12*100),0,B26*3.6/1000000/'E Balans VL '!Z12*100)</f>
        <v>6.9626925372548137E-2</v>
      </c>
      <c r="D26" s="237" t="s">
        <v>744</v>
      </c>
      <c r="F26" s="6"/>
    </row>
    <row r="27" spans="1:18">
      <c r="A27" s="231" t="s">
        <v>52</v>
      </c>
      <c r="B27" s="33">
        <f>IF(ISERROR(TER_horeca_ele_kWh/1000),0,TER_horeca_ele_kWh/1000)</f>
        <v>1513.25454488082</v>
      </c>
      <c r="C27" s="39">
        <f>IF(ISERROR(B27*3.6/1000000/'E Balans VL '!Z9*100),0,B27*3.6/1000000/'E Balans VL '!Z9*100)</f>
        <v>0.11928929175419196</v>
      </c>
      <c r="D27" s="237" t="s">
        <v>744</v>
      </c>
      <c r="F27" s="6"/>
    </row>
    <row r="28" spans="1:18">
      <c r="A28" s="171" t="s">
        <v>51</v>
      </c>
      <c r="B28" s="33">
        <f>IF(ISERROR(TER_handel_ele_kWh/1000),0,TER_handel_ele_kWh/1000)</f>
        <v>3093.08098308525</v>
      </c>
      <c r="C28" s="39">
        <f>IF(ISERROR(B28*3.6/1000000/'E Balans VL '!Z13*100),0,B28*3.6/1000000/'E Balans VL '!Z13*100)</f>
        <v>8.9773707576720901E-2</v>
      </c>
      <c r="D28" s="237" t="s">
        <v>744</v>
      </c>
      <c r="F28" s="6"/>
    </row>
    <row r="29" spans="1:18">
      <c r="A29" s="231" t="s">
        <v>50</v>
      </c>
      <c r="B29" s="33">
        <f>IF(ISERROR(TER_gezond_ele_kWh/1000),0,TER_gezond_ele_kWh/1000)</f>
        <v>402.09413797647198</v>
      </c>
      <c r="C29" s="39">
        <f>IF(ISERROR(B29*3.6/1000000/'E Balans VL '!Z10*100),0,B29*3.6/1000000/'E Balans VL '!Z10*100)</f>
        <v>4.2347115288950139E-2</v>
      </c>
      <c r="D29" s="237" t="s">
        <v>744</v>
      </c>
      <c r="F29" s="6"/>
    </row>
    <row r="30" spans="1:18">
      <c r="A30" s="231" t="s">
        <v>49</v>
      </c>
      <c r="B30" s="33">
        <f>IF(ISERROR(TER_ander_ele_kWh/1000),0,TER_ander_ele_kWh/1000)</f>
        <v>1199.27431249048</v>
      </c>
      <c r="C30" s="39">
        <f>IF(ISERROR(B30*3.6/1000000/'E Balans VL '!Z14*100),0,B30*3.6/1000000/'E Balans VL '!Z14*100)</f>
        <v>8.8458733770382769E-2</v>
      </c>
      <c r="D30" s="237" t="s">
        <v>744</v>
      </c>
      <c r="F30" s="6"/>
    </row>
    <row r="31" spans="1:18">
      <c r="A31" s="231" t="s">
        <v>54</v>
      </c>
      <c r="B31" s="33">
        <f>IF(ISERROR(TER_onderwijs_ele_kWh/1000),0,TER_onderwijs_ele_kWh/1000)</f>
        <v>963.65074794697603</v>
      </c>
      <c r="C31" s="39">
        <f>IF(ISERROR(B31*3.6/1000000/'E Balans VL '!Z11*100),0,B31*3.6/1000000/'E Balans VL '!Z11*100)</f>
        <v>0.23931962077465904</v>
      </c>
      <c r="D31" s="237" t="s">
        <v>744</v>
      </c>
    </row>
    <row r="32" spans="1:18">
      <c r="A32" s="231" t="s">
        <v>259</v>
      </c>
      <c r="B32" s="33">
        <f>IF(ISERROR(TER_rest_ele_kWh/1000),0,TER_rest_ele_kWh/1000)</f>
        <v>3715.93492473264</v>
      </c>
      <c r="C32" s="39">
        <f>IF(ISERROR(B32*3.6/1000000/'E Balans VL '!Z8*100),0,B32*3.6/1000000/'E Balans VL '!Z8*100)</f>
        <v>3.0577212028328745E-2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6134.3723515414595</v>
      </c>
      <c r="C5" s="17">
        <f>IF(ISERROR('Eigen informatie GS &amp; warmtenet'!B59),0,'Eigen informatie GS &amp; warmtenet'!B59)</f>
        <v>0</v>
      </c>
      <c r="D5" s="30">
        <f>SUM(D6:D15)</f>
        <v>10260.931017029036</v>
      </c>
      <c r="E5" s="17">
        <f>SUM(E6:E15)</f>
        <v>551.0683239816359</v>
      </c>
      <c r="F5" s="17">
        <f>SUM(F6:F15)</f>
        <v>1762.3932224608093</v>
      </c>
      <c r="G5" s="18"/>
      <c r="H5" s="17"/>
      <c r="I5" s="17"/>
      <c r="J5" s="17">
        <f>SUM(J6:J15)</f>
        <v>3.1725946780039251</v>
      </c>
      <c r="K5" s="17"/>
      <c r="L5" s="17"/>
      <c r="M5" s="17"/>
      <c r="N5" s="17">
        <f>SUM(N6:N15)</f>
        <v>439.59356279164041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83.477218395915898</v>
      </c>
      <c r="C8" s="33"/>
      <c r="D8" s="37">
        <f>IF( ISERROR(IND_metaal_Gas_kWH/1000),0,IND_metaal_Gas_kWH/1000)*0.902</f>
        <v>0</v>
      </c>
      <c r="E8" s="33">
        <f>C30*'E Balans VL '!I18/100/3.6*1000000</f>
        <v>0.76749240008619235</v>
      </c>
      <c r="F8" s="33">
        <f>C30*'E Balans VL '!L18/100/3.6*1000000+C30*'E Balans VL '!N18/100/3.6*1000000</f>
        <v>7.8273838476093065</v>
      </c>
      <c r="G8" s="34"/>
      <c r="H8" s="33"/>
      <c r="I8" s="33"/>
      <c r="J8" s="40">
        <f>C30*'E Balans VL '!D18/100/3.6*1000000+C30*'E Balans VL '!E18/100/3.6*1000000</f>
        <v>0</v>
      </c>
      <c r="K8" s="33"/>
      <c r="L8" s="33"/>
      <c r="M8" s="33"/>
      <c r="N8" s="33">
        <f>C30*'E Balans VL '!Y18/100/3.6*1000000</f>
        <v>1.1909404723304391</v>
      </c>
      <c r="O8" s="33"/>
      <c r="P8" s="33"/>
      <c r="R8" s="32"/>
    </row>
    <row r="9" spans="1:18">
      <c r="A9" s="6" t="s">
        <v>32</v>
      </c>
      <c r="B9" s="37">
        <f t="shared" si="0"/>
        <v>1690.07114681094</v>
      </c>
      <c r="C9" s="33"/>
      <c r="D9" s="37">
        <f>IF( ISERROR(IND_andere_gas_kWh/1000),0,IND_andere_gas_kWh/1000)*0.902</f>
        <v>1616.644587187966</v>
      </c>
      <c r="E9" s="33">
        <f>C31*'E Balans VL '!I19/100/3.6*1000000</f>
        <v>494.04069801732066</v>
      </c>
      <c r="F9" s="33">
        <f>C31*'E Balans VL '!L19/100/3.6*1000000+C31*'E Balans VL '!N19/100/3.6*1000000</f>
        <v>1358.1000930937473</v>
      </c>
      <c r="G9" s="34"/>
      <c r="H9" s="33"/>
      <c r="I9" s="33"/>
      <c r="J9" s="40">
        <f>C31*'E Balans VL '!D19/100/3.6*1000000+C31*'E Balans VL '!E19/100/3.6*1000000</f>
        <v>0</v>
      </c>
      <c r="K9" s="33"/>
      <c r="L9" s="33"/>
      <c r="M9" s="33"/>
      <c r="N9" s="33">
        <f>C31*'E Balans VL '!Y19/100/3.6*1000000</f>
        <v>132.56688535383017</v>
      </c>
      <c r="O9" s="33"/>
      <c r="P9" s="33"/>
      <c r="R9" s="32"/>
    </row>
    <row r="10" spans="1:18">
      <c r="A10" s="6" t="s">
        <v>40</v>
      </c>
      <c r="B10" s="37">
        <f t="shared" si="0"/>
        <v>3448.4689597370498</v>
      </c>
      <c r="C10" s="33"/>
      <c r="D10" s="37">
        <f>IF( ISERROR(IND_voed_gas_kWh/1000),0,IND_voed_gas_kWh/1000)*0.902</f>
        <v>7737.5174511088289</v>
      </c>
      <c r="E10" s="33">
        <f>C32*'E Balans VL '!I20/100/3.6*1000000</f>
        <v>7.2952895534682325</v>
      </c>
      <c r="F10" s="33">
        <f>C32*'E Balans VL '!L20/100/3.6*1000000+C32*'E Balans VL '!N20/100/3.6*1000000</f>
        <v>219.25717896782805</v>
      </c>
      <c r="G10" s="34"/>
      <c r="H10" s="33"/>
      <c r="I10" s="33"/>
      <c r="J10" s="40">
        <f>C32*'E Balans VL '!D20/100/3.6*1000000+C32*'E Balans VL '!E20/100/3.6*1000000</f>
        <v>0</v>
      </c>
      <c r="K10" s="33"/>
      <c r="L10" s="33"/>
      <c r="M10" s="33"/>
      <c r="N10" s="33">
        <f>C32*'E Balans VL '!Y20/100/3.6*1000000</f>
        <v>237.97838854506787</v>
      </c>
      <c r="O10" s="33"/>
      <c r="P10" s="33"/>
      <c r="R10" s="32"/>
    </row>
    <row r="11" spans="1:18">
      <c r="A11" s="6" t="s">
        <v>39</v>
      </c>
      <c r="B11" s="37">
        <f t="shared" si="0"/>
        <v>14.737149379897401</v>
      </c>
      <c r="C11" s="33"/>
      <c r="D11" s="37">
        <f>IF( ISERROR(IND_textiel_gas_kWh/1000),0,IND_textiel_gas_kWh/1000)*0.902</f>
        <v>0</v>
      </c>
      <c r="E11" s="33">
        <f>C33*'E Balans VL '!I21/100/3.6*1000000</f>
        <v>4.3768063071757915E-2</v>
      </c>
      <c r="F11" s="33">
        <f>C33*'E Balans VL '!L21/100/3.6*1000000+C33*'E Balans VL '!N21/100/3.6*1000000</f>
        <v>1.4888566827872554</v>
      </c>
      <c r="G11" s="34"/>
      <c r="H11" s="33"/>
      <c r="I11" s="33"/>
      <c r="J11" s="40">
        <f>C33*'E Balans VL '!D21/100/3.6*1000000+C33*'E Balans VL '!E21/100/3.6*1000000</f>
        <v>0</v>
      </c>
      <c r="K11" s="33"/>
      <c r="L11" s="33"/>
      <c r="M11" s="33"/>
      <c r="N11" s="33">
        <f>C33*'E Balans VL '!Y21/100/3.6*1000000</f>
        <v>0.81280081976566698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11.928880989731901</v>
      </c>
      <c r="C13" s="33"/>
      <c r="D13" s="37">
        <f>IF( ISERROR(IND_papier_gas_kWh/1000),0,IND_papier_gas_kWh/1000)*0.902</f>
        <v>77.56830038133819</v>
      </c>
      <c r="E13" s="33">
        <f>C35*'E Balans VL '!I23/100/3.6*1000000</f>
        <v>1.692435401052551E-2</v>
      </c>
      <c r="F13" s="33">
        <f>C35*'E Balans VL '!L23/100/3.6*1000000+C35*'E Balans VL '!N23/100/3.6*1000000</f>
        <v>0.29122884044390795</v>
      </c>
      <c r="G13" s="34"/>
      <c r="H13" s="33"/>
      <c r="I13" s="33"/>
      <c r="J13" s="40">
        <f>C35*'E Balans VL '!D23/100/3.6*1000000+C35*'E Balans VL '!E23/100/3.6*1000000</f>
        <v>1.8449134402214698E-3</v>
      </c>
      <c r="K13" s="33"/>
      <c r="L13" s="33"/>
      <c r="M13" s="33"/>
      <c r="N13" s="33">
        <f>C35*'E Balans VL '!Y23/100/3.6*1000000</f>
        <v>4.8739678152296548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885.68899622792492</v>
      </c>
      <c r="C15" s="33"/>
      <c r="D15" s="37">
        <f>IF( ISERROR(IND_rest_gas_kWh/1000),0,IND_rest_gas_kWh/1000)*0.902</f>
        <v>829.20067835090219</v>
      </c>
      <c r="E15" s="33">
        <f>C37*'E Balans VL '!I15/100/3.6*1000000</f>
        <v>48.904151593678471</v>
      </c>
      <c r="F15" s="33">
        <f>C37*'E Balans VL '!L15/100/3.6*1000000+C37*'E Balans VL '!N15/100/3.6*1000000</f>
        <v>175.42848102839366</v>
      </c>
      <c r="G15" s="34"/>
      <c r="H15" s="33"/>
      <c r="I15" s="33"/>
      <c r="J15" s="40">
        <f>C37*'E Balans VL '!D15/100/3.6*1000000+C37*'E Balans VL '!E15/100/3.6*1000000</f>
        <v>3.1707497645637037</v>
      </c>
      <c r="K15" s="33"/>
      <c r="L15" s="33"/>
      <c r="M15" s="33"/>
      <c r="N15" s="33">
        <f>C37*'E Balans VL '!Y15/100/3.6*1000000</f>
        <v>62.170579785416642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6134.3723515414595</v>
      </c>
      <c r="C18" s="21">
        <f>C5+C16</f>
        <v>0</v>
      </c>
      <c r="D18" s="21">
        <f>MAX((D5+D16),0)</f>
        <v>10260.931017029036</v>
      </c>
      <c r="E18" s="21">
        <f>MAX((E5+E16),0)</f>
        <v>551.0683239816359</v>
      </c>
      <c r="F18" s="21">
        <f>MAX((F5+F16),0)</f>
        <v>1762.3932224608093</v>
      </c>
      <c r="G18" s="21"/>
      <c r="H18" s="21"/>
      <c r="I18" s="21"/>
      <c r="J18" s="21">
        <f>MAX((J5+J16),0)</f>
        <v>3.1725946780039251</v>
      </c>
      <c r="K18" s="21"/>
      <c r="L18" s="21">
        <f>MAX((L5+L16),0)</f>
        <v>0</v>
      </c>
      <c r="M18" s="21"/>
      <c r="N18" s="21">
        <f>MAX((N5+N16),0)</f>
        <v>439.59356279164041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0.14127258513772095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866.61864029962226</v>
      </c>
      <c r="C22" s="23">
        <f ca="1">C18*C20</f>
        <v>0</v>
      </c>
      <c r="D22" s="23">
        <f>D18*D20</f>
        <v>2072.7080654398651</v>
      </c>
      <c r="E22" s="23">
        <f>E18*E20</f>
        <v>125.09250954383135</v>
      </c>
      <c r="F22" s="23">
        <f>F18*F20</f>
        <v>470.5589903970361</v>
      </c>
      <c r="G22" s="23"/>
      <c r="H22" s="23"/>
      <c r="I22" s="23"/>
      <c r="J22" s="23">
        <f>J18*J20</f>
        <v>1.1230985160133895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83.477218395915898</v>
      </c>
      <c r="C30" s="39">
        <f>IF(ISERROR(B30*3.6/1000000/'E Balans VL '!Z18*100),0,B30*3.6/1000000/'E Balans VL '!Z18*100)</f>
        <v>4.7308680160844004E-3</v>
      </c>
      <c r="D30" s="237" t="s">
        <v>744</v>
      </c>
    </row>
    <row r="31" spans="1:18">
      <c r="A31" s="6" t="s">
        <v>32</v>
      </c>
      <c r="B31" s="37">
        <f>IF( ISERROR(IND_ander_ele_kWh/1000),0,IND_ander_ele_kWh/1000)</f>
        <v>1690.07114681094</v>
      </c>
      <c r="C31" s="39">
        <f>IF(ISERROR(B31*3.6/1000000/'E Balans VL '!Z19*100),0,B31*3.6/1000000/'E Balans VL '!Z19*100)</f>
        <v>7.6654589885571556E-2</v>
      </c>
      <c r="D31" s="237" t="s">
        <v>744</v>
      </c>
    </row>
    <row r="32" spans="1:18">
      <c r="A32" s="171" t="s">
        <v>40</v>
      </c>
      <c r="B32" s="37">
        <f>IF( ISERROR(IND_voed_ele_kWh/1000),0,IND_voed_ele_kWh/1000)</f>
        <v>3448.4689597370498</v>
      </c>
      <c r="C32" s="39">
        <f>IF(ISERROR(B32*3.6/1000000/'E Balans VL '!Z20*100),0,B32*3.6/1000000/'E Balans VL '!Z20*100)</f>
        <v>0.10667679965192954</v>
      </c>
      <c r="D32" s="237" t="s">
        <v>744</v>
      </c>
    </row>
    <row r="33" spans="1:5">
      <c r="A33" s="171" t="s">
        <v>39</v>
      </c>
      <c r="B33" s="37">
        <f>IF( ISERROR(IND_textiel_ele_kWh/1000),0,IND_textiel_ele_kWh/1000)</f>
        <v>14.737149379897401</v>
      </c>
      <c r="C33" s="39">
        <f>IF(ISERROR(B33*3.6/1000000/'E Balans VL '!Z21*100),0,B33*3.6/1000000/'E Balans VL '!Z21*100)</f>
        <v>1.9215604673819466E-3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11.928880989731901</v>
      </c>
      <c r="C35" s="39">
        <f>IF(ISERROR(B35*3.6/1000000/'E Balans VL '!Z22*100),0,B35*3.6/1000000/'E Balans VL '!Z22*100)</f>
        <v>2.1456335132522182E-3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885.68899622792492</v>
      </c>
      <c r="C37" s="39">
        <f>IF(ISERROR(B37*3.6/1000000/'E Balans VL '!Z15*100),0,B37*3.6/1000000/'E Balans VL '!Z15*100)</f>
        <v>7.0201730246419883E-3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237.24943183739202</v>
      </c>
      <c r="C5" s="17">
        <f>'Eigen informatie GS &amp; warmtenet'!B60</f>
        <v>0</v>
      </c>
      <c r="D5" s="30">
        <f>IF(ISERROR(SUM(LB_lb_gas_kWh,LB_rest_gas_kWh)/1000),0,SUM(LB_lb_gas_kWh,LB_rest_gas_kWh)/1000)*0.902</f>
        <v>1043.7477274416237</v>
      </c>
      <c r="E5" s="17">
        <f>B17*'E Balans VL '!I25/3.6*1000000/100</f>
        <v>6.9734854451052106</v>
      </c>
      <c r="F5" s="17">
        <f>B17*('E Balans VL '!L25/3.6*1000000+'E Balans VL '!N25/3.6*1000000)/100</f>
        <v>988.36831274818553</v>
      </c>
      <c r="G5" s="18"/>
      <c r="H5" s="17"/>
      <c r="I5" s="17"/>
      <c r="J5" s="17">
        <f>('E Balans VL '!D25+'E Balans VL '!E25)/3.6*1000000*landbouw!B17/100</f>
        <v>34.372347683367622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237.24943183739202</v>
      </c>
      <c r="C8" s="21">
        <f>C5+C6</f>
        <v>0</v>
      </c>
      <c r="D8" s="21">
        <f>MAX((D5+D6),0)</f>
        <v>1043.7477274416237</v>
      </c>
      <c r="E8" s="21">
        <f>MAX((E5+E6),0)</f>
        <v>6.9734854451052106</v>
      </c>
      <c r="F8" s="21">
        <f>MAX((F5+F6),0)</f>
        <v>988.36831274818553</v>
      </c>
      <c r="G8" s="21"/>
      <c r="H8" s="21"/>
      <c r="I8" s="21"/>
      <c r="J8" s="21">
        <f>MAX((J5+J6),0)</f>
        <v>34.372347683367622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0.14127258513772095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33.516840558123889</v>
      </c>
      <c r="C12" s="23">
        <f ca="1">C8*C10</f>
        <v>0</v>
      </c>
      <c r="D12" s="23">
        <f>D8*D10</f>
        <v>210.837040943208</v>
      </c>
      <c r="E12" s="23">
        <f>E8*E10</f>
        <v>1.5829811960388829</v>
      </c>
      <c r="F12" s="23">
        <f>F8*F10</f>
        <v>263.89433950376554</v>
      </c>
      <c r="G12" s="23"/>
      <c r="H12" s="23"/>
      <c r="I12" s="23"/>
      <c r="J12" s="23">
        <f>J8*J10</f>
        <v>12.167811079912138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3.3666438725118035E-2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65.765465391039299</v>
      </c>
      <c r="C26" s="247">
        <f>B26*'GWP N2O_CH4'!B5</f>
        <v>1381.0747732118252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19.0439006690731</v>
      </c>
      <c r="C27" s="247">
        <f>B27*'GWP N2O_CH4'!B5</f>
        <v>399.92191405053512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0.73584039893550868</v>
      </c>
      <c r="C28" s="247">
        <f>B28*'GWP N2O_CH4'!B4</f>
        <v>228.11052367000769</v>
      </c>
      <c r="D28" s="50"/>
    </row>
    <row r="29" spans="1:4">
      <c r="A29" s="41" t="s">
        <v>276</v>
      </c>
      <c r="B29" s="247">
        <f>B34*'ha_N2O bodem landbouw'!B4</f>
        <v>3.0500604300931746</v>
      </c>
      <c r="C29" s="247">
        <f>B29*'GWP N2O_CH4'!B4</f>
        <v>945.51873332888408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6.9601327917141775E-4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2.9794713000255539E-4</v>
      </c>
      <c r="C5" s="437" t="s">
        <v>210</v>
      </c>
      <c r="D5" s="422">
        <f>SUM(D6:D11)</f>
        <v>7.5451661143281085E-4</v>
      </c>
      <c r="E5" s="422">
        <f>SUM(E6:E11)</f>
        <v>1.5473573402005399E-3</v>
      </c>
      <c r="F5" s="435" t="s">
        <v>210</v>
      </c>
      <c r="G5" s="422">
        <f>SUM(G6:G11)</f>
        <v>0.68298010230991379</v>
      </c>
      <c r="H5" s="422">
        <f>SUM(H6:H11)</f>
        <v>0.13253876225194758</v>
      </c>
      <c r="I5" s="437" t="s">
        <v>210</v>
      </c>
      <c r="J5" s="437" t="s">
        <v>210</v>
      </c>
      <c r="K5" s="437" t="s">
        <v>210</v>
      </c>
      <c r="L5" s="437" t="s">
        <v>210</v>
      </c>
      <c r="M5" s="422">
        <f>SUM(M6:M11)</f>
        <v>4.3805367710042176E-2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4.4872636060526596E-5</v>
      </c>
      <c r="C6" s="423"/>
      <c r="D6" s="865">
        <f>vkm_GW_PW*SUMIFS(TableVerdeelsleutelVkm[CNG],TableVerdeelsleutelVkm[Voertuigtype],"Lichte voertuigen")*SUMIFS(TableECFTransport[EnergieConsumptieFactor (PJ per km)],TableECFTransport[Index],CONCATENATE($A6,"_CNG_CNG"))</f>
        <v>1.1120534864104194E-4</v>
      </c>
      <c r="E6" s="865">
        <f>vkm_GW_PW*SUMIFS(TableVerdeelsleutelVkm[LPG],TableVerdeelsleutelVkm[Voertuigtype],"Lichte voertuigen")*SUMIFS(TableECFTransport[EnergieConsumptieFactor (PJ per km)],TableECFTransport[Index],CONCATENATE($A6,"_LPG_LPG"))</f>
        <v>1.9091181410470687E-4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5.8498152255050513E-2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1.8894253285585895E-2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3.9740436670523717E-3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3.2586162076476313E-2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5.4510721809629548E-7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1.9038646377886033E-3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9.6141600104021007E-6</v>
      </c>
      <c r="C8" s="423"/>
      <c r="D8" s="425">
        <f>vkm_NGW_PW*SUMIFS(TableVerdeelsleutelVkm[CNG],TableVerdeelsleutelVkm[Voertuigtype],"Lichte voertuigen")*SUMIFS(TableECFTransport[EnergieConsumptieFactor (PJ per km)],TableECFTransport[Index],CONCATENATE($A8,"_CNG_CNG"))</f>
        <v>4.0271508206782254E-5</v>
      </c>
      <c r="E8" s="425">
        <f>vkm_NGW_PW*SUMIFS(TableVerdeelsleutelVkm[LPG],TableVerdeelsleutelVkm[Voertuigtype],"Lichte voertuigen")*SUMIFS(TableECFTransport[EnergieConsumptieFactor (PJ per km)],TableECFTransport[Index],CONCATENATE($A8,"_LPG_LPG"))</f>
        <v>6.5655602883780314E-5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1.8923503020172795E-2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6.6918041959534175E-3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1.3026272486570218E-3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7.0718049981238467E-3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1.4572827415283763E-7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4.1317494665195337E-4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2.4346033393162671E-4</v>
      </c>
      <c r="C10" s="423"/>
      <c r="D10" s="425">
        <f>vkm_SW_PW*SUMIFS(TableVerdeelsleutelVkm[CNG],TableVerdeelsleutelVkm[Voertuigtype],"Lichte voertuigen")*SUMIFS(TableECFTransport[EnergieConsumptieFactor (PJ per km)],TableECFTransport[Index],CONCATENATE($A10,"_CNG_CNG"))</f>
        <v>6.0303975458498671E-4</v>
      </c>
      <c r="E10" s="425">
        <f>vkm_SW_PW*SUMIFS(TableVerdeelsleutelVkm[LPG],TableVerdeelsleutelVkm[Voertuigtype],"Lichte voertuigen")*SUMIFS(TableECFTransport[EnergieConsumptieFactor (PJ per km)],TableECFTransport[Index],CONCATENATE($A10,"_LPG_LPG"))</f>
        <v>1.2907899232120527E-3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0.35384247884211584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0.10694823509977175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2.3822043771099779E-2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0.21205800111797446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3.778835144275988E-6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1.2389613438792446E-2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82.7630916673765</v>
      </c>
      <c r="C14" s="21"/>
      <c r="D14" s="21">
        <f t="shared" ref="D14:M14" si="0">((D5)*10^9/3600)+D12</f>
        <v>209.58794762022524</v>
      </c>
      <c r="E14" s="21">
        <f t="shared" si="0"/>
        <v>429.82148338903886</v>
      </c>
      <c r="F14" s="21"/>
      <c r="G14" s="21">
        <f t="shared" si="0"/>
        <v>189716.69508608716</v>
      </c>
      <c r="H14" s="21">
        <f t="shared" si="0"/>
        <v>36816.322847763215</v>
      </c>
      <c r="I14" s="21"/>
      <c r="J14" s="21"/>
      <c r="K14" s="21"/>
      <c r="L14" s="21"/>
      <c r="M14" s="21">
        <f t="shared" si="0"/>
        <v>12168.157697233939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0.14127258513772095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11.69215591384045</v>
      </c>
      <c r="C18" s="23"/>
      <c r="D18" s="23">
        <f t="shared" ref="D18:M18" si="1">D14*D16</f>
        <v>42.336765419285499</v>
      </c>
      <c r="E18" s="23">
        <f t="shared" si="1"/>
        <v>97.56947672931183</v>
      </c>
      <c r="F18" s="23"/>
      <c r="G18" s="23">
        <f t="shared" si="1"/>
        <v>50654.357587985272</v>
      </c>
      <c r="H18" s="23">
        <f t="shared" si="1"/>
        <v>9167.2643890930412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1.27599219E-3</v>
      </c>
      <c r="C50" s="319">
        <f t="shared" ref="C50:P50" si="2">SUM(C51:C52)</f>
        <v>0</v>
      </c>
      <c r="D50" s="319">
        <f t="shared" si="2"/>
        <v>0</v>
      </c>
      <c r="E50" s="319">
        <f t="shared" si="2"/>
        <v>0</v>
      </c>
      <c r="F50" s="319">
        <f t="shared" si="2"/>
        <v>0</v>
      </c>
      <c r="G50" s="319">
        <f t="shared" si="2"/>
        <v>3.6423114476409097E-3</v>
      </c>
      <c r="H50" s="319">
        <f t="shared" si="2"/>
        <v>0</v>
      </c>
      <c r="I50" s="319">
        <f t="shared" si="2"/>
        <v>0</v>
      </c>
      <c r="J50" s="319">
        <f t="shared" si="2"/>
        <v>0</v>
      </c>
      <c r="K50" s="319">
        <f t="shared" si="2"/>
        <v>0</v>
      </c>
      <c r="L50" s="319">
        <f t="shared" si="2"/>
        <v>0</v>
      </c>
      <c r="M50" s="319">
        <f t="shared" si="2"/>
        <v>2.0685158439157973E-4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3.6423114476409097E-3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2.0685158439157973E-4</v>
      </c>
      <c r="N51" s="321"/>
      <c r="O51" s="321"/>
      <c r="P51" s="324"/>
    </row>
    <row r="52" spans="1:18">
      <c r="A52" s="4" t="s">
        <v>329</v>
      </c>
      <c r="B52" s="866">
        <f>vkm_tram*SUMIFS(TableECFTransport[EnergieConsumptieFactor (PJ per km)],TableECFTransport[Index],"Tram_gemiddeld_Electric_Electric")</f>
        <v>1.27599219E-3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354.442275</v>
      </c>
      <c r="C54" s="21">
        <f t="shared" ref="C54:P54" si="3">(C50)*10^9/3600</f>
        <v>0</v>
      </c>
      <c r="D54" s="21">
        <f t="shared" si="3"/>
        <v>0</v>
      </c>
      <c r="E54" s="21">
        <f t="shared" si="3"/>
        <v>0</v>
      </c>
      <c r="F54" s="21">
        <f t="shared" si="3"/>
        <v>0</v>
      </c>
      <c r="G54" s="21">
        <f t="shared" si="3"/>
        <v>1011.7531799002527</v>
      </c>
      <c r="H54" s="21">
        <f t="shared" si="3"/>
        <v>0</v>
      </c>
      <c r="I54" s="21">
        <f t="shared" si="3"/>
        <v>0</v>
      </c>
      <c r="J54" s="21">
        <f t="shared" si="3"/>
        <v>0</v>
      </c>
      <c r="K54" s="21">
        <f t="shared" si="3"/>
        <v>0</v>
      </c>
      <c r="L54" s="21">
        <f t="shared" si="3"/>
        <v>0</v>
      </c>
      <c r="M54" s="21">
        <f t="shared" si="3"/>
        <v>57.458773442105482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0.14127258513772095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50.072976471345001</v>
      </c>
      <c r="C58" s="23">
        <f t="shared" ref="C58:P58" ca="1" si="4">C54*C56</f>
        <v>0</v>
      </c>
      <c r="D58" s="23">
        <f t="shared" si="4"/>
        <v>0</v>
      </c>
      <c r="E58" s="23">
        <f t="shared" si="4"/>
        <v>0</v>
      </c>
      <c r="F58" s="23">
        <f t="shared" si="4"/>
        <v>0</v>
      </c>
      <c r="G58" s="23">
        <f t="shared" si="4"/>
        <v>270.1380990333675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15040.347948368199</v>
      </c>
      <c r="D10" s="979">
        <f ca="1">tertiair!C16</f>
        <v>0</v>
      </c>
      <c r="E10" s="979">
        <f ca="1">tertiair!D16</f>
        <v>25308.790218955291</v>
      </c>
      <c r="F10" s="979">
        <f>tertiair!E16</f>
        <v>196.01488288569175</v>
      </c>
      <c r="G10" s="979">
        <f ca="1">tertiair!F16</f>
        <v>2467.3010757850207</v>
      </c>
      <c r="H10" s="979">
        <f>tertiair!G16</f>
        <v>0</v>
      </c>
      <c r="I10" s="979">
        <f>tertiair!H16</f>
        <v>0</v>
      </c>
      <c r="J10" s="979">
        <f>tertiair!I16</f>
        <v>0</v>
      </c>
      <c r="K10" s="979">
        <f>tertiair!J16</f>
        <v>3.5029774496167086E-2</v>
      </c>
      <c r="L10" s="979">
        <f>tertiair!K16</f>
        <v>0</v>
      </c>
      <c r="M10" s="979">
        <f ca="1">tertiair!L16</f>
        <v>0</v>
      </c>
      <c r="N10" s="979">
        <f>tertiair!M16</f>
        <v>0</v>
      </c>
      <c r="O10" s="979">
        <f ca="1">tertiair!N16</f>
        <v>1395.0119712497094</v>
      </c>
      <c r="P10" s="979">
        <f>tertiair!O16</f>
        <v>1.5633333333333335</v>
      </c>
      <c r="Q10" s="980">
        <f>tertiair!P16</f>
        <v>19.066666666666666</v>
      </c>
      <c r="R10" s="674">
        <f ca="1">SUM(C10:Q10)</f>
        <v>44428.131127018401</v>
      </c>
      <c r="S10" s="67"/>
    </row>
    <row r="11" spans="1:19" s="447" customFormat="1">
      <c r="A11" s="783" t="s">
        <v>224</v>
      </c>
      <c r="B11" s="788"/>
      <c r="C11" s="979">
        <f>huishoudens!B8</f>
        <v>19597.644791119939</v>
      </c>
      <c r="D11" s="979">
        <f>huishoudens!C8</f>
        <v>0</v>
      </c>
      <c r="E11" s="979">
        <f>huishoudens!D8</f>
        <v>51291.029857955058</v>
      </c>
      <c r="F11" s="979">
        <f>huishoudens!E8</f>
        <v>2642.1537953094116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7599.8965831904552</v>
      </c>
      <c r="P11" s="979">
        <f>huishoudens!O8</f>
        <v>182.91000000000003</v>
      </c>
      <c r="Q11" s="980">
        <f>huishoudens!P8</f>
        <v>419.4666666666667</v>
      </c>
      <c r="R11" s="674">
        <f>SUM(C11:Q11)</f>
        <v>81733.101694241515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6134.3723515414595</v>
      </c>
      <c r="D13" s="979">
        <f>industrie!C18</f>
        <v>0</v>
      </c>
      <c r="E13" s="979">
        <f>industrie!D18</f>
        <v>10260.931017029036</v>
      </c>
      <c r="F13" s="979">
        <f>industrie!E18</f>
        <v>551.0683239816359</v>
      </c>
      <c r="G13" s="979">
        <f>industrie!F18</f>
        <v>1762.3932224608093</v>
      </c>
      <c r="H13" s="979">
        <f>industrie!G18</f>
        <v>0</v>
      </c>
      <c r="I13" s="979">
        <f>industrie!H18</f>
        <v>0</v>
      </c>
      <c r="J13" s="979">
        <f>industrie!I18</f>
        <v>0</v>
      </c>
      <c r="K13" s="979">
        <f>industrie!J18</f>
        <v>3.1725946780039251</v>
      </c>
      <c r="L13" s="979">
        <f>industrie!K18</f>
        <v>0</v>
      </c>
      <c r="M13" s="979">
        <f>industrie!L18</f>
        <v>0</v>
      </c>
      <c r="N13" s="979">
        <f>industrie!M18</f>
        <v>0</v>
      </c>
      <c r="O13" s="979">
        <f>industrie!N18</f>
        <v>439.59356279164041</v>
      </c>
      <c r="P13" s="979">
        <f>industrie!O18</f>
        <v>0</v>
      </c>
      <c r="Q13" s="980">
        <f>industrie!P18</f>
        <v>0</v>
      </c>
      <c r="R13" s="674">
        <f>SUM(C13:Q13)</f>
        <v>19151.531072482583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40772.365091029598</v>
      </c>
      <c r="D16" s="706">
        <f t="shared" ref="D16:R16" ca="1" si="0">SUM(D9:D15)</f>
        <v>0</v>
      </c>
      <c r="E16" s="706">
        <f t="shared" ca="1" si="0"/>
        <v>86860.751093939383</v>
      </c>
      <c r="F16" s="706">
        <f t="shared" si="0"/>
        <v>3389.2370021767392</v>
      </c>
      <c r="G16" s="706">
        <f t="shared" ca="1" si="0"/>
        <v>4229.6942982458295</v>
      </c>
      <c r="H16" s="706">
        <f t="shared" si="0"/>
        <v>0</v>
      </c>
      <c r="I16" s="706">
        <f t="shared" si="0"/>
        <v>0</v>
      </c>
      <c r="J16" s="706">
        <f t="shared" si="0"/>
        <v>0</v>
      </c>
      <c r="K16" s="706">
        <f t="shared" si="0"/>
        <v>3.2076244525000921</v>
      </c>
      <c r="L16" s="706">
        <f t="shared" si="0"/>
        <v>0</v>
      </c>
      <c r="M16" s="706">
        <f t="shared" ca="1" si="0"/>
        <v>0</v>
      </c>
      <c r="N16" s="706">
        <f t="shared" si="0"/>
        <v>0</v>
      </c>
      <c r="O16" s="706">
        <f t="shared" ca="1" si="0"/>
        <v>9434.5021172318047</v>
      </c>
      <c r="P16" s="706">
        <f t="shared" si="0"/>
        <v>184.47333333333336</v>
      </c>
      <c r="Q16" s="706">
        <f t="shared" si="0"/>
        <v>438.53333333333336</v>
      </c>
      <c r="R16" s="706">
        <f t="shared" ca="1" si="0"/>
        <v>145312.76389374249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354.442275</v>
      </c>
      <c r="D19" s="979">
        <f>transport!C54</f>
        <v>0</v>
      </c>
      <c r="E19" s="979">
        <f>transport!D54</f>
        <v>0</v>
      </c>
      <c r="F19" s="979">
        <f>transport!E54</f>
        <v>0</v>
      </c>
      <c r="G19" s="979">
        <f>transport!F54</f>
        <v>0</v>
      </c>
      <c r="H19" s="979">
        <f>transport!G54</f>
        <v>1011.7531799002527</v>
      </c>
      <c r="I19" s="979">
        <f>transport!H54</f>
        <v>0</v>
      </c>
      <c r="J19" s="979">
        <f>transport!I54</f>
        <v>0</v>
      </c>
      <c r="K19" s="979">
        <f>transport!J54</f>
        <v>0</v>
      </c>
      <c r="L19" s="979">
        <f>transport!K54</f>
        <v>0</v>
      </c>
      <c r="M19" s="979">
        <f>transport!L54</f>
        <v>0</v>
      </c>
      <c r="N19" s="979">
        <f>transport!M54</f>
        <v>57.458773442105482</v>
      </c>
      <c r="O19" s="979">
        <f>transport!N54</f>
        <v>0</v>
      </c>
      <c r="P19" s="979">
        <f>transport!O54</f>
        <v>0</v>
      </c>
      <c r="Q19" s="980">
        <f>transport!P54</f>
        <v>0</v>
      </c>
      <c r="R19" s="674">
        <f>SUM(C19:Q19)</f>
        <v>1423.654228342358</v>
      </c>
      <c r="S19" s="67"/>
    </row>
    <row r="20" spans="1:19" s="447" customFormat="1">
      <c r="A20" s="783" t="s">
        <v>306</v>
      </c>
      <c r="B20" s="788"/>
      <c r="C20" s="979">
        <f>transport!B14</f>
        <v>82.7630916673765</v>
      </c>
      <c r="D20" s="979">
        <f>transport!C14</f>
        <v>0</v>
      </c>
      <c r="E20" s="979">
        <f>transport!D14</f>
        <v>209.58794762022524</v>
      </c>
      <c r="F20" s="979">
        <f>transport!E14</f>
        <v>429.82148338903886</v>
      </c>
      <c r="G20" s="979">
        <f>transport!F14</f>
        <v>0</v>
      </c>
      <c r="H20" s="979">
        <f>transport!G14</f>
        <v>189716.69508608716</v>
      </c>
      <c r="I20" s="979">
        <f>transport!H14</f>
        <v>36816.322847763215</v>
      </c>
      <c r="J20" s="979">
        <f>transport!I14</f>
        <v>0</v>
      </c>
      <c r="K20" s="979">
        <f>transport!J14</f>
        <v>0</v>
      </c>
      <c r="L20" s="979">
        <f>transport!K14</f>
        <v>0</v>
      </c>
      <c r="M20" s="979">
        <f>transport!L14</f>
        <v>0</v>
      </c>
      <c r="N20" s="979">
        <f>transport!M14</f>
        <v>12168.157697233939</v>
      </c>
      <c r="O20" s="979">
        <f>transport!N14</f>
        <v>0</v>
      </c>
      <c r="P20" s="979">
        <f>transport!O14</f>
        <v>0</v>
      </c>
      <c r="Q20" s="980">
        <f>transport!P14</f>
        <v>0</v>
      </c>
      <c r="R20" s="674">
        <f>SUM(C20:Q20)</f>
        <v>239423.34815376095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437.2053666673765</v>
      </c>
      <c r="D22" s="786">
        <f t="shared" ref="D22:R22" si="1">SUM(D18:D21)</f>
        <v>0</v>
      </c>
      <c r="E22" s="786">
        <f t="shared" si="1"/>
        <v>209.58794762022524</v>
      </c>
      <c r="F22" s="786">
        <f t="shared" si="1"/>
        <v>429.82148338903886</v>
      </c>
      <c r="G22" s="786">
        <f t="shared" si="1"/>
        <v>0</v>
      </c>
      <c r="H22" s="786">
        <f t="shared" si="1"/>
        <v>190728.44826598742</v>
      </c>
      <c r="I22" s="786">
        <f t="shared" si="1"/>
        <v>36816.322847763215</v>
      </c>
      <c r="J22" s="786">
        <f t="shared" si="1"/>
        <v>0</v>
      </c>
      <c r="K22" s="786">
        <f t="shared" si="1"/>
        <v>0</v>
      </c>
      <c r="L22" s="786">
        <f t="shared" si="1"/>
        <v>0</v>
      </c>
      <c r="M22" s="786">
        <f t="shared" si="1"/>
        <v>0</v>
      </c>
      <c r="N22" s="786">
        <f t="shared" si="1"/>
        <v>12225.616470676045</v>
      </c>
      <c r="O22" s="786">
        <f t="shared" si="1"/>
        <v>0</v>
      </c>
      <c r="P22" s="786">
        <f t="shared" si="1"/>
        <v>0</v>
      </c>
      <c r="Q22" s="786">
        <f t="shared" si="1"/>
        <v>0</v>
      </c>
      <c r="R22" s="786">
        <f t="shared" si="1"/>
        <v>240847.0023821033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237.24943183739202</v>
      </c>
      <c r="D24" s="979">
        <f>+landbouw!C8</f>
        <v>0</v>
      </c>
      <c r="E24" s="979">
        <f>+landbouw!D8</f>
        <v>1043.7477274416237</v>
      </c>
      <c r="F24" s="979">
        <f>+landbouw!E8</f>
        <v>6.9734854451052106</v>
      </c>
      <c r="G24" s="979">
        <f>+landbouw!F8</f>
        <v>988.36831274818553</v>
      </c>
      <c r="H24" s="979">
        <f>+landbouw!G8</f>
        <v>0</v>
      </c>
      <c r="I24" s="979">
        <f>+landbouw!H8</f>
        <v>0</v>
      </c>
      <c r="J24" s="979">
        <f>+landbouw!I8</f>
        <v>0</v>
      </c>
      <c r="K24" s="979">
        <f>+landbouw!J8</f>
        <v>34.372347683367622</v>
      </c>
      <c r="L24" s="979">
        <f>+landbouw!K8</f>
        <v>0</v>
      </c>
      <c r="M24" s="979">
        <f>+landbouw!L8</f>
        <v>0</v>
      </c>
      <c r="N24" s="979">
        <f>+landbouw!M8</f>
        <v>0</v>
      </c>
      <c r="O24" s="979">
        <f>+landbouw!N8</f>
        <v>0</v>
      </c>
      <c r="P24" s="979">
        <f>+landbouw!O8</f>
        <v>0</v>
      </c>
      <c r="Q24" s="980">
        <f>+landbouw!P8</f>
        <v>0</v>
      </c>
      <c r="R24" s="674">
        <f>SUM(C24:Q24)</f>
        <v>2310.7113051556739</v>
      </c>
      <c r="S24" s="67"/>
    </row>
    <row r="25" spans="1:19" s="447" customFormat="1" ht="15" thickBot="1">
      <c r="A25" s="805" t="s">
        <v>823</v>
      </c>
      <c r="B25" s="982"/>
      <c r="C25" s="983">
        <f>IF(Onbekend_ele_kWh="---",0,Onbekend_ele_kWh)/1000+IF(REST_rest_ele_kWh="---",0,REST_rest_ele_kWh)/1000</f>
        <v>520.97246310414005</v>
      </c>
      <c r="D25" s="983"/>
      <c r="E25" s="983">
        <f>IF(onbekend_gas_kWh="---",0,onbekend_gas_kWh)/1000+IF(REST_rest_gas_kWh="---",0,REST_rest_gas_kWh)/1000</f>
        <v>4183.7890606943101</v>
      </c>
      <c r="F25" s="983"/>
      <c r="G25" s="983"/>
      <c r="H25" s="983"/>
      <c r="I25" s="983"/>
      <c r="J25" s="983"/>
      <c r="K25" s="983"/>
      <c r="L25" s="983"/>
      <c r="M25" s="983"/>
      <c r="N25" s="983"/>
      <c r="O25" s="983"/>
      <c r="P25" s="983"/>
      <c r="Q25" s="984"/>
      <c r="R25" s="674">
        <f>SUM(C25:Q25)</f>
        <v>4704.7615237984501</v>
      </c>
      <c r="S25" s="67"/>
    </row>
    <row r="26" spans="1:19" s="447" customFormat="1" ht="15.75" thickBot="1">
      <c r="A26" s="679" t="s">
        <v>824</v>
      </c>
      <c r="B26" s="791"/>
      <c r="C26" s="786">
        <f>SUM(C24:C25)</f>
        <v>758.22189494153213</v>
      </c>
      <c r="D26" s="786">
        <f t="shared" ref="D26:R26" si="2">SUM(D24:D25)</f>
        <v>0</v>
      </c>
      <c r="E26" s="786">
        <f t="shared" si="2"/>
        <v>5227.5367881359343</v>
      </c>
      <c r="F26" s="786">
        <f t="shared" si="2"/>
        <v>6.9734854451052106</v>
      </c>
      <c r="G26" s="786">
        <f t="shared" si="2"/>
        <v>988.36831274818553</v>
      </c>
      <c r="H26" s="786">
        <f t="shared" si="2"/>
        <v>0</v>
      </c>
      <c r="I26" s="786">
        <f t="shared" si="2"/>
        <v>0</v>
      </c>
      <c r="J26" s="786">
        <f t="shared" si="2"/>
        <v>0</v>
      </c>
      <c r="K26" s="786">
        <f t="shared" si="2"/>
        <v>34.372347683367622</v>
      </c>
      <c r="L26" s="786">
        <f t="shared" si="2"/>
        <v>0</v>
      </c>
      <c r="M26" s="786">
        <f t="shared" si="2"/>
        <v>0</v>
      </c>
      <c r="N26" s="786">
        <f t="shared" si="2"/>
        <v>0</v>
      </c>
      <c r="O26" s="786">
        <f t="shared" si="2"/>
        <v>0</v>
      </c>
      <c r="P26" s="786">
        <f t="shared" si="2"/>
        <v>0</v>
      </c>
      <c r="Q26" s="786">
        <f t="shared" si="2"/>
        <v>0</v>
      </c>
      <c r="R26" s="786">
        <f t="shared" si="2"/>
        <v>7015.4728289541235</v>
      </c>
      <c r="S26" s="67"/>
    </row>
    <row r="27" spans="1:19" s="447" customFormat="1" ht="17.25" thickTop="1" thickBot="1">
      <c r="A27" s="680" t="s">
        <v>115</v>
      </c>
      <c r="B27" s="779"/>
      <c r="C27" s="681">
        <f ca="1">C22+C16+C26</f>
        <v>41967.792352638506</v>
      </c>
      <c r="D27" s="681">
        <f t="shared" ref="D27:R27" ca="1" si="3">D22+D16+D26</f>
        <v>0</v>
      </c>
      <c r="E27" s="681">
        <f t="shared" ca="1" si="3"/>
        <v>92297.875829695549</v>
      </c>
      <c r="F27" s="681">
        <f t="shared" si="3"/>
        <v>3826.0319710108834</v>
      </c>
      <c r="G27" s="681">
        <f t="shared" ca="1" si="3"/>
        <v>5218.0626109940149</v>
      </c>
      <c r="H27" s="681">
        <f t="shared" si="3"/>
        <v>190728.44826598742</v>
      </c>
      <c r="I27" s="681">
        <f t="shared" si="3"/>
        <v>36816.322847763215</v>
      </c>
      <c r="J27" s="681">
        <f t="shared" si="3"/>
        <v>0</v>
      </c>
      <c r="K27" s="681">
        <f t="shared" si="3"/>
        <v>37.579972135867713</v>
      </c>
      <c r="L27" s="681">
        <f t="shared" si="3"/>
        <v>0</v>
      </c>
      <c r="M27" s="681">
        <f t="shared" ca="1" si="3"/>
        <v>0</v>
      </c>
      <c r="N27" s="681">
        <f t="shared" si="3"/>
        <v>12225.616470676045</v>
      </c>
      <c r="O27" s="681">
        <f t="shared" ca="1" si="3"/>
        <v>9434.5021172318047</v>
      </c>
      <c r="P27" s="681">
        <f t="shared" si="3"/>
        <v>184.47333333333336</v>
      </c>
      <c r="Q27" s="681">
        <f t="shared" si="3"/>
        <v>438.53333333333336</v>
      </c>
      <c r="R27" s="681">
        <f t="shared" ca="1" si="3"/>
        <v>393175.23910479993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2124.7888360367929</v>
      </c>
      <c r="D40" s="979">
        <f ca="1">tertiair!C20</f>
        <v>0</v>
      </c>
      <c r="E40" s="979">
        <f ca="1">tertiair!D20</f>
        <v>5112.3756242289692</v>
      </c>
      <c r="F40" s="979">
        <f>tertiair!E20</f>
        <v>44.495378415052031</v>
      </c>
      <c r="G40" s="979">
        <f ca="1">tertiair!F20</f>
        <v>658.76938723460057</v>
      </c>
      <c r="H40" s="979">
        <f>tertiair!G20</f>
        <v>0</v>
      </c>
      <c r="I40" s="979">
        <f>tertiair!H20</f>
        <v>0</v>
      </c>
      <c r="J40" s="979">
        <f>tertiair!I20</f>
        <v>0</v>
      </c>
      <c r="K40" s="979">
        <f>tertiair!J20</f>
        <v>1.2400540171643147E-2</v>
      </c>
      <c r="L40" s="979">
        <f>tertiair!K20</f>
        <v>0</v>
      </c>
      <c r="M40" s="979">
        <f ca="1">tertiair!L20</f>
        <v>0</v>
      </c>
      <c r="N40" s="979">
        <f>tertiair!M20</f>
        <v>0</v>
      </c>
      <c r="O40" s="979">
        <f ca="1">tertiair!N20</f>
        <v>0</v>
      </c>
      <c r="P40" s="979">
        <f>tertiair!O20</f>
        <v>0</v>
      </c>
      <c r="Q40" s="748">
        <f>tertiair!P20</f>
        <v>0</v>
      </c>
      <c r="R40" s="824">
        <f t="shared" ca="1" si="4"/>
        <v>7940.4416264555857</v>
      </c>
    </row>
    <row r="41" spans="1:18">
      <c r="A41" s="796" t="s">
        <v>224</v>
      </c>
      <c r="B41" s="803"/>
      <c r="C41" s="979">
        <f ca="1">huishoudens!B12</f>
        <v>2768.6099422523052</v>
      </c>
      <c r="D41" s="979">
        <f ca="1">huishoudens!C12</f>
        <v>0</v>
      </c>
      <c r="E41" s="979">
        <f>huishoudens!D12</f>
        <v>10360.788031306922</v>
      </c>
      <c r="F41" s="979">
        <f>huishoudens!E12</f>
        <v>599.7689115352365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13729.166885094464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866.61864029962226</v>
      </c>
      <c r="D43" s="979">
        <f ca="1">industrie!C22</f>
        <v>0</v>
      </c>
      <c r="E43" s="979">
        <f>industrie!D22</f>
        <v>2072.7080654398651</v>
      </c>
      <c r="F43" s="979">
        <f>industrie!E22</f>
        <v>125.09250954383135</v>
      </c>
      <c r="G43" s="979">
        <f>industrie!F22</f>
        <v>470.5589903970361</v>
      </c>
      <c r="H43" s="979">
        <f>industrie!G22</f>
        <v>0</v>
      </c>
      <c r="I43" s="979">
        <f>industrie!H22</f>
        <v>0</v>
      </c>
      <c r="J43" s="979">
        <f>industrie!I22</f>
        <v>0</v>
      </c>
      <c r="K43" s="979">
        <f>industrie!J22</f>
        <v>1.1230985160133895</v>
      </c>
      <c r="L43" s="979">
        <f>industrie!K22</f>
        <v>0</v>
      </c>
      <c r="M43" s="979">
        <f>industrie!L22</f>
        <v>0</v>
      </c>
      <c r="N43" s="979">
        <f>industrie!M22</f>
        <v>0</v>
      </c>
      <c r="O43" s="979">
        <f>industrie!N22</f>
        <v>0</v>
      </c>
      <c r="P43" s="979">
        <f>industrie!O22</f>
        <v>0</v>
      </c>
      <c r="Q43" s="748">
        <f>industrie!P22</f>
        <v>0</v>
      </c>
      <c r="R43" s="823">
        <f t="shared" ca="1" si="4"/>
        <v>3536.1013041963683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5760.0174185887208</v>
      </c>
      <c r="D46" s="706">
        <f t="shared" ref="D46:Q46" ca="1" si="5">SUM(D39:D45)</f>
        <v>0</v>
      </c>
      <c r="E46" s="706">
        <f t="shared" ca="1" si="5"/>
        <v>17545.871720975756</v>
      </c>
      <c r="F46" s="706">
        <f t="shared" si="5"/>
        <v>769.35679949411997</v>
      </c>
      <c r="G46" s="706">
        <f t="shared" ca="1" si="5"/>
        <v>1129.3283776316366</v>
      </c>
      <c r="H46" s="706">
        <f t="shared" si="5"/>
        <v>0</v>
      </c>
      <c r="I46" s="706">
        <f t="shared" si="5"/>
        <v>0</v>
      </c>
      <c r="J46" s="706">
        <f t="shared" si="5"/>
        <v>0</v>
      </c>
      <c r="K46" s="706">
        <f t="shared" si="5"/>
        <v>1.1354990561850327</v>
      </c>
      <c r="L46" s="706">
        <f t="shared" si="5"/>
        <v>0</v>
      </c>
      <c r="M46" s="706">
        <f t="shared" ca="1" si="5"/>
        <v>0</v>
      </c>
      <c r="N46" s="706">
        <f t="shared" si="5"/>
        <v>0</v>
      </c>
      <c r="O46" s="706">
        <f t="shared" ca="1" si="5"/>
        <v>0</v>
      </c>
      <c r="P46" s="706">
        <f t="shared" si="5"/>
        <v>0</v>
      </c>
      <c r="Q46" s="706">
        <f t="shared" si="5"/>
        <v>0</v>
      </c>
      <c r="R46" s="706">
        <f ca="1">SUM(R39:R45)</f>
        <v>25205.709815746417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50.072976471345001</v>
      </c>
      <c r="D49" s="979">
        <f ca="1">transport!C58</f>
        <v>0</v>
      </c>
      <c r="E49" s="979">
        <f>transport!D58</f>
        <v>0</v>
      </c>
      <c r="F49" s="979">
        <f>transport!E58</f>
        <v>0</v>
      </c>
      <c r="G49" s="979">
        <f>transport!F58</f>
        <v>0</v>
      </c>
      <c r="H49" s="979">
        <f>transport!G58</f>
        <v>270.1380990333675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320.21107550471248</v>
      </c>
    </row>
    <row r="50" spans="1:18">
      <c r="A50" s="799" t="s">
        <v>306</v>
      </c>
      <c r="B50" s="809"/>
      <c r="C50" s="677">
        <f ca="1">transport!B18</f>
        <v>11.69215591384045</v>
      </c>
      <c r="D50" s="677">
        <f>transport!C18</f>
        <v>0</v>
      </c>
      <c r="E50" s="677">
        <f>transport!D18</f>
        <v>42.336765419285499</v>
      </c>
      <c r="F50" s="677">
        <f>transport!E18</f>
        <v>97.56947672931183</v>
      </c>
      <c r="G50" s="677">
        <f>transport!F18</f>
        <v>0</v>
      </c>
      <c r="H50" s="677">
        <f>transport!G18</f>
        <v>50654.357587985272</v>
      </c>
      <c r="I50" s="677">
        <f>transport!H18</f>
        <v>9167.2643890930412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59973.220375140751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61.765132385185453</v>
      </c>
      <c r="D52" s="706">
        <f t="shared" ref="D52:Q52" ca="1" si="6">SUM(D48:D51)</f>
        <v>0</v>
      </c>
      <c r="E52" s="706">
        <f t="shared" si="6"/>
        <v>42.336765419285499</v>
      </c>
      <c r="F52" s="706">
        <f t="shared" si="6"/>
        <v>97.56947672931183</v>
      </c>
      <c r="G52" s="706">
        <f t="shared" si="6"/>
        <v>0</v>
      </c>
      <c r="H52" s="706">
        <f t="shared" si="6"/>
        <v>50924.495687018643</v>
      </c>
      <c r="I52" s="706">
        <f t="shared" si="6"/>
        <v>9167.2643890930412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60293.431450645461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33.516840558123889</v>
      </c>
      <c r="D54" s="677">
        <f ca="1">+landbouw!C12</f>
        <v>0</v>
      </c>
      <c r="E54" s="677">
        <f>+landbouw!D12</f>
        <v>210.837040943208</v>
      </c>
      <c r="F54" s="677">
        <f>+landbouw!E12</f>
        <v>1.5829811960388829</v>
      </c>
      <c r="G54" s="677">
        <f>+landbouw!F12</f>
        <v>263.89433950376554</v>
      </c>
      <c r="H54" s="677">
        <f>+landbouw!G12</f>
        <v>0</v>
      </c>
      <c r="I54" s="677">
        <f>+landbouw!H12</f>
        <v>0</v>
      </c>
      <c r="J54" s="677">
        <f>+landbouw!I12</f>
        <v>0</v>
      </c>
      <c r="K54" s="677">
        <f>+landbouw!J12</f>
        <v>12.167811079912138</v>
      </c>
      <c r="L54" s="677">
        <f>+landbouw!K12</f>
        <v>0</v>
      </c>
      <c r="M54" s="677">
        <f>+landbouw!L12</f>
        <v>0</v>
      </c>
      <c r="N54" s="677">
        <f>+landbouw!M12</f>
        <v>0</v>
      </c>
      <c r="O54" s="677">
        <f>+landbouw!N12</f>
        <v>0</v>
      </c>
      <c r="P54" s="677">
        <f>+landbouw!O12</f>
        <v>0</v>
      </c>
      <c r="Q54" s="678">
        <f>+landbouw!P12</f>
        <v>0</v>
      </c>
      <c r="R54" s="705">
        <f ca="1">SUM(C54:Q54)</f>
        <v>521.99901328104841</v>
      </c>
    </row>
    <row r="55" spans="1:18" ht="15" thickBot="1">
      <c r="A55" s="799" t="s">
        <v>823</v>
      </c>
      <c r="B55" s="809"/>
      <c r="C55" s="677">
        <f ca="1">C25*'EF ele_warmte'!B12</f>
        <v>73.599126648287807</v>
      </c>
      <c r="D55" s="677"/>
      <c r="E55" s="677">
        <f>E25*EF_CO2_aardgas</f>
        <v>845.1253902602507</v>
      </c>
      <c r="F55" s="677"/>
      <c r="G55" s="677"/>
      <c r="H55" s="677"/>
      <c r="I55" s="677"/>
      <c r="J55" s="677"/>
      <c r="K55" s="677"/>
      <c r="L55" s="677"/>
      <c r="M55" s="677"/>
      <c r="N55" s="677"/>
      <c r="O55" s="677"/>
      <c r="P55" s="677"/>
      <c r="Q55" s="678"/>
      <c r="R55" s="705">
        <f ca="1">SUM(C55:Q55)</f>
        <v>918.72451690853848</v>
      </c>
    </row>
    <row r="56" spans="1:18" ht="15.75" thickBot="1">
      <c r="A56" s="797" t="s">
        <v>824</v>
      </c>
      <c r="B56" s="810"/>
      <c r="C56" s="706">
        <f ca="1">SUM(C54:C55)</f>
        <v>107.1159672064117</v>
      </c>
      <c r="D56" s="706">
        <f t="shared" ref="D56:Q56" ca="1" si="7">SUM(D54:D55)</f>
        <v>0</v>
      </c>
      <c r="E56" s="706">
        <f t="shared" si="7"/>
        <v>1055.9624312034587</v>
      </c>
      <c r="F56" s="706">
        <f t="shared" si="7"/>
        <v>1.5829811960388829</v>
      </c>
      <c r="G56" s="706">
        <f t="shared" si="7"/>
        <v>263.89433950376554</v>
      </c>
      <c r="H56" s="706">
        <f t="shared" si="7"/>
        <v>0</v>
      </c>
      <c r="I56" s="706">
        <f t="shared" si="7"/>
        <v>0</v>
      </c>
      <c r="J56" s="706">
        <f t="shared" si="7"/>
        <v>0</v>
      </c>
      <c r="K56" s="706">
        <f t="shared" si="7"/>
        <v>12.167811079912138</v>
      </c>
      <c r="L56" s="706">
        <f t="shared" si="7"/>
        <v>0</v>
      </c>
      <c r="M56" s="706">
        <f t="shared" si="7"/>
        <v>0</v>
      </c>
      <c r="N56" s="706">
        <f t="shared" si="7"/>
        <v>0</v>
      </c>
      <c r="O56" s="706">
        <f t="shared" si="7"/>
        <v>0</v>
      </c>
      <c r="P56" s="706">
        <f t="shared" si="7"/>
        <v>0</v>
      </c>
      <c r="Q56" s="707">
        <f t="shared" si="7"/>
        <v>0</v>
      </c>
      <c r="R56" s="708">
        <f ca="1">SUM(R54:R55)</f>
        <v>1440.7235301895869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5928.8985181803173</v>
      </c>
      <c r="D61" s="714">
        <f t="shared" ref="D61:Q61" ca="1" si="8">D46+D52+D56</f>
        <v>0</v>
      </c>
      <c r="E61" s="714">
        <f t="shared" ca="1" si="8"/>
        <v>18644.170917598498</v>
      </c>
      <c r="F61" s="714">
        <f t="shared" si="8"/>
        <v>868.50925741947071</v>
      </c>
      <c r="G61" s="714">
        <f t="shared" ca="1" si="8"/>
        <v>1393.222717135402</v>
      </c>
      <c r="H61" s="714">
        <f t="shared" si="8"/>
        <v>50924.495687018643</v>
      </c>
      <c r="I61" s="714">
        <f t="shared" si="8"/>
        <v>9167.2643890930412</v>
      </c>
      <c r="J61" s="714">
        <f t="shared" si="8"/>
        <v>0</v>
      </c>
      <c r="K61" s="714">
        <f t="shared" si="8"/>
        <v>13.303310136097171</v>
      </c>
      <c r="L61" s="714">
        <f t="shared" si="8"/>
        <v>0</v>
      </c>
      <c r="M61" s="714">
        <f t="shared" ca="1" si="8"/>
        <v>0</v>
      </c>
      <c r="N61" s="714">
        <f t="shared" si="8"/>
        <v>0</v>
      </c>
      <c r="O61" s="714">
        <f t="shared" ca="1" si="8"/>
        <v>0</v>
      </c>
      <c r="P61" s="714">
        <f t="shared" si="8"/>
        <v>0</v>
      </c>
      <c r="Q61" s="714">
        <f t="shared" si="8"/>
        <v>0</v>
      </c>
      <c r="R61" s="714">
        <f ca="1">R46+R52+R56</f>
        <v>86939.86479658146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0.14127258513772095</v>
      </c>
      <c r="D63" s="755">
        <f t="shared" ca="1" si="9"/>
        <v>0</v>
      </c>
      <c r="E63" s="990">
        <f t="shared" ca="1" si="9"/>
        <v>0.20199999999999996</v>
      </c>
      <c r="F63" s="755">
        <f t="shared" si="9"/>
        <v>0.22700000000000006</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11884.892064256963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3255.3051834932294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15140.197247750191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11884.892064256963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3255.3051834932294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15140.197247750191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19597.644791119939</v>
      </c>
      <c r="C4" s="451">
        <f>huishoudens!C8</f>
        <v>0</v>
      </c>
      <c r="D4" s="451">
        <f>huishoudens!D8</f>
        <v>51291.029857955058</v>
      </c>
      <c r="E4" s="451">
        <f>huishoudens!E8</f>
        <v>2642.1537953094116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7599.8965831904552</v>
      </c>
      <c r="O4" s="451">
        <f>huishoudens!O8</f>
        <v>182.91000000000003</v>
      </c>
      <c r="P4" s="452">
        <f>huishoudens!P8</f>
        <v>419.4666666666667</v>
      </c>
      <c r="Q4" s="453">
        <f>SUM(B4:P4)</f>
        <v>81733.101694241515</v>
      </c>
    </row>
    <row r="5" spans="1:17">
      <c r="A5" s="450" t="s">
        <v>155</v>
      </c>
      <c r="B5" s="451">
        <f ca="1">tertiair!B16</f>
        <v>14181.146948368198</v>
      </c>
      <c r="C5" s="451">
        <f ca="1">tertiair!C16</f>
        <v>0</v>
      </c>
      <c r="D5" s="451">
        <f ca="1">tertiair!D16</f>
        <v>25308.790218955291</v>
      </c>
      <c r="E5" s="451">
        <f>tertiair!E16</f>
        <v>196.01488288569175</v>
      </c>
      <c r="F5" s="451">
        <f ca="1">tertiair!F16</f>
        <v>2467.3010757850207</v>
      </c>
      <c r="G5" s="451">
        <f>tertiair!G16</f>
        <v>0</v>
      </c>
      <c r="H5" s="451">
        <f>tertiair!H16</f>
        <v>0</v>
      </c>
      <c r="I5" s="451">
        <f>tertiair!I16</f>
        <v>0</v>
      </c>
      <c r="J5" s="451">
        <f>tertiair!J16</f>
        <v>3.5029774496167086E-2</v>
      </c>
      <c r="K5" s="451">
        <f>tertiair!K16</f>
        <v>0</v>
      </c>
      <c r="L5" s="451">
        <f ca="1">tertiair!L16</f>
        <v>0</v>
      </c>
      <c r="M5" s="451">
        <f>tertiair!M16</f>
        <v>0</v>
      </c>
      <c r="N5" s="451">
        <f ca="1">tertiair!N16</f>
        <v>1395.0119712497094</v>
      </c>
      <c r="O5" s="451">
        <f>tertiair!O16</f>
        <v>1.5633333333333335</v>
      </c>
      <c r="P5" s="452">
        <f>tertiair!P16</f>
        <v>19.066666666666666</v>
      </c>
      <c r="Q5" s="450">
        <f t="shared" ref="Q5:Q14" ca="1" si="0">SUM(B5:P5)</f>
        <v>43568.930127018401</v>
      </c>
    </row>
    <row r="6" spans="1:17">
      <c r="A6" s="450" t="s">
        <v>193</v>
      </c>
      <c r="B6" s="451">
        <f>'openbare verlichting'!B8</f>
        <v>859.20100000000002</v>
      </c>
      <c r="C6" s="451"/>
      <c r="D6" s="451"/>
      <c r="E6" s="451"/>
      <c r="F6" s="451"/>
      <c r="G6" s="451"/>
      <c r="H6" s="451"/>
      <c r="I6" s="451"/>
      <c r="J6" s="451"/>
      <c r="K6" s="451"/>
      <c r="L6" s="451"/>
      <c r="M6" s="451"/>
      <c r="N6" s="451"/>
      <c r="O6" s="451"/>
      <c r="P6" s="452"/>
      <c r="Q6" s="450">
        <f t="shared" si="0"/>
        <v>859.20100000000002</v>
      </c>
    </row>
    <row r="7" spans="1:17">
      <c r="A7" s="450" t="s">
        <v>111</v>
      </c>
      <c r="B7" s="451">
        <f>landbouw!B8</f>
        <v>237.24943183739202</v>
      </c>
      <c r="C7" s="451">
        <f>landbouw!C8</f>
        <v>0</v>
      </c>
      <c r="D7" s="451">
        <f>landbouw!D8</f>
        <v>1043.7477274416237</v>
      </c>
      <c r="E7" s="451">
        <f>landbouw!E8</f>
        <v>6.9734854451052106</v>
      </c>
      <c r="F7" s="451">
        <f>landbouw!F8</f>
        <v>988.36831274818553</v>
      </c>
      <c r="G7" s="451">
        <f>landbouw!G8</f>
        <v>0</v>
      </c>
      <c r="H7" s="451">
        <f>landbouw!H8</f>
        <v>0</v>
      </c>
      <c r="I7" s="451">
        <f>landbouw!I8</f>
        <v>0</v>
      </c>
      <c r="J7" s="451">
        <f>landbouw!J8</f>
        <v>34.372347683367622</v>
      </c>
      <c r="K7" s="451">
        <f>landbouw!K8</f>
        <v>0</v>
      </c>
      <c r="L7" s="451">
        <f>landbouw!L8</f>
        <v>0</v>
      </c>
      <c r="M7" s="451">
        <f>landbouw!M8</f>
        <v>0</v>
      </c>
      <c r="N7" s="451">
        <f>landbouw!N8</f>
        <v>0</v>
      </c>
      <c r="O7" s="451">
        <f>landbouw!O8</f>
        <v>0</v>
      </c>
      <c r="P7" s="452">
        <f>landbouw!P8</f>
        <v>0</v>
      </c>
      <c r="Q7" s="450">
        <f t="shared" si="0"/>
        <v>2310.7113051556739</v>
      </c>
    </row>
    <row r="8" spans="1:17">
      <c r="A8" s="450" t="s">
        <v>634</v>
      </c>
      <c r="B8" s="451">
        <f>industrie!B18</f>
        <v>6134.3723515414595</v>
      </c>
      <c r="C8" s="451">
        <f>industrie!C18</f>
        <v>0</v>
      </c>
      <c r="D8" s="451">
        <f>industrie!D18</f>
        <v>10260.931017029036</v>
      </c>
      <c r="E8" s="451">
        <f>industrie!E18</f>
        <v>551.0683239816359</v>
      </c>
      <c r="F8" s="451">
        <f>industrie!F18</f>
        <v>1762.3932224608093</v>
      </c>
      <c r="G8" s="451">
        <f>industrie!G18</f>
        <v>0</v>
      </c>
      <c r="H8" s="451">
        <f>industrie!H18</f>
        <v>0</v>
      </c>
      <c r="I8" s="451">
        <f>industrie!I18</f>
        <v>0</v>
      </c>
      <c r="J8" s="451">
        <f>industrie!J18</f>
        <v>3.1725946780039251</v>
      </c>
      <c r="K8" s="451">
        <f>industrie!K18</f>
        <v>0</v>
      </c>
      <c r="L8" s="451">
        <f>industrie!L18</f>
        <v>0</v>
      </c>
      <c r="M8" s="451">
        <f>industrie!M18</f>
        <v>0</v>
      </c>
      <c r="N8" s="451">
        <f>industrie!N18</f>
        <v>439.59356279164041</v>
      </c>
      <c r="O8" s="451">
        <f>industrie!O18</f>
        <v>0</v>
      </c>
      <c r="P8" s="452">
        <f>industrie!P18</f>
        <v>0</v>
      </c>
      <c r="Q8" s="450">
        <f t="shared" si="0"/>
        <v>19151.531072482583</v>
      </c>
    </row>
    <row r="9" spans="1:17" s="456" customFormat="1">
      <c r="A9" s="454" t="s">
        <v>560</v>
      </c>
      <c r="B9" s="455">
        <f>transport!B14</f>
        <v>82.7630916673765</v>
      </c>
      <c r="C9" s="455">
        <f>transport!C14</f>
        <v>0</v>
      </c>
      <c r="D9" s="455">
        <f>transport!D14</f>
        <v>209.58794762022524</v>
      </c>
      <c r="E9" s="455">
        <f>transport!E14</f>
        <v>429.82148338903886</v>
      </c>
      <c r="F9" s="455">
        <f>transport!F14</f>
        <v>0</v>
      </c>
      <c r="G9" s="455">
        <f>transport!G14</f>
        <v>189716.69508608716</v>
      </c>
      <c r="H9" s="455">
        <f>transport!H14</f>
        <v>36816.322847763215</v>
      </c>
      <c r="I9" s="455">
        <f>transport!I14</f>
        <v>0</v>
      </c>
      <c r="J9" s="455">
        <f>transport!J14</f>
        <v>0</v>
      </c>
      <c r="K9" s="455">
        <f>transport!K14</f>
        <v>0</v>
      </c>
      <c r="L9" s="455">
        <f>transport!L14</f>
        <v>0</v>
      </c>
      <c r="M9" s="455">
        <f>transport!M14</f>
        <v>12168.157697233939</v>
      </c>
      <c r="N9" s="455">
        <f>transport!N14</f>
        <v>0</v>
      </c>
      <c r="O9" s="455">
        <f>transport!O14</f>
        <v>0</v>
      </c>
      <c r="P9" s="455">
        <f>transport!P14</f>
        <v>0</v>
      </c>
      <c r="Q9" s="454">
        <f>SUM(B9:P9)</f>
        <v>239423.34815376095</v>
      </c>
    </row>
    <row r="10" spans="1:17">
      <c r="A10" s="450" t="s">
        <v>550</v>
      </c>
      <c r="B10" s="451">
        <f>transport!B54</f>
        <v>354.442275</v>
      </c>
      <c r="C10" s="451">
        <f>transport!C54</f>
        <v>0</v>
      </c>
      <c r="D10" s="451">
        <f>transport!D54</f>
        <v>0</v>
      </c>
      <c r="E10" s="451">
        <f>transport!E54</f>
        <v>0</v>
      </c>
      <c r="F10" s="451">
        <f>transport!F54</f>
        <v>0</v>
      </c>
      <c r="G10" s="451">
        <f>transport!G54</f>
        <v>1011.7531799002527</v>
      </c>
      <c r="H10" s="451">
        <f>transport!H54</f>
        <v>0</v>
      </c>
      <c r="I10" s="451">
        <f>transport!I54</f>
        <v>0</v>
      </c>
      <c r="J10" s="451">
        <f>transport!J54</f>
        <v>0</v>
      </c>
      <c r="K10" s="451">
        <f>transport!K54</f>
        <v>0</v>
      </c>
      <c r="L10" s="451">
        <f>transport!L54</f>
        <v>0</v>
      </c>
      <c r="M10" s="451">
        <f>transport!M54</f>
        <v>57.458773442105482</v>
      </c>
      <c r="N10" s="451">
        <f>transport!N54</f>
        <v>0</v>
      </c>
      <c r="O10" s="451">
        <f>transport!O54</f>
        <v>0</v>
      </c>
      <c r="P10" s="452">
        <f>transport!P54</f>
        <v>0</v>
      </c>
      <c r="Q10" s="450">
        <f t="shared" si="0"/>
        <v>1423.654228342358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520.97246310414005</v>
      </c>
      <c r="C14" s="458"/>
      <c r="D14" s="458">
        <f>'SEAP template'!E25</f>
        <v>4183.7890606943101</v>
      </c>
      <c r="E14" s="458"/>
      <c r="F14" s="458"/>
      <c r="G14" s="458"/>
      <c r="H14" s="458"/>
      <c r="I14" s="458"/>
      <c r="J14" s="458"/>
      <c r="K14" s="458"/>
      <c r="L14" s="458"/>
      <c r="M14" s="458"/>
      <c r="N14" s="458"/>
      <c r="O14" s="458"/>
      <c r="P14" s="459"/>
      <c r="Q14" s="450">
        <f t="shared" si="0"/>
        <v>4704.7615237984501</v>
      </c>
    </row>
    <row r="15" spans="1:17" s="460" customFormat="1">
      <c r="A15" s="1005" t="s">
        <v>554</v>
      </c>
      <c r="B15" s="953">
        <f ca="1">SUM(B4:B14)</f>
        <v>41967.792352638506</v>
      </c>
      <c r="C15" s="953">
        <f t="shared" ref="C15:Q15" ca="1" si="1">SUM(C4:C14)</f>
        <v>0</v>
      </c>
      <c r="D15" s="953">
        <f t="shared" ca="1" si="1"/>
        <v>92297.875829695549</v>
      </c>
      <c r="E15" s="953">
        <f t="shared" si="1"/>
        <v>3826.0319710108834</v>
      </c>
      <c r="F15" s="953">
        <f t="shared" ca="1" si="1"/>
        <v>5218.0626109940149</v>
      </c>
      <c r="G15" s="953">
        <f t="shared" si="1"/>
        <v>190728.44826598742</v>
      </c>
      <c r="H15" s="953">
        <f t="shared" si="1"/>
        <v>36816.322847763215</v>
      </c>
      <c r="I15" s="953">
        <f t="shared" si="1"/>
        <v>0</v>
      </c>
      <c r="J15" s="953">
        <f t="shared" si="1"/>
        <v>37.579972135867713</v>
      </c>
      <c r="K15" s="953">
        <f t="shared" si="1"/>
        <v>0</v>
      </c>
      <c r="L15" s="953">
        <f t="shared" ca="1" si="1"/>
        <v>0</v>
      </c>
      <c r="M15" s="953">
        <f t="shared" si="1"/>
        <v>12225.616470676045</v>
      </c>
      <c r="N15" s="953">
        <f t="shared" ca="1" si="1"/>
        <v>9434.5021172318047</v>
      </c>
      <c r="O15" s="953">
        <f t="shared" si="1"/>
        <v>184.47333333333336</v>
      </c>
      <c r="P15" s="953">
        <f t="shared" si="1"/>
        <v>438.53333333333336</v>
      </c>
      <c r="Q15" s="953">
        <f t="shared" ca="1" si="1"/>
        <v>393175.23910479993</v>
      </c>
    </row>
    <row r="17" spans="1:17">
      <c r="A17" s="461" t="s">
        <v>555</v>
      </c>
      <c r="B17" s="760">
        <f ca="1">huishoudens!B10</f>
        <v>0.14127258513772095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2768.6099422523052</v>
      </c>
      <c r="C22" s="451">
        <f t="shared" ref="C22:C32" ca="1" si="3">C4*$C$17</f>
        <v>0</v>
      </c>
      <c r="D22" s="451">
        <f t="shared" ref="D22:D32" si="4">D4*$D$17</f>
        <v>10360.788031306922</v>
      </c>
      <c r="E22" s="451">
        <f t="shared" ref="E22:E32" si="5">E4*$E$17</f>
        <v>599.7689115352365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13729.166885094464</v>
      </c>
    </row>
    <row r="23" spans="1:17">
      <c r="A23" s="450" t="s">
        <v>155</v>
      </c>
      <c r="B23" s="451">
        <f t="shared" ca="1" si="2"/>
        <v>2003.4072896138778</v>
      </c>
      <c r="C23" s="451">
        <f t="shared" ca="1" si="3"/>
        <v>0</v>
      </c>
      <c r="D23" s="451">
        <f t="shared" ca="1" si="4"/>
        <v>5112.3756242289692</v>
      </c>
      <c r="E23" s="451">
        <f t="shared" si="5"/>
        <v>44.495378415052031</v>
      </c>
      <c r="F23" s="451">
        <f t="shared" ca="1" si="6"/>
        <v>658.76938723460057</v>
      </c>
      <c r="G23" s="451">
        <f t="shared" si="7"/>
        <v>0</v>
      </c>
      <c r="H23" s="451">
        <f t="shared" si="8"/>
        <v>0</v>
      </c>
      <c r="I23" s="451">
        <f t="shared" si="9"/>
        <v>0</v>
      </c>
      <c r="J23" s="451">
        <f t="shared" si="10"/>
        <v>1.2400540171643147E-2</v>
      </c>
      <c r="K23" s="451">
        <f t="shared" si="11"/>
        <v>0</v>
      </c>
      <c r="L23" s="451">
        <f t="shared" ca="1" si="12"/>
        <v>0</v>
      </c>
      <c r="M23" s="451">
        <f t="shared" si="13"/>
        <v>0</v>
      </c>
      <c r="N23" s="451">
        <f t="shared" ca="1" si="14"/>
        <v>0</v>
      </c>
      <c r="O23" s="451">
        <f t="shared" si="15"/>
        <v>0</v>
      </c>
      <c r="P23" s="452">
        <f t="shared" si="16"/>
        <v>0</v>
      </c>
      <c r="Q23" s="450">
        <f t="shared" ref="Q23:Q32" ca="1" si="17">SUM(B23:P23)</f>
        <v>7819.0600800326711</v>
      </c>
    </row>
    <row r="24" spans="1:17">
      <c r="A24" s="450" t="s">
        <v>193</v>
      </c>
      <c r="B24" s="451">
        <f t="shared" ca="1" si="2"/>
        <v>121.38154642291498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121.38154642291498</v>
      </c>
    </row>
    <row r="25" spans="1:17">
      <c r="A25" s="450" t="s">
        <v>111</v>
      </c>
      <c r="B25" s="451">
        <f t="shared" ca="1" si="2"/>
        <v>33.516840558123889</v>
      </c>
      <c r="C25" s="451">
        <f t="shared" ca="1" si="3"/>
        <v>0</v>
      </c>
      <c r="D25" s="451">
        <f t="shared" si="4"/>
        <v>210.837040943208</v>
      </c>
      <c r="E25" s="451">
        <f t="shared" si="5"/>
        <v>1.5829811960388829</v>
      </c>
      <c r="F25" s="451">
        <f t="shared" si="6"/>
        <v>263.89433950376554</v>
      </c>
      <c r="G25" s="451">
        <f t="shared" si="7"/>
        <v>0</v>
      </c>
      <c r="H25" s="451">
        <f t="shared" si="8"/>
        <v>0</v>
      </c>
      <c r="I25" s="451">
        <f t="shared" si="9"/>
        <v>0</v>
      </c>
      <c r="J25" s="451">
        <f t="shared" si="10"/>
        <v>12.167811079912138</v>
      </c>
      <c r="K25" s="451">
        <f t="shared" si="11"/>
        <v>0</v>
      </c>
      <c r="L25" s="451">
        <f t="shared" si="12"/>
        <v>0</v>
      </c>
      <c r="M25" s="451">
        <f t="shared" si="13"/>
        <v>0</v>
      </c>
      <c r="N25" s="451">
        <f t="shared" si="14"/>
        <v>0</v>
      </c>
      <c r="O25" s="451">
        <f t="shared" si="15"/>
        <v>0</v>
      </c>
      <c r="P25" s="452">
        <f t="shared" si="16"/>
        <v>0</v>
      </c>
      <c r="Q25" s="450">
        <f t="shared" ca="1" si="17"/>
        <v>521.99901328104841</v>
      </c>
    </row>
    <row r="26" spans="1:17">
      <c r="A26" s="450" t="s">
        <v>634</v>
      </c>
      <c r="B26" s="451">
        <f t="shared" ca="1" si="2"/>
        <v>866.61864029962226</v>
      </c>
      <c r="C26" s="451">
        <f t="shared" ca="1" si="3"/>
        <v>0</v>
      </c>
      <c r="D26" s="451">
        <f t="shared" si="4"/>
        <v>2072.7080654398651</v>
      </c>
      <c r="E26" s="451">
        <f t="shared" si="5"/>
        <v>125.09250954383135</v>
      </c>
      <c r="F26" s="451">
        <f t="shared" si="6"/>
        <v>470.5589903970361</v>
      </c>
      <c r="G26" s="451">
        <f t="shared" si="7"/>
        <v>0</v>
      </c>
      <c r="H26" s="451">
        <f t="shared" si="8"/>
        <v>0</v>
      </c>
      <c r="I26" s="451">
        <f t="shared" si="9"/>
        <v>0</v>
      </c>
      <c r="J26" s="451">
        <f t="shared" si="10"/>
        <v>1.1230985160133895</v>
      </c>
      <c r="K26" s="451">
        <f t="shared" si="11"/>
        <v>0</v>
      </c>
      <c r="L26" s="451">
        <f t="shared" si="12"/>
        <v>0</v>
      </c>
      <c r="M26" s="451">
        <f t="shared" si="13"/>
        <v>0</v>
      </c>
      <c r="N26" s="451">
        <f t="shared" si="14"/>
        <v>0</v>
      </c>
      <c r="O26" s="451">
        <f t="shared" si="15"/>
        <v>0</v>
      </c>
      <c r="P26" s="452">
        <f t="shared" si="16"/>
        <v>0</v>
      </c>
      <c r="Q26" s="450">
        <f t="shared" ca="1" si="17"/>
        <v>3536.1013041963683</v>
      </c>
    </row>
    <row r="27" spans="1:17" s="456" customFormat="1">
      <c r="A27" s="454" t="s">
        <v>560</v>
      </c>
      <c r="B27" s="754">
        <f t="shared" ca="1" si="2"/>
        <v>11.69215591384045</v>
      </c>
      <c r="C27" s="455">
        <f t="shared" ca="1" si="3"/>
        <v>0</v>
      </c>
      <c r="D27" s="455">
        <f t="shared" si="4"/>
        <v>42.336765419285499</v>
      </c>
      <c r="E27" s="455">
        <f t="shared" si="5"/>
        <v>97.56947672931183</v>
      </c>
      <c r="F27" s="455">
        <f t="shared" si="6"/>
        <v>0</v>
      </c>
      <c r="G27" s="455">
        <f t="shared" si="7"/>
        <v>50654.357587985272</v>
      </c>
      <c r="H27" s="455">
        <f t="shared" si="8"/>
        <v>9167.2643890930412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59973.220375140751</v>
      </c>
    </row>
    <row r="28" spans="1:17">
      <c r="A28" s="450" t="s">
        <v>550</v>
      </c>
      <c r="B28" s="451">
        <f t="shared" ca="1" si="2"/>
        <v>50.072976471345001</v>
      </c>
      <c r="C28" s="451">
        <f t="shared" ca="1" si="3"/>
        <v>0</v>
      </c>
      <c r="D28" s="451">
        <f t="shared" si="4"/>
        <v>0</v>
      </c>
      <c r="E28" s="451">
        <f t="shared" si="5"/>
        <v>0</v>
      </c>
      <c r="F28" s="451">
        <f t="shared" si="6"/>
        <v>0</v>
      </c>
      <c r="G28" s="451">
        <f t="shared" si="7"/>
        <v>270.1380990333675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320.21107550471248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73.599126648287807</v>
      </c>
      <c r="C32" s="451">
        <f t="shared" ca="1" si="3"/>
        <v>0</v>
      </c>
      <c r="D32" s="451">
        <f t="shared" si="4"/>
        <v>845.1253902602507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918.72451690853848</v>
      </c>
    </row>
    <row r="33" spans="1:17" s="460" customFormat="1">
      <c r="A33" s="1005" t="s">
        <v>554</v>
      </c>
      <c r="B33" s="953">
        <f ca="1">SUM(B22:B32)</f>
        <v>5928.8985181803164</v>
      </c>
      <c r="C33" s="953">
        <f t="shared" ref="C33:Q33" ca="1" si="18">SUM(C22:C32)</f>
        <v>0</v>
      </c>
      <c r="D33" s="953">
        <f t="shared" ca="1" si="18"/>
        <v>18644.170917598498</v>
      </c>
      <c r="E33" s="953">
        <f t="shared" si="18"/>
        <v>868.50925741947071</v>
      </c>
      <c r="F33" s="953">
        <f t="shared" ca="1" si="18"/>
        <v>1393.2227171354023</v>
      </c>
      <c r="G33" s="953">
        <f t="shared" si="18"/>
        <v>50924.495687018643</v>
      </c>
      <c r="H33" s="953">
        <f t="shared" si="18"/>
        <v>9167.2643890930412</v>
      </c>
      <c r="I33" s="953">
        <f t="shared" si="18"/>
        <v>0</v>
      </c>
      <c r="J33" s="953">
        <f t="shared" si="18"/>
        <v>13.303310136097171</v>
      </c>
      <c r="K33" s="953">
        <f t="shared" si="18"/>
        <v>0</v>
      </c>
      <c r="L33" s="953">
        <f t="shared" ca="1" si="18"/>
        <v>0</v>
      </c>
      <c r="M33" s="953">
        <f t="shared" si="18"/>
        <v>0</v>
      </c>
      <c r="N33" s="953">
        <f t="shared" ca="1" si="18"/>
        <v>0</v>
      </c>
      <c r="O33" s="953">
        <f t="shared" si="18"/>
        <v>0</v>
      </c>
      <c r="P33" s="953">
        <f t="shared" si="18"/>
        <v>0</v>
      </c>
      <c r="Q33" s="953">
        <f t="shared" ca="1" si="18"/>
        <v>86939.864796581474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11884.892064256963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3255.3051834932294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15140.197247750191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0.14127258513772095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0.14127258513772095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2020-06-20T15:46:56Z</dcterms:modified>
</cp:coreProperties>
</file>