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J77" i="14" s="1"/>
  <c r="J9" i="61" s="1"/>
  <c r="U39" i="18"/>
  <c r="T39" i="18"/>
  <c r="I9" i="18" s="1"/>
  <c r="S39" i="18"/>
  <c r="R39" i="18"/>
  <c r="Q39" i="18"/>
  <c r="P39" i="18"/>
  <c r="C9" i="18" s="1"/>
  <c r="O39" i="18"/>
  <c r="N39" i="18"/>
  <c r="B9" i="18" s="1"/>
  <c r="M39" i="18"/>
  <c r="W35" i="18"/>
  <c r="V35" i="18"/>
  <c r="U35" i="18"/>
  <c r="T35" i="18"/>
  <c r="S35" i="18"/>
  <c r="R35" i="18"/>
  <c r="Q35" i="18"/>
  <c r="P35" i="18"/>
  <c r="O35" i="18"/>
  <c r="N35" i="18"/>
  <c r="M35" i="18"/>
  <c r="W34" i="18"/>
  <c r="V34" i="18"/>
  <c r="U34" i="18"/>
  <c r="T34" i="18"/>
  <c r="S34" i="18"/>
  <c r="F13" i="15" s="1"/>
  <c r="R34" i="18"/>
  <c r="Q34" i="18"/>
  <c r="P34" i="18"/>
  <c r="O34" i="18"/>
  <c r="C13" i="15" s="1"/>
  <c r="N34" i="18"/>
  <c r="M34" i="18"/>
  <c r="W33" i="18"/>
  <c r="V33" i="18"/>
  <c r="U33" i="18"/>
  <c r="T33" i="18"/>
  <c r="S33" i="18"/>
  <c r="R33" i="18"/>
  <c r="Q33" i="18"/>
  <c r="P33" i="18"/>
  <c r="O33" i="18"/>
  <c r="N33" i="18"/>
  <c r="M33" i="18"/>
  <c r="W32" i="18"/>
  <c r="V32" i="18"/>
  <c r="U32" i="18"/>
  <c r="T32" i="18"/>
  <c r="S32" i="18"/>
  <c r="R32" i="18"/>
  <c r="Q32" i="18"/>
  <c r="P32" i="18"/>
  <c r="O32" i="18"/>
  <c r="N32" i="18"/>
  <c r="C48" i="18" s="1"/>
  <c r="M32"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M77" i="14" l="1"/>
  <c r="M9" i="61" s="1"/>
  <c r="H9" i="18"/>
  <c r="F6" i="17"/>
  <c r="D13" i="15"/>
  <c r="B48" i="18"/>
  <c r="F5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1" i="18"/>
  <c r="H8" i="18" s="1"/>
  <c r="E51" i="18"/>
  <c r="E8" i="18" s="1"/>
  <c r="G51" i="18"/>
  <c r="F51" i="18"/>
  <c r="H51" i="18"/>
  <c r="D51" i="18"/>
  <c r="C51" i="18"/>
  <c r="B51" i="18"/>
  <c r="C8" i="18" s="1"/>
  <c r="C52" i="18"/>
  <c r="B52" i="18"/>
  <c r="C17" i="18" s="1"/>
  <c r="H52" i="18"/>
  <c r="D52" i="18"/>
  <c r="G52"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2" i="18"/>
  <c r="E17" i="18" s="1"/>
  <c r="E20" i="18" s="1"/>
  <c r="I52"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6" i="14" l="1"/>
  <c r="K27" i="14" s="1"/>
  <c r="E8" i="48"/>
  <c r="E26" i="48" s="1"/>
  <c r="F13" i="14"/>
  <c r="F16" i="14" s="1"/>
  <c r="F27" i="14" s="1"/>
  <c r="E33" i="48"/>
  <c r="J33" i="48"/>
  <c r="K13" i="14"/>
  <c r="J8" i="48"/>
  <c r="J26" i="48" s="1"/>
  <c r="J15"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<sst xmlns="http://schemas.openxmlformats.org/spreadsheetml/2006/main" count="2432" uniqueCount="903">
  <si>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</si>
  <si>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</si>
  <si>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</si>
  <si>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</si>
  <si>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</si>
  <si>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</si>
  <si>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</si>
  <si>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</si>
  <si>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</si>
  <si>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</si>
  <si>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</si>
  <si>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</si>
  <si>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</si>
  <si>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</si>
  <si>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</si>
  <si>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</si>
  <si>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</si>
  <si>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</si>
  <si>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</si>
  <si>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</si>
  <si>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</si>
  <si>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</si>
  <si>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</si>
  <si>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</si>
  <si>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</si>
  <si>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</si>
  <si>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</si>
  <si>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</si>
  <si>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</si>
  <si>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</si>
  <si>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</si>
  <si>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</si>
  <si>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</si>
  <si>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</si>
  <si>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</si>
  <si>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</si>
  <si>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</si>
  <si>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</si>
  <si>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</si>
  <si>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</si>
  <si>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</si>
  <si>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</si>
  <si>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</si>
  <si>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</si>
  <si>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</si>
  <si>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</si>
  <si>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</si>
  <si>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</si>
  <si>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</si>
  <si>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</si>
  <si>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</si>
  <si>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</si>
  <si>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</si>
  <si>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</si>
  <si>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</si>
  <si>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</si>
  <si>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</si>
  <si>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</si>
  <si>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</si>
  <si>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</si>
  <si>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</si>
  <si>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</si>
  <si>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</si>
  <si>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</si>
  <si>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</si>
  <si>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</si>
  <si>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</si>
  <si>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</si>
  <si>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</si>
  <si>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</si>
  <si>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</si>
  <si>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</si>
  <si>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</si>
  <si>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</si>
  <si>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</si>
  <si>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</si>
  <si>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</si>
  <si>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</si>
  <si>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</si>
  <si>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</si>
  <si>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</si>
  <si>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</si>
  <si>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</si>
  <si>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</si>
  <si>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</si>
  <si>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</si>
  <si>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</si>
  <si>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</si>
  <si>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</si>
  <si>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</si>
  <si>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</si>
  <si>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</si>
  <si>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</si>
  <si>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</si>
  <si>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</si>
  <si>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</si>
  <si>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</si>
  <si>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</si>
  <si>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</si>
  <si>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</si>
  <si>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</si>
  <si>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</si>
  <si>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</si>
  <si>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</si>
  <si>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</si>
  <si>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</si>
  <si>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</si>
  <si>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</si>
  <si>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</si>
  <si>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</si>
  <si>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</si>
  <si>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</si>
  <si>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</si>
  <si>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</si>
  <si>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</si>
  <si>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</si>
  <si>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</si>
  <si>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</si>
  <si>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</si>
  <si>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</si>
  <si>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</si>
  <si>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</si>
  <si>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</si>
  <si>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</si>
  <si>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</si>
  <si>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</si>
  <si>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</si>
  <si>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</si>
  <si>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</si>
  <si>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</si>
  <si>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</si>
  <si>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</si>
  <si>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</si>
  <si>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</si>
  <si>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</si>
  <si>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</si>
  <si>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</si>
  <si>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</si>
  <si>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</si>
  <si>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</si>
  <si>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</si>
  <si>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</si>
  <si>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</si>
  <si>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</si>
  <si>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</si>
  <si>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</si>
  <si>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</si>
  <si>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</si>
  <si>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</si>
  <si>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</si>
  <si>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</si>
  <si>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</si>
  <si>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</si>
  <si>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</si>
  <si>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</si>
  <si>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</si>
  <si>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</si>
  <si>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</si>
  <si>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</si>
  <si>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</si>
  <si>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</si>
  <si>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</si>
  <si>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</si>
  <si>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</si>
  <si>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</si>
  <si>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</si>
  <si>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</si>
  <si>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</si>
  <si>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</si>
  <si>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</si>
  <si>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</si>
  <si>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</si>
  <si>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</si>
  <si>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</si>
  <si>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</si>
  <si>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</si>
  <si>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</si>
  <si>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</si>
  <si>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</si>
  <si>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</si>
  <si>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</si>
  <si>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</si>
  <si>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</si>
  <si>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</si>
  <si>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</si>
  <si>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</si>
  <si>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</si>
  <si>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</si>
  <si>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</si>
  <si>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</si>
  <si>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</si>
  <si>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</si>
  <si>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</si>
  <si>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</si>
  <si>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</si>
  <si>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</si>
  <si>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</si>
  <si>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</si>
  <si>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</si>
  <si>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</si>
  <si>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</si>
  <si>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</si>
  <si>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</si>
  <si>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</si>
  <si>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</si>
  <si>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</si>
  <si>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</si>
  <si>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</si>
  <si>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</si>
  <si>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</si>
  <si>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</si>
  <si>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</si>
  <si>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</si>
  <si>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</si>
  <si>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</si>
  <si>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</si>
  <si>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</si>
  <si>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</si>
  <si>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</si>
  <si>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</si>
  <si>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</si>
  <si>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</si>
  <si>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</si>
  <si>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</si>
  <si>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</si>
  <si>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</si>
  <si>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</si>
  <si>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</si>
  <si>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</si>
  <si>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</si>
  <si>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</si>
  <si>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</si>
  <si>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</si>
  <si>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</si>
  <si>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</si>
  <si>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</si>
  <si>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</si>
  <si>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</si>
  <si>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</si>
  <si>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</si>
  <si>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</si>
  <si>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</si>
  <si>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</si>
  <si>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</si>
  <si>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</si>
  <si>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</si>
  <si>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</si>
  <si>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</si>
  <si>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</si>
  <si>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</si>
  <si>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</si>
  <si>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</si>
  <si>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</si>
  <si>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</si>
  <si>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</si>
  <si>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</si>
  <si>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</si>
  <si>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</si>
  <si>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</si>
  <si>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</si>
  <si>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</si>
  <si>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</si>
  <si>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</si>
  <si>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</si>
  <si>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</si>
  <si>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</si>
  <si>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</si>
  <si>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</si>
  <si>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</si>
  <si>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</si>
  <si>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</si>
  <si>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</si>
  <si>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</si>
  <si>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</si>
  <si>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</si>
  <si>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</si>
  <si>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</si>
  <si>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</si>
  <si>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</si>
  <si>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</si>
  <si>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</si>
  <si>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</si>
  <si>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</si>
  <si>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</si>
  <si>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</si>
  <si>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</si>
  <si>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</si>
  <si>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</si>
  <si>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</si>
  <si>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</si>
  <si>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</si>
  <si>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</si>
  <si>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</si>
  <si>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</si>
  <si>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</si>
  <si>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</si>
  <si>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</si>
  <si>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</si>
  <si>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</si>
  <si>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</si>
  <si>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</si>
  <si>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</si>
  <si>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</si>
  <si>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</si>
  <si>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</si>
  <si>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</si>
  <si>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</si>
  <si>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</si>
  <si>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</si>
  <si>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</si>
  <si>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</si>
  <si>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</si>
  <si>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</si>
  <si>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</si>
  <si>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</si>
  <si>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</si>
  <si>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</si>
  <si>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</si>
  <si>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</si>
  <si>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</si>
  <si>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</si>
  <si>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</si>
  <si>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</si>
  <si>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</si>
  <si>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</si>
  <si>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</si>
  <si>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</si>
  <si>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</si>
  <si>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</si>
  <si>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</si>
  <si>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</si>
  <si>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</si>
  <si>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</si>
  <si>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</si>
  <si>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</si>
  <si>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</si>
  <si>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</si>
  <si>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</si>
  <si>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</si>
  <si>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</si>
  <si>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</si>
  <si>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</si>
  <si>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</si>
  <si>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</si>
  <si>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</si>
  <si>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</si>
  <si>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</si>
  <si>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</si>
  <si>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</si>
  <si>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</si>
  <si>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</si>
  <si>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</si>
  <si>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</si>
  <si>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</si>
  <si>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</si>
  <si>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</si>
  <si>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</si>
  <si>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</si>
  <si>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</si>
  <si>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</si>
  <si>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</si>
  <si>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</si>
  <si>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</si>
  <si>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</si>
  <si>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</si>
  <si>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</si>
  <si>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</si>
  <si>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</si>
  <si>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</si>
  <si>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</si>
  <si>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</si>
  <si>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</si>
  <si>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</si>
  <si>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</si>
  <si>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</si>
  <si>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</si>
  <si>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</si>
  <si>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</si>
  <si>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</si>
  <si>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</si>
  <si>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</si>
  <si>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</si>
  <si>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</si>
  <si>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</si>
  <si>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</si>
  <si>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</si>
  <si>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</si>
  <si>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</si>
  <si>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</si>
  <si>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</si>
  <si>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</si>
  <si>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</si>
  <si>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</si>
  <si>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</si>
  <si>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</si>
  <si>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</si>
  <si>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</si>
  <si>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</si>
  <si>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</si>
  <si>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</si>
  <si>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</si>
  <si>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</si>
  <si>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</si>
  <si>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</si>
  <si>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</si>
  <si>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</si>
  <si>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</si>
  <si>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</si>
  <si>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</si>
  <si>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</si>
  <si>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</si>
  <si>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</si>
  <si>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</si>
  <si>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</si>
  <si>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</si>
  <si>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</si>
  <si>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</si>
  <si>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</si>
  <si>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</si>
  <si>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</si>
  <si>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</si>
  <si>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</si>
  <si>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</si>
  <si>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</si>
  <si>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</si>
  <si>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</si>
  <si>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</si>
  <si>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</si>
  <si>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</si>
  <si>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</si>
  <si>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</si>
  <si>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</si>
  <si>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</si>
  <si>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</si>
  <si>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</si>
  <si>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</si>
  <si>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</si>
  <si>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</si>
  <si>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</si>
  <si>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</si>
  <si>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</si>
  <si>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</si>
  <si>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</si>
  <si>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</si>
  <si>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</si>
  <si>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</si>
  <si>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</si>
  <si>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</si>
  <si>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</si>
  <si>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</si>
  <si>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</si>
  <si>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</si>
  <si>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</si>
  <si>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</si>
  <si>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</si>
  <si>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</si>
  <si>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</si>
  <si>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</si>
  <si>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</si>
  <si>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</si>
  <si>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</si>
  <si>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</si>
  <si>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</si>
  <si>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</si>
  <si>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</si>
  <si>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</si>
  <si>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</si>
  <si>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</si>
  <si>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</si>
  <si>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</si>
  <si>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</si>
  <si>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</si>
  <si>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</si>
  <si>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</si>
  <si>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</si>
  <si>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</si>
  <si>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</si>
  <si>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</si>
  <si>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</si>
  <si>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</si>
  <si>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</si>
  <si>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</si>
  <si>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</si>
  <si>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</si>
  <si>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</si>
  <si>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</si>
  <si>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</si>
  <si>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</si>
  <si>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</si>
  <si>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</si>
  <si>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</si>
  <si>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</si>
  <si>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</si>
  <si>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</si>
  <si>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</si>
  <si>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</si>
  <si>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</si>
  <si>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</si>
  <si>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</si>
  <si>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</si>
  <si>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</si>
  <si>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</si>
  <si>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</si>
  <si>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</si>
  <si>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</si>
  <si>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</si>
  <si>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</si>
  <si>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</si>
  <si>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</si>
  <si>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</si>
  <si>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</si>
  <si>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</si>
  <si>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</si>
  <si>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</si>
  <si>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</si>
  <si>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</si>
  <si>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</si>
  <si>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</si>
  <si>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</si>
  <si>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</si>
  <si>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</si>
  <si>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</si>
  <si>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</si>
  <si>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</si>
  <si>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</si>
  <si>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</si>
  <si>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</si>
  <si>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</si>
  <si>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</si>
  <si>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</si>
  <si>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</si>
  <si>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</si>
  <si>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</si>
  <si>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</si>
  <si>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</si>
  <si>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</si>
  <si>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</si>
  <si>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</si>
  <si>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</si>
  <si>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</si>
  <si>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</si>
  <si>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</si>
  <si>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</si>
  <si>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</si>
  <si>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</si>
  <si>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</si>
  <si>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</si>
  <si>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</si>
  <si>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</si>
  <si>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</si>
  <si>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</si>
  <si>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</si>
  <si>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</si>
  <si>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</si>
  <si>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</si>
  <si>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</si>
  <si>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</si>
  <si>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</si>
  <si>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</si>
  <si>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</si>
  <si>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</si>
  <si>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</si>
  <si>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</si>
  <si>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</si>
  <si>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</si>
  <si>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</si>
  <si>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</si>
  <si>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</si>
  <si>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</si>
  <si>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</si>
  <si>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</si>
  <si>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</si>
  <si>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</si>
  <si>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</si>
  <si>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</si>
  <si>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</si>
  <si>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</si>
  <si>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</si>
  <si>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</si>
  <si>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</si>
  <si>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</si>
  <si>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</si>
  <si>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</si>
  <si>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</si>
  <si>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</si>
  <si>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</si>
  <si>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</si>
  <si>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</si>
  <si>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</si>
  <si>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</si>
  <si>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</si>
  <si>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</si>
  <si>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</si>
  <si>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</si>
  <si>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</si>
  <si>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</si>
  <si>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</si>
  <si>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</si>
  <si>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</si>
  <si>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</si>
  <si>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</si>
  <si>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</si>
  <si>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</si>
  <si>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</si>
  <si>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</si>
  <si>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</si>
  <si>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</si>
  <si>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</si>
  <si>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</si>
  <si>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</si>
  <si>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</si>
  <si>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</si>
  <si>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</si>
  <si>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</si>
  <si>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</si>
  <si>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</si>
  <si>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</si>
  <si>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</si>
  <si>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</si>
  <si>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</si>
  <si>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</si>
  <si>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</si>
  <si>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</si>
  <si>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</si>
  <si>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</si>
  <si>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</si>
  <si>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</si>
  <si>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</si>
  <si>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</si>
  <si>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</si>
  <si>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</si>
  <si>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</si>
  <si>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</si>
  <si>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</si>
  <si>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</si>
  <si>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</si>
  <si>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</si>
  <si>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</si>
  <si>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</si>
  <si>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</si>
  <si>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</si>
  <si>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</si>
  <si>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</si>
  <si>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</si>
  <si>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</si>
  <si>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</si>
  <si>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</si>
  <si>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</si>
  <si>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</si>
  <si>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</si>
  <si>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</si>
  <si>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</si>
  <si>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</si>
  <si>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</si>
  <si>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</si>
  <si>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</si>
  <si>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</si>
  <si>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</si>
  <si>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</si>
  <si>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</si>
  <si>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</si>
  <si>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</si>
  <si>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</si>
  <si>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</si>
  <si>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</si>
  <si>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</si>
  <si>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</si>
  <si>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</si>
  <si>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</si>
  <si>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</si>
  <si>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</si>
  <si>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</si>
  <si>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</si>
  <si>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</si>
  <si>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</si>
  <si>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</si>
  <si>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</si>
  <si>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</si>
  <si>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</si>
  <si>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</si>
  <si>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</si>
  <si>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</si>
  <si>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</si>
  <si>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</si>
  <si>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</si>
  <si>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</si>
  <si>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</si>
  <si>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</si>
  <si>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</si>
  <si>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</si>
  <si>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</si>
  <si>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</si>
  <si>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</si>
  <si>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</si>
  <si>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</si>
  <si>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</si>
  <si>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</si>
  <si>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</si>
  <si>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</si>
  <si>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</si>
  <si>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</si>
  <si>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</si>
  <si>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</si>
  <si>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</si>
  <si>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</si>
  <si>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</si>
  <si>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</si>
  <si>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</si>
  <si>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</si>
  <si>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</si>
  <si>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</si>
  <si>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</si>
  <si>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</si>
  <si>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</si>
  <si>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</si>
  <si>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</si>
  <si>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</si>
  <si>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</si>
  <si>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</si>
  <si>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</si>
  <si>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</si>
  <si>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</si>
  <si>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</si>
  <si>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</si>
  <si>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</si>
  <si>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</si>
  <si>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</si>
  <si>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</si>
  <si>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</si>
  <si>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</si>
  <si>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</si>
  <si>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</si>
  <si>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</si>
  <si>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</si>
  <si>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</si>
  <si>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</si>
  <si>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</si>
  <si>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</si>
  <si>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</si>
  <si>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</si>
  <si>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</si>
  <si>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</si>
  <si>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</si>
  <si>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</si>
  <si>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</si>
  <si>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</si>
  <si>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</si>
  <si>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</si>
  <si>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</si>
  <si>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</si>
  <si>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</si>
  <si>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</si>
  <si>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</si>
  <si>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</si>
  <si>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</si>
  <si>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</si>
  <si>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</si>
  <si>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</si>
  <si>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</si>
  <si>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</si>
  <si>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</si>
  <si>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</si>
  <si>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</si>
  <si>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</si>
  <si>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</si>
  <si>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</si>
  <si>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</si>
  <si>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</si>
  <si>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</si>
  <si>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</si>
  <si>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</si>
  <si>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</si>
  <si>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</si>
  <si>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</si>
  <si>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</si>
  <si>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</si>
  <si>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</si>
  <si>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</si>
  <si>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</si>
  <si>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</si>
  <si>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</si>
  <si>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</si>
  <si>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</si>
  <si>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</si>
  <si>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</si>
  <si>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</si>
  <si>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</si>
  <si>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</si>
  <si>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</si>
  <si>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</si>
  <si>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</si>
  <si>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</si>
  <si>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</si>
  <si>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</si>
  <si>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</si>
  <si>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</si>
  <si>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</si>
  <si>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</si>
  <si>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</si>
  <si>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</si>
  <si>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</si>
  <si>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</si>
  <si>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</si>
  <si>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</si>
  <si>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</si>
  <si>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</si>
  <si>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</si>
  <si>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</si>
  <si>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</si>
  <si>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</si>
  <si>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</si>
  <si>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</si>
  <si>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</si>
  <si>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</si>
  <si>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</si>
  <si>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</si>
  <si>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</si>
  <si>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</si>
  <si>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</si>
  <si>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</si>
  <si>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</si>
  <si>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</si>
  <si>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</si>
  <si>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</si>
  <si>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</si>
  <si>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</si>
  <si>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</si>
  <si>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</si>
  <si>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</si>
  <si>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</si>
  <si>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</si>
  <si>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</si>
  <si>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</si>
  <si>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</si>
  <si>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</si>
  <si>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</si>
  <si>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</si>
  <si>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</si>
  <si>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</si>
  <si>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</si>
  <si>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</si>
  <si>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</si>
  <si>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</si>
  <si>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</si>
  <si>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</si>
  <si>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</si>
  <si>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</si>
  <si>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</si>
  <si>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</si>
  <si>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</si>
  <si>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</si>
  <si>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</si>
  <si>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</si>
  <si>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</si>
  <si>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</si>
  <si>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</si>
  <si>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</si>
  <si>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</si>
  <si>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</si>
  <si>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</si>
  <si>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</si>
  <si>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</si>
  <si>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</si>
  <si>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</si>
  <si>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</si>
  <si>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</si>
  <si>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</si>
  <si>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</si>
  <si>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</si>
  <si>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</si>
  <si>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</si>
  <si>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</si>
  <si>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</si>
  <si>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</si>
  <si>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</si>
  <si>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</si>
  <si>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</si>
  <si>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</si>
  <si>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</si>
  <si>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</si>
  <si>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</si>
  <si>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</si>
  <si>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</si>
  <si>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44019</t>
  </si>
  <si>
    <t>EVERGEM</t>
  </si>
  <si>
    <t>Fluvius</t>
  </si>
  <si>
    <t>referentietaak LNE (2017); Jaarverslag De Lijn</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</si>
  <si>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</si>
  <si>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</si>
  <si>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</si>
  <si>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</si>
  <si>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</si>
  <si>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</si>
  <si>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</si>
  <si>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</si>
  <si>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</si>
  <si>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</si>
  <si>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</si>
  <si>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</si>
  <si>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</si>
  <si>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</si>
  <si>
    <t>WKK-0649 Van Hyfte</t>
  </si>
  <si>
    <t>Walprijestraat 50 en 52 , 9940 Ertvelde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</si>
</sst>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273511.90049133351</c:v>
                </c:pt>
                <c:pt idx="1">
                  <c:v>111031.15679274219</c:v>
                </c:pt>
                <c:pt idx="2">
                  <c:v>2199.1999999999998</c:v>
                </c:pt>
                <c:pt idx="3">
                  <c:v>29230.896879759312</c:v>
                </c:pt>
                <c:pt idx="4">
                  <c:v>141781.79802926129</c:v>
                </c:pt>
                <c:pt idx="5">
                  <c:v>171918.77653126902</c:v>
                </c:pt>
                <c:pt idx="6">
                  <c:v>3974.0119154561698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273511.90049133351</c:v>
                </c:pt>
                <c:pt idx="1">
                  <c:v>111031.15679274219</c:v>
                </c:pt>
                <c:pt idx="2">
                  <c:v>2199.1999999999998</c:v>
                </c:pt>
                <c:pt idx="3">
                  <c:v>29230.896879759312</c:v>
                </c:pt>
                <c:pt idx="4">
                  <c:v>141781.79802926129</c:v>
                </c:pt>
                <c:pt idx="5">
                  <c:v>171918.77653126902</c:v>
                </c:pt>
                <c:pt idx="6">
                  <c:v>3974.0119154561698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45501.098769540258</c:v>
                </c:pt>
                <c:pt idx="2">
                  <c:v>19230.176794822801</c:v>
                </c:pt>
                <c:pt idx="3">
                  <c:v>300.58299046680639</c:v>
                </c:pt>
                <c:pt idx="4">
                  <c:v>7024.4801322950707</c:v>
                </c:pt>
                <c:pt idx="5">
                  <c:v>23991.203744535258</c:v>
                </c:pt>
                <c:pt idx="6">
                  <c:v>43024.666658111819</c:v>
                </c:pt>
                <c:pt idx="7">
                  <c:v>878.14134327007321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45501.098769540258</c:v>
                </c:pt>
                <c:pt idx="2">
                  <c:v>19230.176794822801</c:v>
                </c:pt>
                <c:pt idx="3">
                  <c:v>300.58299046680639</c:v>
                </c:pt>
                <c:pt idx="4">
                  <c:v>7024.4801322950707</c:v>
                </c:pt>
                <c:pt idx="5">
                  <c:v>23991.203744535258</c:v>
                </c:pt>
                <c:pt idx="6">
                  <c:v>43024.666658111819</c:v>
                </c:pt>
                <c:pt idx="7">
                  <c:v>878.14134327007321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44019</v>
      </c>
      <c r="B6" s="390"/>
      <c r="C6" s="391"/>
    </row>
    <row r="7" spans="1:7" s="388" customFormat="1" ht="15.75" customHeight="1">
      <c r="A7" s="392" t="str">
        <f>txtMunicipality</f>
        <v>EVERGEM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0.13667833324245471</v>
      </c>
      <c r="C17" s="498">
        <f ca="1">'EF ele_warmte'!B22</f>
        <v>0.22120890952054703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0.13667833324245471</v>
      </c>
      <c r="C29" s="499">
        <f ca="1">'EF ele_warmte'!B22</f>
        <v>0.22120890952054703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14193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4263.07</v>
      </c>
      <c r="C14" s="330"/>
      <c r="D14" s="330"/>
      <c r="E14" s="330"/>
      <c r="F14" s="330"/>
    </row>
    <row r="15" spans="1:6">
      <c r="A15" s="1293" t="s">
        <v>183</v>
      </c>
      <c r="B15" s="1294">
        <v>68</v>
      </c>
      <c r="C15" s="330"/>
      <c r="D15" s="330"/>
      <c r="E15" s="330"/>
      <c r="F15" s="330"/>
    </row>
    <row r="16" spans="1:6">
      <c r="A16" s="1293" t="s">
        <v>6</v>
      </c>
      <c r="B16" s="1294">
        <v>2904</v>
      </c>
      <c r="C16" s="330"/>
      <c r="D16" s="330"/>
      <c r="E16" s="330"/>
      <c r="F16" s="330"/>
    </row>
    <row r="17" spans="1:6">
      <c r="A17" s="1293" t="s">
        <v>7</v>
      </c>
      <c r="B17" s="1294">
        <v>1532</v>
      </c>
      <c r="C17" s="330"/>
      <c r="D17" s="330"/>
      <c r="E17" s="330"/>
      <c r="F17" s="330"/>
    </row>
    <row r="18" spans="1:6">
      <c r="A18" s="1293" t="s">
        <v>8</v>
      </c>
      <c r="B18" s="1294">
        <v>2764</v>
      </c>
      <c r="C18" s="330"/>
      <c r="D18" s="330"/>
      <c r="E18" s="330"/>
      <c r="F18" s="330"/>
    </row>
    <row r="19" spans="1:6">
      <c r="A19" s="1293" t="s">
        <v>9</v>
      </c>
      <c r="B19" s="1294">
        <v>2854</v>
      </c>
      <c r="C19" s="330"/>
      <c r="D19" s="330"/>
      <c r="E19" s="330"/>
      <c r="F19" s="330"/>
    </row>
    <row r="20" spans="1:6">
      <c r="A20" s="1293" t="s">
        <v>10</v>
      </c>
      <c r="B20" s="1294">
        <v>1280</v>
      </c>
      <c r="C20" s="330"/>
      <c r="D20" s="330"/>
      <c r="E20" s="330"/>
      <c r="F20" s="330"/>
    </row>
    <row r="21" spans="1:6">
      <c r="A21" s="1293" t="s">
        <v>11</v>
      </c>
      <c r="B21" s="1294">
        <v>11099</v>
      </c>
      <c r="C21" s="330"/>
      <c r="D21" s="330"/>
      <c r="E21" s="330"/>
      <c r="F21" s="330"/>
    </row>
    <row r="22" spans="1:6">
      <c r="A22" s="1293" t="s">
        <v>12</v>
      </c>
      <c r="B22" s="1294">
        <v>22040</v>
      </c>
      <c r="C22" s="330"/>
      <c r="D22" s="330"/>
      <c r="E22" s="330"/>
      <c r="F22" s="330"/>
    </row>
    <row r="23" spans="1:6">
      <c r="A23" s="1293" t="s">
        <v>13</v>
      </c>
      <c r="B23" s="1294">
        <v>657</v>
      </c>
      <c r="C23" s="330"/>
      <c r="D23" s="330"/>
      <c r="E23" s="330"/>
      <c r="F23" s="330"/>
    </row>
    <row r="24" spans="1:6">
      <c r="A24" s="1293" t="s">
        <v>14</v>
      </c>
      <c r="B24" s="1294">
        <v>51</v>
      </c>
      <c r="C24" s="330"/>
      <c r="D24" s="330"/>
      <c r="E24" s="330"/>
      <c r="F24" s="330"/>
    </row>
    <row r="25" spans="1:6">
      <c r="A25" s="1293" t="s">
        <v>15</v>
      </c>
      <c r="B25" s="1294">
        <v>3015</v>
      </c>
      <c r="C25" s="330"/>
      <c r="D25" s="330"/>
      <c r="E25" s="330"/>
      <c r="F25" s="330"/>
    </row>
    <row r="26" spans="1:6">
      <c r="A26" s="1293" t="s">
        <v>16</v>
      </c>
      <c r="B26" s="1294">
        <v>228</v>
      </c>
      <c r="C26" s="330"/>
      <c r="D26" s="330"/>
      <c r="E26" s="330"/>
      <c r="F26" s="330"/>
    </row>
    <row r="27" spans="1:6">
      <c r="A27" s="1293" t="s">
        <v>17</v>
      </c>
      <c r="B27" s="1294">
        <v>10</v>
      </c>
      <c r="C27" s="330"/>
      <c r="D27" s="330"/>
      <c r="E27" s="330"/>
      <c r="F27" s="330"/>
    </row>
    <row r="28" spans="1:6" s="43" customFormat="1">
      <c r="A28" s="1295" t="s">
        <v>18</v>
      </c>
      <c r="B28" s="1296">
        <v>49779</v>
      </c>
      <c r="C28" s="336"/>
      <c r="D28" s="336"/>
      <c r="E28" s="336"/>
      <c r="F28" s="336"/>
    </row>
    <row r="29" spans="1:6">
      <c r="A29" s="1295" t="s">
        <v>734</v>
      </c>
      <c r="B29" s="1296">
        <v>392</v>
      </c>
      <c r="C29" s="336"/>
      <c r="D29" s="336"/>
      <c r="E29" s="336"/>
      <c r="F29" s="336"/>
    </row>
    <row r="30" spans="1:6">
      <c r="A30" s="1288" t="s">
        <v>735</v>
      </c>
      <c r="B30" s="1297">
        <v>58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5</v>
      </c>
      <c r="F35" s="1294">
        <v>95167.050245203704</v>
      </c>
    </row>
    <row r="36" spans="1:6">
      <c r="A36" s="1293" t="s">
        <v>24</v>
      </c>
      <c r="B36" s="1293" t="s">
        <v>26</v>
      </c>
      <c r="C36" s="1294">
        <v>0</v>
      </c>
      <c r="D36" s="1294">
        <v>0</v>
      </c>
      <c r="E36" s="1294">
        <v>4</v>
      </c>
      <c r="F36" s="1294">
        <v>26024.876872575202</v>
      </c>
    </row>
    <row r="37" spans="1:6">
      <c r="A37" s="1293" t="s">
        <v>24</v>
      </c>
      <c r="B37" s="1293" t="s">
        <v>27</v>
      </c>
      <c r="C37" s="1294">
        <v>0</v>
      </c>
      <c r="D37" s="1294">
        <v>0</v>
      </c>
      <c r="E37" s="1294">
        <v>0</v>
      </c>
      <c r="F37" s="1294">
        <v>0</v>
      </c>
    </row>
    <row r="38" spans="1:6">
      <c r="A38" s="1293" t="s">
        <v>24</v>
      </c>
      <c r="B38" s="1293" t="s">
        <v>28</v>
      </c>
      <c r="C38" s="1294">
        <v>1</v>
      </c>
      <c r="D38" s="1294">
        <v>0</v>
      </c>
      <c r="E38" s="1294">
        <v>5</v>
      </c>
      <c r="F38" s="1294">
        <v>137045.082092</v>
      </c>
    </row>
    <row r="39" spans="1:6">
      <c r="A39" s="1293" t="s">
        <v>29</v>
      </c>
      <c r="B39" s="1293" t="s">
        <v>30</v>
      </c>
      <c r="C39" s="1294">
        <v>8157</v>
      </c>
      <c r="D39" s="1294">
        <v>125793817.89465199</v>
      </c>
      <c r="E39" s="1294">
        <v>13719</v>
      </c>
      <c r="F39" s="1294">
        <v>58305288.006085902</v>
      </c>
    </row>
    <row r="40" spans="1:6">
      <c r="A40" s="1293" t="s">
        <v>29</v>
      </c>
      <c r="B40" s="1293" t="s">
        <v>28</v>
      </c>
      <c r="C40" s="1294">
        <v>0</v>
      </c>
      <c r="D40" s="1294">
        <v>0</v>
      </c>
      <c r="E40" s="1294">
        <v>0</v>
      </c>
      <c r="F40" s="1294">
        <v>0</v>
      </c>
    </row>
    <row r="41" spans="1:6">
      <c r="A41" s="1293" t="s">
        <v>31</v>
      </c>
      <c r="B41" s="1293" t="s">
        <v>32</v>
      </c>
      <c r="C41" s="1294">
        <v>131</v>
      </c>
      <c r="D41" s="1294">
        <v>38826825.307095297</v>
      </c>
      <c r="E41" s="1294">
        <v>340</v>
      </c>
      <c r="F41" s="1294">
        <v>2737007.27583264</v>
      </c>
    </row>
    <row r="42" spans="1:6">
      <c r="A42" s="1293" t="s">
        <v>31</v>
      </c>
      <c r="B42" s="1293" t="s">
        <v>33</v>
      </c>
      <c r="C42" s="1294">
        <v>0</v>
      </c>
      <c r="D42" s="1294">
        <v>0</v>
      </c>
      <c r="E42" s="1294">
        <v>3</v>
      </c>
      <c r="F42" s="1294">
        <v>50194731.272990599</v>
      </c>
    </row>
    <row r="43" spans="1:6">
      <c r="A43" s="1293" t="s">
        <v>31</v>
      </c>
      <c r="B43" s="1293" t="s">
        <v>34</v>
      </c>
      <c r="C43" s="1294">
        <v>0</v>
      </c>
      <c r="D43" s="1294">
        <v>0</v>
      </c>
      <c r="E43" s="1294">
        <v>0</v>
      </c>
      <c r="F43" s="1294">
        <v>0</v>
      </c>
    </row>
    <row r="44" spans="1:6">
      <c r="A44" s="1293" t="s">
        <v>31</v>
      </c>
      <c r="B44" s="1293" t="s">
        <v>35</v>
      </c>
      <c r="C44" s="1294">
        <v>3</v>
      </c>
      <c r="D44" s="1294">
        <v>128963.92410582201</v>
      </c>
      <c r="E44" s="1294">
        <v>38</v>
      </c>
      <c r="F44" s="1294">
        <v>559081.84086764697</v>
      </c>
    </row>
    <row r="45" spans="1:6">
      <c r="A45" s="1293" t="s">
        <v>31</v>
      </c>
      <c r="B45" s="1293" t="s">
        <v>36</v>
      </c>
      <c r="C45" s="1294">
        <v>0</v>
      </c>
      <c r="D45" s="1294">
        <v>0</v>
      </c>
      <c r="E45" s="1294">
        <v>3</v>
      </c>
      <c r="F45" s="1294">
        <v>126710.849828629</v>
      </c>
    </row>
    <row r="46" spans="1:6">
      <c r="A46" s="1293" t="s">
        <v>31</v>
      </c>
      <c r="B46" s="1293" t="s">
        <v>37</v>
      </c>
      <c r="C46" s="1294">
        <v>0</v>
      </c>
      <c r="D46" s="1294">
        <v>0</v>
      </c>
      <c r="E46" s="1294">
        <v>0</v>
      </c>
      <c r="F46" s="1294">
        <v>0</v>
      </c>
    </row>
    <row r="47" spans="1:6">
      <c r="A47" s="1293" t="s">
        <v>31</v>
      </c>
      <c r="B47" s="1293" t="s">
        <v>38</v>
      </c>
      <c r="C47" s="1294">
        <v>5</v>
      </c>
      <c r="D47" s="1294">
        <v>242755.829131962</v>
      </c>
      <c r="E47" s="1294">
        <v>13</v>
      </c>
      <c r="F47" s="1294">
        <v>222524.10229228</v>
      </c>
    </row>
    <row r="48" spans="1:6">
      <c r="A48" s="1293" t="s">
        <v>31</v>
      </c>
      <c r="B48" s="1293" t="s">
        <v>28</v>
      </c>
      <c r="C48" s="1294">
        <v>38</v>
      </c>
      <c r="D48" s="1294">
        <v>27177476.608083799</v>
      </c>
      <c r="E48" s="1294">
        <v>55</v>
      </c>
      <c r="F48" s="1294">
        <v>13422432.4344343</v>
      </c>
    </row>
    <row r="49" spans="1:6">
      <c r="A49" s="1293" t="s">
        <v>31</v>
      </c>
      <c r="B49" s="1293" t="s">
        <v>39</v>
      </c>
      <c r="C49" s="1294">
        <v>0</v>
      </c>
      <c r="D49" s="1294">
        <v>0</v>
      </c>
      <c r="E49" s="1294">
        <v>0</v>
      </c>
      <c r="F49" s="1294">
        <v>0</v>
      </c>
    </row>
    <row r="50" spans="1:6">
      <c r="A50" s="1293" t="s">
        <v>31</v>
      </c>
      <c r="B50" s="1293" t="s">
        <v>40</v>
      </c>
      <c r="C50" s="1294">
        <v>23</v>
      </c>
      <c r="D50" s="1294">
        <v>2624701.5303001702</v>
      </c>
      <c r="E50" s="1294">
        <v>38</v>
      </c>
      <c r="F50" s="1294">
        <v>2341664.4516018298</v>
      </c>
    </row>
    <row r="51" spans="1:6">
      <c r="A51" s="1293" t="s">
        <v>41</v>
      </c>
      <c r="B51" s="1293" t="s">
        <v>42</v>
      </c>
      <c r="C51" s="1294">
        <v>21</v>
      </c>
      <c r="D51" s="1294">
        <v>3573103.7665566299</v>
      </c>
      <c r="E51" s="1294">
        <v>207</v>
      </c>
      <c r="F51" s="1294">
        <v>4207645.8644422097</v>
      </c>
    </row>
    <row r="52" spans="1:6">
      <c r="A52" s="1293" t="s">
        <v>41</v>
      </c>
      <c r="B52" s="1293" t="s">
        <v>28</v>
      </c>
      <c r="C52" s="1294">
        <v>8</v>
      </c>
      <c r="D52" s="1294">
        <v>3584320.1494664</v>
      </c>
      <c r="E52" s="1294">
        <v>11</v>
      </c>
      <c r="F52" s="1294">
        <v>478353.80763459398</v>
      </c>
    </row>
    <row r="53" spans="1:6">
      <c r="A53" s="1293" t="s">
        <v>43</v>
      </c>
      <c r="B53" s="1293" t="s">
        <v>44</v>
      </c>
      <c r="C53" s="1294">
        <v>170</v>
      </c>
      <c r="D53" s="1294">
        <v>3531191.5873755701</v>
      </c>
      <c r="E53" s="1294">
        <v>397</v>
      </c>
      <c r="F53" s="1294">
        <v>1494178.0478409</v>
      </c>
    </row>
    <row r="54" spans="1:6">
      <c r="A54" s="1293" t="s">
        <v>45</v>
      </c>
      <c r="B54" s="1293" t="s">
        <v>46</v>
      </c>
      <c r="C54" s="1294">
        <v>0</v>
      </c>
      <c r="D54" s="1294">
        <v>0</v>
      </c>
      <c r="E54" s="1294">
        <v>3</v>
      </c>
      <c r="F54" s="1294">
        <v>2199200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78</v>
      </c>
      <c r="D57" s="1294">
        <v>4089519.2837874498</v>
      </c>
      <c r="E57" s="1294">
        <v>176</v>
      </c>
      <c r="F57" s="1294">
        <v>4308989.2703666901</v>
      </c>
    </row>
    <row r="58" spans="1:6">
      <c r="A58" s="1293" t="s">
        <v>48</v>
      </c>
      <c r="B58" s="1293" t="s">
        <v>50</v>
      </c>
      <c r="C58" s="1294">
        <v>67</v>
      </c>
      <c r="D58" s="1294">
        <v>5843287.5333283301</v>
      </c>
      <c r="E58" s="1294">
        <v>118</v>
      </c>
      <c r="F58" s="1294">
        <v>1975699.7485158299</v>
      </c>
    </row>
    <row r="59" spans="1:6">
      <c r="A59" s="1293" t="s">
        <v>48</v>
      </c>
      <c r="B59" s="1293" t="s">
        <v>51</v>
      </c>
      <c r="C59" s="1294">
        <v>124</v>
      </c>
      <c r="D59" s="1294">
        <v>5570942.1998425499</v>
      </c>
      <c r="E59" s="1294">
        <v>371</v>
      </c>
      <c r="F59" s="1294">
        <v>13181859.9449408</v>
      </c>
    </row>
    <row r="60" spans="1:6">
      <c r="A60" s="1293" t="s">
        <v>48</v>
      </c>
      <c r="B60" s="1293" t="s">
        <v>52</v>
      </c>
      <c r="C60" s="1294">
        <v>72</v>
      </c>
      <c r="D60" s="1294">
        <v>2863199.6509885401</v>
      </c>
      <c r="E60" s="1294">
        <v>118</v>
      </c>
      <c r="F60" s="1294">
        <v>2031091.2672109599</v>
      </c>
    </row>
    <row r="61" spans="1:6">
      <c r="A61" s="1293" t="s">
        <v>48</v>
      </c>
      <c r="B61" s="1293" t="s">
        <v>53</v>
      </c>
      <c r="C61" s="1294">
        <v>221</v>
      </c>
      <c r="D61" s="1294">
        <v>12133357.901060401</v>
      </c>
      <c r="E61" s="1294">
        <v>504</v>
      </c>
      <c r="F61" s="1294">
        <v>11197110.602517899</v>
      </c>
    </row>
    <row r="62" spans="1:6">
      <c r="A62" s="1293" t="s">
        <v>48</v>
      </c>
      <c r="B62" s="1293" t="s">
        <v>54</v>
      </c>
      <c r="C62" s="1294">
        <v>18</v>
      </c>
      <c r="D62" s="1294">
        <v>3707701.1718070498</v>
      </c>
      <c r="E62" s="1294">
        <v>24</v>
      </c>
      <c r="F62" s="1294">
        <v>596547.56490471202</v>
      </c>
    </row>
    <row r="63" spans="1:6">
      <c r="A63" s="1293" t="s">
        <v>48</v>
      </c>
      <c r="B63" s="1293" t="s">
        <v>28</v>
      </c>
      <c r="C63" s="1294">
        <v>111</v>
      </c>
      <c r="D63" s="1294">
        <v>27856512.266201001</v>
      </c>
      <c r="E63" s="1294">
        <v>95</v>
      </c>
      <c r="F63" s="1294">
        <v>8924945.1697004307</v>
      </c>
    </row>
    <row r="64" spans="1:6">
      <c r="A64" s="1293" t="s">
        <v>55</v>
      </c>
      <c r="B64" s="1293" t="s">
        <v>56</v>
      </c>
      <c r="C64" s="1294">
        <v>0</v>
      </c>
      <c r="D64" s="1294">
        <v>0</v>
      </c>
      <c r="E64" s="1294">
        <v>0</v>
      </c>
      <c r="F64" s="1294">
        <v>0</v>
      </c>
    </row>
    <row r="65" spans="1:6">
      <c r="A65" s="1293" t="s">
        <v>55</v>
      </c>
      <c r="B65" s="1293" t="s">
        <v>28</v>
      </c>
      <c r="C65" s="1294">
        <v>5</v>
      </c>
      <c r="D65" s="1294">
        <v>109772.39820595</v>
      </c>
      <c r="E65" s="1294">
        <v>7</v>
      </c>
      <c r="F65" s="1294">
        <v>41260.355002581899</v>
      </c>
    </row>
    <row r="66" spans="1:6">
      <c r="A66" s="1293" t="s">
        <v>55</v>
      </c>
      <c r="B66" s="1293" t="s">
        <v>57</v>
      </c>
      <c r="C66" s="1294">
        <v>0</v>
      </c>
      <c r="D66" s="1294">
        <v>0</v>
      </c>
      <c r="E66" s="1294">
        <v>15</v>
      </c>
      <c r="F66" s="1294">
        <v>258726.718483192</v>
      </c>
    </row>
    <row r="67" spans="1:6">
      <c r="A67" s="1295" t="s">
        <v>55</v>
      </c>
      <c r="B67" s="1295" t="s">
        <v>58</v>
      </c>
      <c r="C67" s="1294">
        <v>0</v>
      </c>
      <c r="D67" s="1294">
        <v>0</v>
      </c>
      <c r="E67" s="1294">
        <v>0</v>
      </c>
      <c r="F67" s="1294">
        <v>0</v>
      </c>
    </row>
    <row r="68" spans="1:6">
      <c r="A68" s="1288" t="s">
        <v>55</v>
      </c>
      <c r="B68" s="1288" t="s">
        <v>59</v>
      </c>
      <c r="C68" s="1297">
        <v>13</v>
      </c>
      <c r="D68" s="1297">
        <v>3342993.5517878099</v>
      </c>
      <c r="E68" s="1297">
        <v>37</v>
      </c>
      <c r="F68" s="1297">
        <v>1479311.0928138101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121888375</v>
      </c>
      <c r="E73" s="449"/>
      <c r="F73" s="330"/>
    </row>
    <row r="74" spans="1:6">
      <c r="A74" s="1293" t="s">
        <v>63</v>
      </c>
      <c r="B74" s="1293" t="s">
        <v>656</v>
      </c>
      <c r="C74" s="1307" t="s">
        <v>658</v>
      </c>
      <c r="D74" s="1308">
        <v>13685603.5</v>
      </c>
      <c r="E74" s="449"/>
      <c r="F74" s="330"/>
    </row>
    <row r="75" spans="1:6">
      <c r="A75" s="1293" t="s">
        <v>64</v>
      </c>
      <c r="B75" s="1293" t="s">
        <v>655</v>
      </c>
      <c r="C75" s="1307" t="s">
        <v>659</v>
      </c>
      <c r="D75" s="1308">
        <v>55067809</v>
      </c>
      <c r="E75" s="449"/>
      <c r="F75" s="330"/>
    </row>
    <row r="76" spans="1:6">
      <c r="A76" s="1293" t="s">
        <v>64</v>
      </c>
      <c r="B76" s="1293" t="s">
        <v>656</v>
      </c>
      <c r="C76" s="1307" t="s">
        <v>660</v>
      </c>
      <c r="D76" s="1308">
        <v>2279358.5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787765</v>
      </c>
      <c r="C83" s="449"/>
      <c r="D83" s="330"/>
      <c r="E83" s="330"/>
      <c r="F83" s="330"/>
    </row>
    <row r="84" spans="1:6">
      <c r="A84" s="1288" t="s">
        <v>336</v>
      </c>
      <c r="B84" s="1309">
        <v>307968</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46678.344194400539</v>
      </c>
      <c r="C90" s="330"/>
      <c r="D90" s="330"/>
      <c r="E90" s="330"/>
      <c r="F90" s="330"/>
    </row>
    <row r="91" spans="1:6">
      <c r="A91" s="1293" t="s">
        <v>67</v>
      </c>
      <c r="B91" s="1294">
        <v>8046.3736129094295</v>
      </c>
      <c r="C91" s="330"/>
      <c r="D91" s="330"/>
      <c r="E91" s="330"/>
      <c r="F91" s="330"/>
    </row>
    <row r="92" spans="1:6">
      <c r="A92" s="1288" t="s">
        <v>68</v>
      </c>
      <c r="B92" s="1289">
        <v>16913.441474648054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2815</v>
      </c>
      <c r="C97" s="330"/>
      <c r="D97" s="330"/>
      <c r="E97" s="330"/>
      <c r="F97" s="330"/>
    </row>
    <row r="98" spans="1:6">
      <c r="A98" s="1293" t="s">
        <v>71</v>
      </c>
      <c r="B98" s="1294">
        <v>1</v>
      </c>
      <c r="C98" s="330"/>
      <c r="D98" s="330"/>
      <c r="E98" s="330"/>
      <c r="F98" s="330"/>
    </row>
    <row r="99" spans="1:6">
      <c r="A99" s="1293" t="s">
        <v>72</v>
      </c>
      <c r="B99" s="1294">
        <v>245</v>
      </c>
      <c r="C99" s="330"/>
      <c r="D99" s="330"/>
      <c r="E99" s="330"/>
      <c r="F99" s="330"/>
    </row>
    <row r="100" spans="1:6">
      <c r="A100" s="1293" t="s">
        <v>73</v>
      </c>
      <c r="B100" s="1294">
        <v>1781</v>
      </c>
      <c r="C100" s="330"/>
      <c r="D100" s="330"/>
      <c r="E100" s="330"/>
      <c r="F100" s="330"/>
    </row>
    <row r="101" spans="1:6">
      <c r="A101" s="1293" t="s">
        <v>74</v>
      </c>
      <c r="B101" s="1294">
        <v>249</v>
      </c>
      <c r="C101" s="330"/>
      <c r="D101" s="330"/>
      <c r="E101" s="330"/>
      <c r="F101" s="330"/>
    </row>
    <row r="102" spans="1:6">
      <c r="A102" s="1293" t="s">
        <v>75</v>
      </c>
      <c r="B102" s="1294">
        <v>206</v>
      </c>
      <c r="C102" s="330"/>
      <c r="D102" s="330"/>
      <c r="E102" s="330"/>
      <c r="F102" s="330"/>
    </row>
    <row r="103" spans="1:6">
      <c r="A103" s="1293" t="s">
        <v>76</v>
      </c>
      <c r="B103" s="1294">
        <v>399</v>
      </c>
      <c r="C103" s="330"/>
      <c r="D103" s="330"/>
      <c r="E103" s="330"/>
      <c r="F103" s="330"/>
    </row>
    <row r="104" spans="1:6">
      <c r="A104" s="1293" t="s">
        <v>77</v>
      </c>
      <c r="B104" s="1294">
        <v>6177</v>
      </c>
      <c r="C104" s="330"/>
      <c r="D104" s="330"/>
      <c r="E104" s="330"/>
      <c r="F104" s="330"/>
    </row>
    <row r="105" spans="1:6">
      <c r="A105" s="1288" t="s">
        <v>78</v>
      </c>
      <c r="B105" s="1297">
        <v>16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83</v>
      </c>
      <c r="C123" s="1294">
        <v>83</v>
      </c>
      <c r="D123" s="330"/>
      <c r="E123" s="330"/>
      <c r="F123" s="330"/>
    </row>
    <row r="124" spans="1:6" s="43" customFormat="1">
      <c r="A124" s="1295" t="s">
        <v>88</v>
      </c>
      <c r="B124" s="1316">
        <v>2</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378</v>
      </c>
      <c r="C129" s="330"/>
      <c r="D129" s="330"/>
      <c r="E129" s="330"/>
      <c r="F129" s="330"/>
    </row>
    <row r="130" spans="1:6">
      <c r="A130" s="1293" t="s">
        <v>294</v>
      </c>
      <c r="B130" s="1294">
        <v>10</v>
      </c>
      <c r="C130" s="330"/>
      <c r="D130" s="330"/>
      <c r="E130" s="330"/>
      <c r="F130" s="330"/>
    </row>
    <row r="131" spans="1:6">
      <c r="A131" s="1293" t="s">
        <v>295</v>
      </c>
      <c r="B131" s="1294">
        <v>4</v>
      </c>
      <c r="C131" s="330"/>
      <c r="D131" s="330"/>
      <c r="E131" s="330"/>
      <c r="F131" s="330"/>
    </row>
    <row r="132" spans="1:6">
      <c r="A132" s="1288" t="s">
        <v>296</v>
      </c>
      <c r="B132" s="1289">
        <v>28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187752.90281886238</v>
      </c>
      <c r="C3" s="43" t="s">
        <v>169</v>
      </c>
      <c r="D3" s="43"/>
      <c r="E3" s="154"/>
      <c r="F3" s="43"/>
      <c r="G3" s="43"/>
      <c r="H3" s="43"/>
      <c r="I3" s="43"/>
      <c r="J3" s="43"/>
      <c r="K3" s="96"/>
    </row>
    <row r="4" spans="1:11">
      <c r="A4" s="358" t="s">
        <v>170</v>
      </c>
      <c r="B4" s="49">
        <f>IF(ISERROR('SEAP template'!B78+'SEAP template'!C78),0,'SEAP template'!B78+'SEAP template'!C78)</f>
        <v>73531.30928195802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418.78164705882364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0.13667833324245471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598.25949579831945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2704.5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0.22120890952054703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2199.1999999999998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2199.1999999999998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0.13667833324245471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300.58299046680639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58305.288006085902</v>
      </c>
      <c r="C5" s="17">
        <f>IF(ISERROR('Eigen informatie GS &amp; warmtenet'!B57),0,'Eigen informatie GS &amp; warmtenet'!B57)</f>
        <v>0</v>
      </c>
      <c r="D5" s="30">
        <f>(SUM(HH_hh_gas_kWh,HH_rest_gas_kWh)/1000)*0.902</f>
        <v>113466.0237409761</v>
      </c>
      <c r="E5" s="17">
        <f>B46*B57</f>
        <v>25931.167453611484</v>
      </c>
      <c r="F5" s="17">
        <f>B51*B62</f>
        <v>28560.87057656045</v>
      </c>
      <c r="G5" s="18"/>
      <c r="H5" s="17"/>
      <c r="I5" s="17"/>
      <c r="J5" s="17">
        <f>B50*B61+C50*C61</f>
        <v>0</v>
      </c>
      <c r="K5" s="17"/>
      <c r="L5" s="17"/>
      <c r="M5" s="17"/>
      <c r="N5" s="17">
        <f>B48*B59+C48*C59</f>
        <v>36323.820434523521</v>
      </c>
      <c r="O5" s="17">
        <f>B69*B70*B71</f>
        <v>723.82333333333338</v>
      </c>
      <c r="P5" s="17">
        <f>B77*B78*B79/1000-B77*B78*B79/1000/B80</f>
        <v>2154.5333333333333</v>
      </c>
    </row>
    <row r="6" spans="1:16">
      <c r="A6" s="16" t="s">
        <v>620</v>
      </c>
      <c r="B6" s="762">
        <f>kWh_PV_kleiner_dan_10kW</f>
        <v>8046.3736129094295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66351.661618995335</v>
      </c>
      <c r="C8" s="21">
        <f>C5</f>
        <v>0</v>
      </c>
      <c r="D8" s="21">
        <f>D5</f>
        <v>113466.0237409761</v>
      </c>
      <c r="E8" s="21">
        <f>E5</f>
        <v>25931.167453611484</v>
      </c>
      <c r="F8" s="21">
        <f>F5</f>
        <v>28560.87057656045</v>
      </c>
      <c r="G8" s="21"/>
      <c r="H8" s="21"/>
      <c r="I8" s="21"/>
      <c r="J8" s="21">
        <f>J5</f>
        <v>0</v>
      </c>
      <c r="K8" s="21"/>
      <c r="L8" s="21">
        <f>L5</f>
        <v>0</v>
      </c>
      <c r="M8" s="21">
        <f>M5</f>
        <v>0</v>
      </c>
      <c r="N8" s="21">
        <f>N5</f>
        <v>36323.820434523521</v>
      </c>
      <c r="O8" s="21">
        <f>O5</f>
        <v>723.82333333333338</v>
      </c>
      <c r="P8" s="21">
        <f>P5</f>
        <v>2154.5333333333333</v>
      </c>
    </row>
    <row r="9" spans="1:16">
      <c r="B9" s="19"/>
      <c r="C9" s="19"/>
      <c r="D9" s="258"/>
      <c r="E9" s="19"/>
      <c r="F9" s="19"/>
      <c r="G9" s="19"/>
      <c r="H9" s="19"/>
      <c r="I9" s="19"/>
      <c r="J9" s="19"/>
      <c r="K9" s="19"/>
      <c r="L9" s="19"/>
      <c r="M9" s="19"/>
      <c r="N9" s="19"/>
      <c r="O9" s="19"/>
      <c r="P9" s="19"/>
    </row>
    <row r="10" spans="1:16">
      <c r="A10" s="24" t="s">
        <v>213</v>
      </c>
      <c r="B10" s="25">
        <f ca="1">'EF ele_warmte'!B12</f>
        <v>0.13667833324245471</v>
      </c>
      <c r="C10" s="25">
        <f ca="1">'EF ele_warmte'!B22</f>
        <v>0.22120890952054703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9068.8345179516364</v>
      </c>
      <c r="C12" s="23">
        <f ca="1">C10*C8</f>
        <v>0</v>
      </c>
      <c r="D12" s="23">
        <f>D8*D10</f>
        <v>22920.136795677176</v>
      </c>
      <c r="E12" s="23">
        <f>E10*E8</f>
        <v>5886.375011969807</v>
      </c>
      <c r="F12" s="23">
        <f>F10*F8</f>
        <v>7625.7524439416402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2815</v>
      </c>
      <c r="C18" s="166" t="s">
        <v>110</v>
      </c>
      <c r="D18" s="228"/>
      <c r="E18" s="15"/>
    </row>
    <row r="19" spans="1:7">
      <c r="A19" s="171" t="s">
        <v>71</v>
      </c>
      <c r="B19" s="37">
        <f>aantalw2001_ander</f>
        <v>1</v>
      </c>
      <c r="C19" s="166" t="s">
        <v>110</v>
      </c>
      <c r="D19" s="229"/>
      <c r="E19" s="15"/>
    </row>
    <row r="20" spans="1:7">
      <c r="A20" s="171" t="s">
        <v>72</v>
      </c>
      <c r="B20" s="37">
        <f>aantalw2001_propaan</f>
        <v>245</v>
      </c>
      <c r="C20" s="167">
        <f>IF(ISERROR(B20/SUM($B$20,$B$21,$B$22)*100),0,B20/SUM($B$20,$B$21,$B$22)*100)</f>
        <v>10.76923076923077</v>
      </c>
      <c r="D20" s="229"/>
      <c r="E20" s="15"/>
    </row>
    <row r="21" spans="1:7">
      <c r="A21" s="171" t="s">
        <v>73</v>
      </c>
      <c r="B21" s="37">
        <f>aantalw2001_elektriciteit</f>
        <v>1781</v>
      </c>
      <c r="C21" s="167">
        <f>IF(ISERROR(B21/SUM($B$20,$B$21,$B$22)*100),0,B21/SUM($B$20,$B$21,$B$22)*100)</f>
        <v>78.285714285714278</v>
      </c>
      <c r="D21" s="229"/>
      <c r="E21" s="15"/>
    </row>
    <row r="22" spans="1:7">
      <c r="A22" s="171" t="s">
        <v>74</v>
      </c>
      <c r="B22" s="37">
        <f>aantalw2001_hout</f>
        <v>249</v>
      </c>
      <c r="C22" s="167">
        <f>IF(ISERROR(B22/SUM($B$20,$B$21,$B$22)*100),0,B22/SUM($B$20,$B$21,$B$22)*100)</f>
        <v>10.945054945054945</v>
      </c>
      <c r="D22" s="229"/>
      <c r="E22" s="15"/>
    </row>
    <row r="23" spans="1:7">
      <c r="A23" s="171" t="s">
        <v>75</v>
      </c>
      <c r="B23" s="37">
        <f>aantalw2001_niet_gespec</f>
        <v>206</v>
      </c>
      <c r="C23" s="166" t="s">
        <v>110</v>
      </c>
      <c r="D23" s="228"/>
      <c r="E23" s="15"/>
    </row>
    <row r="24" spans="1:7">
      <c r="A24" s="171" t="s">
        <v>76</v>
      </c>
      <c r="B24" s="37">
        <f>aantalw2001_steenkool</f>
        <v>399</v>
      </c>
      <c r="C24" s="166" t="s">
        <v>110</v>
      </c>
      <c r="D24" s="229"/>
      <c r="E24" s="15"/>
    </row>
    <row r="25" spans="1:7">
      <c r="A25" s="171" t="s">
        <v>77</v>
      </c>
      <c r="B25" s="37">
        <f>aantalw2001_stookolie</f>
        <v>6177</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780</v>
      </c>
      <c r="B28" s="37">
        <f>aantalHuishoudens</f>
        <v>14193</v>
      </c>
      <c r="C28" s="36"/>
      <c r="D28" s="228"/>
    </row>
    <row r="29" spans="1:7" s="15" customFormat="1">
      <c r="A29" s="230" t="s">
        <v>781</v>
      </c>
      <c r="B29" s="37">
        <f>SUM(HH_hh_gas_aantal,HH_rest_gas_aantal)</f>
        <v>8157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8157</v>
      </c>
      <c r="C32" s="167">
        <f>IF(ISERROR(B32/SUM($B$32,$B$34,$B$35,$B$36,$B$38,$B$39)*100),0,B32/SUM($B$32,$B$34,$B$35,$B$36,$B$38,$B$39)*100)</f>
        <v>57.93323863636364</v>
      </c>
      <c r="D32" s="233"/>
      <c r="G32" s="15"/>
    </row>
    <row r="33" spans="1:7">
      <c r="A33" s="171" t="s">
        <v>71</v>
      </c>
      <c r="B33" s="34" t="s">
        <v>110</v>
      </c>
      <c r="C33" s="167"/>
      <c r="D33" s="233"/>
      <c r="G33" s="15"/>
    </row>
    <row r="34" spans="1:7">
      <c r="A34" s="171" t="s">
        <v>72</v>
      </c>
      <c r="B34" s="33">
        <f>IF((($B$28-$B$32-$B$39-$B$77-$B$38)*C20/100)&lt;0,0,($B$28-$B$32-$B$39-$B$77-$B$38)*C20/100)</f>
        <v>490.40923076923087</v>
      </c>
      <c r="C34" s="167">
        <f>IF(ISERROR(B34/SUM($B$32,$B$34,$B$35,$B$36,$B$38,$B$39)*100),0,B34/SUM($B$32,$B$34,$B$35,$B$36,$B$38,$B$39)*100)</f>
        <v>3.4830201048951057</v>
      </c>
      <c r="D34" s="233"/>
      <c r="G34" s="15"/>
    </row>
    <row r="35" spans="1:7">
      <c r="A35" s="171" t="s">
        <v>73</v>
      </c>
      <c r="B35" s="33">
        <f>IF((($B$28-$B$32-$B$39-$B$77-$B$38)*C21/100)&lt;0,0,($B$28-$B$32-$B$39-$B$77-$B$38)*C21/100)</f>
        <v>3564.9748571428568</v>
      </c>
      <c r="C35" s="167">
        <f>IF(ISERROR(B35/SUM($B$32,$B$34,$B$35,$B$36,$B$38,$B$39)*100),0,B35/SUM($B$32,$B$34,$B$35,$B$36,$B$38,$B$39)*100)</f>
        <v>25.3194237012987</v>
      </c>
      <c r="D35" s="233"/>
      <c r="G35" s="15"/>
    </row>
    <row r="36" spans="1:7">
      <c r="A36" s="171" t="s">
        <v>74</v>
      </c>
      <c r="B36" s="33">
        <f>IF((($B$28-$B$32-$B$39-$B$77-$B$38)*C22/100)&lt;0,0,($B$28-$B$32-$B$39-$B$77-$B$38)*C22/100)</f>
        <v>498.41591208791215</v>
      </c>
      <c r="C36" s="167">
        <f>IF(ISERROR(B36/SUM($B$32,$B$34,$B$35,$B$36,$B$38,$B$39)*100),0,B36/SUM($B$32,$B$34,$B$35,$B$36,$B$38,$B$39)*100)</f>
        <v>3.5398857392607397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1369.1999999999998</v>
      </c>
      <c r="C39" s="167">
        <f>IF(ISERROR(B39/SUM($B$32,$B$34,$B$35,$B$36,$B$38,$B$39)*100),0,B39/SUM($B$32,$B$34,$B$35,$B$36,$B$38,$B$39)*100)</f>
        <v>9.7244318181818166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8157</v>
      </c>
      <c r="C44" s="34" t="s">
        <v>110</v>
      </c>
      <c r="D44" s="174"/>
    </row>
    <row r="45" spans="1:7">
      <c r="A45" s="171" t="s">
        <v>71</v>
      </c>
      <c r="B45" s="33" t="str">
        <f t="shared" si="0"/>
        <v>-</v>
      </c>
      <c r="C45" s="34" t="s">
        <v>110</v>
      </c>
      <c r="D45" s="174"/>
    </row>
    <row r="46" spans="1:7">
      <c r="A46" s="171" t="s">
        <v>72</v>
      </c>
      <c r="B46" s="33">
        <f t="shared" si="0"/>
        <v>490.40923076923087</v>
      </c>
      <c r="C46" s="34" t="s">
        <v>110</v>
      </c>
      <c r="D46" s="174"/>
    </row>
    <row r="47" spans="1:7">
      <c r="A47" s="171" t="s">
        <v>73</v>
      </c>
      <c r="B47" s="33">
        <f t="shared" si="0"/>
        <v>3564.9748571428568</v>
      </c>
      <c r="C47" s="34" t="s">
        <v>110</v>
      </c>
      <c r="D47" s="174"/>
    </row>
    <row r="48" spans="1:7">
      <c r="A48" s="171" t="s">
        <v>74</v>
      </c>
      <c r="B48" s="33">
        <f t="shared" si="0"/>
        <v>498.41591208791215</v>
      </c>
      <c r="C48" s="33">
        <f>B48*10</f>
        <v>4984.1591208791215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1369.1999999999998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463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42216.243568157326</v>
      </c>
      <c r="C5" s="17">
        <f>IF(ISERROR('Eigen informatie GS &amp; warmtenet'!B58),0,'Eigen informatie GS &amp; warmtenet'!B58)</f>
        <v>0</v>
      </c>
      <c r="D5" s="30">
        <f>SUM(D6:D12)</f>
        <v>55982.197046327819</v>
      </c>
      <c r="E5" s="17">
        <f>SUM(E6:E12)</f>
        <v>632.35011626217317</v>
      </c>
      <c r="F5" s="17">
        <f>SUM(F6:F12)</f>
        <v>7547.5631630885491</v>
      </c>
      <c r="G5" s="18"/>
      <c r="H5" s="17"/>
      <c r="I5" s="17"/>
      <c r="J5" s="17">
        <f>SUM(J6:J12)</f>
        <v>0.1151432462510785</v>
      </c>
      <c r="K5" s="17"/>
      <c r="L5" s="17"/>
      <c r="M5" s="17"/>
      <c r="N5" s="17">
        <f>SUM(N6:N12)</f>
        <v>4585.0877556600944</v>
      </c>
      <c r="O5" s="17">
        <f>B38*B39*B40</f>
        <v>15.633333333333333</v>
      </c>
      <c r="P5" s="17">
        <f>B46*B47*B48/1000-B46*B47*B48/1000/B49</f>
        <v>76.266666666666666</v>
      </c>
      <c r="R5" s="32"/>
    </row>
    <row r="6" spans="1:18">
      <c r="A6" s="32" t="s">
        <v>53</v>
      </c>
      <c r="B6" s="37">
        <f>B26</f>
        <v>11197.1106025179</v>
      </c>
      <c r="C6" s="33"/>
      <c r="D6" s="37">
        <f>IF(ISERROR(TER_kantoor_gas_kWh/1000),0,TER_kantoor_gas_kWh/1000)*0.902</f>
        <v>10944.288826756481</v>
      </c>
      <c r="E6" s="33">
        <f>$C$26*'E Balans VL '!I12/100/3.6*1000000</f>
        <v>7.01797651559391E-2</v>
      </c>
      <c r="F6" s="33">
        <f>$C$26*('E Balans VL '!L12+'E Balans VL '!N12)/100/3.6*1000000</f>
        <v>1682.6128464479389</v>
      </c>
      <c r="G6" s="34"/>
      <c r="H6" s="33"/>
      <c r="I6" s="33"/>
      <c r="J6" s="33">
        <f>$C$26*('E Balans VL '!D12+'E Balans VL '!E12)/100/3.6*1000000</f>
        <v>0</v>
      </c>
      <c r="K6" s="33"/>
      <c r="L6" s="33"/>
      <c r="M6" s="33"/>
      <c r="N6" s="33">
        <f>$C$26*'E Balans VL '!Y12/100/3.6*1000000</f>
        <v>10.708376137469351</v>
      </c>
      <c r="O6" s="33"/>
      <c r="P6" s="33"/>
      <c r="R6" s="32"/>
    </row>
    <row r="7" spans="1:18">
      <c r="A7" s="32" t="s">
        <v>52</v>
      </c>
      <c r="B7" s="37">
        <f t="shared" ref="B7:B12" si="0">B27</f>
        <v>2031.0912672109598</v>
      </c>
      <c r="C7" s="33"/>
      <c r="D7" s="37">
        <f>IF(ISERROR(TER_horeca_gas_kWh/1000),0,TER_horeca_gas_kWh/1000)*0.902</f>
        <v>2582.6060851916632</v>
      </c>
      <c r="E7" s="33">
        <f>$C$27*'E Balans VL '!I9/100/3.6*1000000</f>
        <v>29.084888631239568</v>
      </c>
      <c r="F7" s="33">
        <f>$C$27*('E Balans VL '!L9+'E Balans VL '!N9)/100/3.6*1000000</f>
        <v>257.20314239966962</v>
      </c>
      <c r="G7" s="34"/>
      <c r="H7" s="33"/>
      <c r="I7" s="33"/>
      <c r="J7" s="33">
        <f>$C$27*('E Balans VL '!D9+'E Balans VL '!E9)/100/3.6*1000000</f>
        <v>0</v>
      </c>
      <c r="K7" s="33"/>
      <c r="L7" s="33"/>
      <c r="M7" s="33"/>
      <c r="N7" s="33">
        <f>$C$27*'E Balans VL '!Y9/100/3.6*1000000</f>
        <v>0.58389395760475693</v>
      </c>
      <c r="O7" s="33"/>
      <c r="P7" s="33"/>
      <c r="R7" s="32"/>
    </row>
    <row r="8" spans="1:18">
      <c r="A8" s="6" t="s">
        <v>51</v>
      </c>
      <c r="B8" s="37">
        <f t="shared" si="0"/>
        <v>13181.859944940799</v>
      </c>
      <c r="C8" s="33"/>
      <c r="D8" s="37">
        <f>IF(ISERROR(TER_handel_gas_kWh/1000),0,TER_handel_gas_kWh/1000)*0.902</f>
        <v>5024.9898642579801</v>
      </c>
      <c r="E8" s="33">
        <f>$C$28*'E Balans VL '!I13/100/3.6*1000000</f>
        <v>478.10443468885995</v>
      </c>
      <c r="F8" s="33">
        <f>$C$28*('E Balans VL '!L13+'E Balans VL '!N13)/100/3.6*1000000</f>
        <v>2538.9597002136047</v>
      </c>
      <c r="G8" s="34"/>
      <c r="H8" s="33"/>
      <c r="I8" s="33"/>
      <c r="J8" s="33">
        <f>$C$28*('E Balans VL '!D13+'E Balans VL '!E13)/100/3.6*1000000</f>
        <v>0</v>
      </c>
      <c r="K8" s="33"/>
      <c r="L8" s="33"/>
      <c r="M8" s="33"/>
      <c r="N8" s="33">
        <f>$C$28*'E Balans VL '!Y13/100/3.6*1000000</f>
        <v>18.259909034448118</v>
      </c>
      <c r="O8" s="33"/>
      <c r="P8" s="33"/>
      <c r="R8" s="32"/>
    </row>
    <row r="9" spans="1:18">
      <c r="A9" s="32" t="s">
        <v>50</v>
      </c>
      <c r="B9" s="37">
        <f t="shared" si="0"/>
        <v>1975.6997485158299</v>
      </c>
      <c r="C9" s="33"/>
      <c r="D9" s="37">
        <f>IF(ISERROR(TER_gezond_gas_kWh/1000),0,TER_gezond_gas_kWh/1000)*0.902</f>
        <v>5270.6453550621536</v>
      </c>
      <c r="E9" s="33">
        <f>$C$29*'E Balans VL '!I10/100/3.6*1000000</f>
        <v>0.12369831076805259</v>
      </c>
      <c r="F9" s="33">
        <f>$C$29*('E Balans VL '!L10+'E Balans VL '!N10)/100/3.6*1000000</f>
        <v>293.49621307488127</v>
      </c>
      <c r="G9" s="34"/>
      <c r="H9" s="33"/>
      <c r="I9" s="33"/>
      <c r="J9" s="33">
        <f>$C$29*('E Balans VL '!D10+'E Balans VL '!E10)/100/3.6*1000000</f>
        <v>0</v>
      </c>
      <c r="K9" s="33"/>
      <c r="L9" s="33"/>
      <c r="M9" s="33"/>
      <c r="N9" s="33">
        <f>$C$29*'E Balans VL '!Y10/100/3.6*1000000</f>
        <v>30.56031434877276</v>
      </c>
      <c r="O9" s="33"/>
      <c r="P9" s="33"/>
      <c r="R9" s="32"/>
    </row>
    <row r="10" spans="1:18">
      <c r="A10" s="32" t="s">
        <v>49</v>
      </c>
      <c r="B10" s="37">
        <f t="shared" si="0"/>
        <v>4308.9892703666901</v>
      </c>
      <c r="C10" s="33"/>
      <c r="D10" s="37">
        <f>IF(ISERROR(TER_ander_gas_kWh/1000),0,TER_ander_gas_kWh/1000)*0.902</f>
        <v>3688.7463939762797</v>
      </c>
      <c r="E10" s="33">
        <f>$C$30*'E Balans VL '!I14/100/3.6*1000000</f>
        <v>5.1361612330181563</v>
      </c>
      <c r="F10" s="33">
        <f>$C$30*('E Balans VL '!L14+'E Balans VL '!N14)/100/3.6*1000000</f>
        <v>1127.4231557449568</v>
      </c>
      <c r="G10" s="34"/>
      <c r="H10" s="33"/>
      <c r="I10" s="33"/>
      <c r="J10" s="33">
        <f>$C$30*('E Balans VL '!D14+'E Balans VL '!E14)/100/3.6*1000000</f>
        <v>9.3531266288108289E-2</v>
      </c>
      <c r="K10" s="33"/>
      <c r="L10" s="33"/>
      <c r="M10" s="33"/>
      <c r="N10" s="33">
        <f>$C$30*'E Balans VL '!Y14/100/3.6*1000000</f>
        <v>3659.0882489121141</v>
      </c>
      <c r="O10" s="33"/>
      <c r="P10" s="33"/>
      <c r="R10" s="32"/>
    </row>
    <row r="11" spans="1:18">
      <c r="A11" s="32" t="s">
        <v>54</v>
      </c>
      <c r="B11" s="37">
        <f t="shared" si="0"/>
        <v>596.54756490471198</v>
      </c>
      <c r="C11" s="33"/>
      <c r="D11" s="37">
        <f>IF(ISERROR(TER_onderwijs_gas_kWh/1000),0,TER_onderwijs_gas_kWh/1000)*0.902</f>
        <v>3344.346456969959</v>
      </c>
      <c r="E11" s="33">
        <f>$C$31*'E Balans VL '!I11/100/3.6*1000000</f>
        <v>9.0009419231936789</v>
      </c>
      <c r="F11" s="33">
        <f>$C$31*('E Balans VL '!L11+'E Balans VL '!N11)/100/3.6*1000000</f>
        <v>104.52466350217308</v>
      </c>
      <c r="G11" s="34"/>
      <c r="H11" s="33"/>
      <c r="I11" s="33"/>
      <c r="J11" s="33">
        <f>$C$31*('E Balans VL '!D11+'E Balans VL '!E11)/100/3.6*1000000</f>
        <v>0</v>
      </c>
      <c r="K11" s="33"/>
      <c r="L11" s="33"/>
      <c r="M11" s="33"/>
      <c r="N11" s="33">
        <f>$C$31*'E Balans VL '!Y11/100/3.6*1000000</f>
        <v>1.6787301989148053</v>
      </c>
      <c r="O11" s="33"/>
      <c r="P11" s="33"/>
      <c r="R11" s="32"/>
    </row>
    <row r="12" spans="1:18">
      <c r="A12" s="32" t="s">
        <v>259</v>
      </c>
      <c r="B12" s="37">
        <f t="shared" si="0"/>
        <v>8924.9451697004315</v>
      </c>
      <c r="C12" s="33"/>
      <c r="D12" s="37">
        <f>IF(ISERROR(TER_rest_gas_kWh/1000),0,TER_rest_gas_kWh/1000)*0.902</f>
        <v>25126.574064113302</v>
      </c>
      <c r="E12" s="33">
        <f>$C$32*'E Balans VL '!I8/100/3.6*1000000</f>
        <v>110.82981170993784</v>
      </c>
      <c r="F12" s="33">
        <f>$C$32*('E Balans VL '!L8+'E Balans VL '!N8)/100/3.6*1000000</f>
        <v>1543.3434417053263</v>
      </c>
      <c r="G12" s="34"/>
      <c r="H12" s="33"/>
      <c r="I12" s="33"/>
      <c r="J12" s="33">
        <f>$C$32*('E Balans VL '!D8+'E Balans VL '!E8)/100/3.6*1000000</f>
        <v>2.1611979962970207E-2</v>
      </c>
      <c r="K12" s="33"/>
      <c r="L12" s="33"/>
      <c r="M12" s="33"/>
      <c r="N12" s="33">
        <f>$C$32*'E Balans VL '!Y8/100/3.6*1000000</f>
        <v>864.20828307077045</v>
      </c>
      <c r="O12" s="33"/>
      <c r="P12" s="33"/>
      <c r="R12" s="32"/>
    </row>
    <row r="13" spans="1:18">
      <c r="A13" s="16" t="s">
        <v>487</v>
      </c>
      <c r="B13" s="247">
        <f ca="1">'lokale energieproductie'!N41+'lokale energieproductie'!N34</f>
        <v>56.7</v>
      </c>
      <c r="C13" s="247">
        <f ca="1">'lokale energieproductie'!O41+'lokale energieproductie'!O34</f>
        <v>81</v>
      </c>
      <c r="D13" s="308">
        <f ca="1">('lokale energieproductie'!P34+'lokale energieproductie'!P41)*(-1)</f>
        <v>-162.00000000000003</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42272.943568157323</v>
      </c>
      <c r="C16" s="21">
        <f t="shared" ca="1" si="1"/>
        <v>81</v>
      </c>
      <c r="D16" s="21">
        <f t="shared" ca="1" si="1"/>
        <v>55820.197046327819</v>
      </c>
      <c r="E16" s="21">
        <f t="shared" si="1"/>
        <v>632.35011626217317</v>
      </c>
      <c r="F16" s="21">
        <f t="shared" ca="1" si="1"/>
        <v>7547.5631630885491</v>
      </c>
      <c r="G16" s="21">
        <f t="shared" si="1"/>
        <v>0</v>
      </c>
      <c r="H16" s="21">
        <f t="shared" si="1"/>
        <v>0</v>
      </c>
      <c r="I16" s="21">
        <f t="shared" si="1"/>
        <v>0</v>
      </c>
      <c r="J16" s="21">
        <f t="shared" si="1"/>
        <v>0.1151432462510785</v>
      </c>
      <c r="K16" s="21">
        <f t="shared" si="1"/>
        <v>0</v>
      </c>
      <c r="L16" s="21">
        <f t="shared" ca="1" si="1"/>
        <v>0</v>
      </c>
      <c r="M16" s="21">
        <f t="shared" si="1"/>
        <v>0</v>
      </c>
      <c r="N16" s="21">
        <f t="shared" ca="1" si="1"/>
        <v>4585.0877556600944</v>
      </c>
      <c r="O16" s="21">
        <f>O5</f>
        <v>15.633333333333333</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0.13667833324245471</v>
      </c>
      <c r="C18" s="25">
        <f ca="1">'EF ele_warmte'!B22</f>
        <v>0.22120890952054703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5777.7954681480887</v>
      </c>
      <c r="C20" s="23">
        <f t="shared" ref="C20:P20" ca="1" si="2">C16*C18</f>
        <v>17.917921671164308</v>
      </c>
      <c r="D20" s="23">
        <f t="shared" ca="1" si="2"/>
        <v>11275.67980335822</v>
      </c>
      <c r="E20" s="23">
        <f t="shared" si="2"/>
        <v>143.54347639151331</v>
      </c>
      <c r="F20" s="23">
        <f t="shared" ca="1" si="2"/>
        <v>2015.1993645446428</v>
      </c>
      <c r="G20" s="23">
        <f t="shared" si="2"/>
        <v>0</v>
      </c>
      <c r="H20" s="23">
        <f t="shared" si="2"/>
        <v>0</v>
      </c>
      <c r="I20" s="23">
        <f t="shared" si="2"/>
        <v>0</v>
      </c>
      <c r="J20" s="23">
        <f t="shared" si="2"/>
        <v>4.0760709172881784E-2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11197.1106025179</v>
      </c>
      <c r="C26" s="39">
        <f>IF(ISERROR(B26*3.6/1000000/'E Balans VL '!Z12*100),0,B26*3.6/1000000/'E Balans VL '!Z12*100)</f>
        <v>0.23668918048127363</v>
      </c>
      <c r="D26" s="237" t="s">
        <v>744</v>
      </c>
      <c r="F26" s="6"/>
    </row>
    <row r="27" spans="1:18">
      <c r="A27" s="231" t="s">
        <v>52</v>
      </c>
      <c r="B27" s="33">
        <f>IF(ISERROR(TER_horeca_ele_kWh/1000),0,TER_horeca_ele_kWh/1000)</f>
        <v>2031.0912672109598</v>
      </c>
      <c r="C27" s="39">
        <f>IF(ISERROR(B27*3.6/1000000/'E Balans VL '!Z9*100),0,B27*3.6/1000000/'E Balans VL '!Z9*100)</f>
        <v>0.1601101675678771</v>
      </c>
      <c r="D27" s="237" t="s">
        <v>744</v>
      </c>
      <c r="F27" s="6"/>
    </row>
    <row r="28" spans="1:18">
      <c r="A28" s="171" t="s">
        <v>51</v>
      </c>
      <c r="B28" s="33">
        <f>IF(ISERROR(TER_handel_ele_kWh/1000),0,TER_handel_ele_kWh/1000)</f>
        <v>13181.859944940799</v>
      </c>
      <c r="C28" s="39">
        <f>IF(ISERROR(B28*3.6/1000000/'E Balans VL '!Z13*100),0,B28*3.6/1000000/'E Balans VL '!Z13*100)</f>
        <v>0.38259083628454421</v>
      </c>
      <c r="D28" s="237" t="s">
        <v>744</v>
      </c>
      <c r="F28" s="6"/>
    </row>
    <row r="29" spans="1:18">
      <c r="A29" s="231" t="s">
        <v>50</v>
      </c>
      <c r="B29" s="33">
        <f>IF(ISERROR(TER_gezond_ele_kWh/1000),0,TER_gezond_ele_kWh/1000)</f>
        <v>1975.6997485158299</v>
      </c>
      <c r="C29" s="39">
        <f>IF(ISERROR(B29*3.6/1000000/'E Balans VL '!Z10*100),0,B29*3.6/1000000/'E Balans VL '!Z10*100)</f>
        <v>0.20807362536492688</v>
      </c>
      <c r="D29" s="237" t="s">
        <v>744</v>
      </c>
      <c r="F29" s="6"/>
    </row>
    <row r="30" spans="1:18">
      <c r="A30" s="231" t="s">
        <v>49</v>
      </c>
      <c r="B30" s="33">
        <f>IF(ISERROR(TER_ander_ele_kWh/1000),0,TER_ander_ele_kWh/1000)</f>
        <v>4308.9892703666901</v>
      </c>
      <c r="C30" s="39">
        <f>IF(ISERROR(B30*3.6/1000000/'E Balans VL '!Z14*100),0,B30*3.6/1000000/'E Balans VL '!Z14*100)</f>
        <v>0.31783198449006106</v>
      </c>
      <c r="D30" s="237" t="s">
        <v>744</v>
      </c>
      <c r="F30" s="6"/>
    </row>
    <row r="31" spans="1:18">
      <c r="A31" s="231" t="s">
        <v>54</v>
      </c>
      <c r="B31" s="33">
        <f>IF(ISERROR(TER_onderwijs_ele_kWh/1000),0,TER_onderwijs_ele_kWh/1000)</f>
        <v>596.54756490471198</v>
      </c>
      <c r="C31" s="39">
        <f>IF(ISERROR(B31*3.6/1000000/'E Balans VL '!Z11*100),0,B31*3.6/1000000/'E Balans VL '!Z11*100)</f>
        <v>0.14815070429945593</v>
      </c>
      <c r="D31" s="237" t="s">
        <v>744</v>
      </c>
    </row>
    <row r="32" spans="1:18">
      <c r="A32" s="231" t="s">
        <v>259</v>
      </c>
      <c r="B32" s="33">
        <f>IF(ISERROR(TER_rest_ele_kWh/1000),0,TER_rest_ele_kWh/1000)</f>
        <v>8924.9451697004315</v>
      </c>
      <c r="C32" s="39">
        <f>IF(ISERROR(B32*3.6/1000000/'E Balans VL '!Z8*100),0,B32*3.6/1000000/'E Balans VL '!Z8*100)</f>
        <v>7.3440452086166064E-2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69604.152227847924</v>
      </c>
      <c r="C5" s="17">
        <f>IF(ISERROR('Eigen informatie GS &amp; warmtenet'!B59),0,'Eigen informatie GS &amp; warmtenet'!B59)</f>
        <v>0</v>
      </c>
      <c r="D5" s="30">
        <f>SUM(D6:D15)</f>
        <v>62238.652325242787</v>
      </c>
      <c r="E5" s="17">
        <f>SUM(E6:E15)</f>
        <v>1678.8603791587434</v>
      </c>
      <c r="F5" s="17">
        <f>SUM(F6:F15)</f>
        <v>5645.7634246827511</v>
      </c>
      <c r="G5" s="18"/>
      <c r="H5" s="17"/>
      <c r="I5" s="17"/>
      <c r="J5" s="17">
        <f>SUM(J6:J15)</f>
        <v>48.29469243091247</v>
      </c>
      <c r="K5" s="17"/>
      <c r="L5" s="17"/>
      <c r="M5" s="17"/>
      <c r="N5" s="17">
        <f>SUM(N6:N15)</f>
        <v>2566.074979898156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559.08184086764697</v>
      </c>
      <c r="C8" s="33"/>
      <c r="D8" s="37">
        <f>IF( ISERROR(IND_metaal_Gas_kWH/1000),0,IND_metaal_Gas_kWH/1000)*0.902</f>
        <v>116.32545954345144</v>
      </c>
      <c r="E8" s="33">
        <f>C30*'E Balans VL '!I18/100/3.6*1000000</f>
        <v>5.1402175604010081</v>
      </c>
      <c r="F8" s="33">
        <f>C30*'E Balans VL '!L18/100/3.6*1000000+C30*'E Balans VL '!N18/100/3.6*1000000</f>
        <v>52.423262954736863</v>
      </c>
      <c r="G8" s="34"/>
      <c r="H8" s="33"/>
      <c r="I8" s="33"/>
      <c r="J8" s="40">
        <f>C30*'E Balans VL '!D18/100/3.6*1000000+C30*'E Balans VL '!E18/100/3.6*1000000</f>
        <v>0</v>
      </c>
      <c r="K8" s="33"/>
      <c r="L8" s="33"/>
      <c r="M8" s="33"/>
      <c r="N8" s="33">
        <f>C30*'E Balans VL '!Y18/100/3.6*1000000</f>
        <v>7.9762263816263266</v>
      </c>
      <c r="O8" s="33"/>
      <c r="P8" s="33"/>
      <c r="R8" s="32"/>
    </row>
    <row r="9" spans="1:18">
      <c r="A9" s="6" t="s">
        <v>32</v>
      </c>
      <c r="B9" s="37">
        <f t="shared" si="0"/>
        <v>2737.0072758326401</v>
      </c>
      <c r="C9" s="33"/>
      <c r="D9" s="37">
        <f>IF( ISERROR(IND_andere_gas_kWh/1000),0,IND_andere_gas_kWh/1000)*0.902</f>
        <v>35021.796426999965</v>
      </c>
      <c r="E9" s="33">
        <f>C31*'E Balans VL '!I19/100/3.6*1000000</f>
        <v>800.08050997281828</v>
      </c>
      <c r="F9" s="33">
        <f>C31*'E Balans VL '!L19/100/3.6*1000000+C31*'E Balans VL '!N19/100/3.6*1000000</f>
        <v>2199.3925185460785</v>
      </c>
      <c r="G9" s="34"/>
      <c r="H9" s="33"/>
      <c r="I9" s="33"/>
      <c r="J9" s="40">
        <f>C31*'E Balans VL '!D19/100/3.6*1000000+C31*'E Balans VL '!E19/100/3.6*1000000</f>
        <v>0</v>
      </c>
      <c r="K9" s="33"/>
      <c r="L9" s="33"/>
      <c r="M9" s="33"/>
      <c r="N9" s="33">
        <f>C31*'E Balans VL '!Y19/100/3.6*1000000</f>
        <v>214.6871333982329</v>
      </c>
      <c r="O9" s="33"/>
      <c r="P9" s="33"/>
      <c r="R9" s="32"/>
    </row>
    <row r="10" spans="1:18">
      <c r="A10" s="6" t="s">
        <v>40</v>
      </c>
      <c r="B10" s="37">
        <f t="shared" si="0"/>
        <v>2341.66445160183</v>
      </c>
      <c r="C10" s="33"/>
      <c r="D10" s="37">
        <f>IF( ISERROR(IND_voed_gas_kWh/1000),0,IND_voed_gas_kWh/1000)*0.902</f>
        <v>2367.4807803307535</v>
      </c>
      <c r="E10" s="33">
        <f>C32*'E Balans VL '!I20/100/3.6*1000000</f>
        <v>4.9538274553010213</v>
      </c>
      <c r="F10" s="33">
        <f>C32*'E Balans VL '!L20/100/3.6*1000000+C32*'E Balans VL '!N20/100/3.6*1000000</f>
        <v>148.88541777293909</v>
      </c>
      <c r="G10" s="34"/>
      <c r="H10" s="33"/>
      <c r="I10" s="33"/>
      <c r="J10" s="40">
        <f>C32*'E Balans VL '!D20/100/3.6*1000000+C32*'E Balans VL '!E20/100/3.6*1000000</f>
        <v>0</v>
      </c>
      <c r="K10" s="33"/>
      <c r="L10" s="33"/>
      <c r="M10" s="33"/>
      <c r="N10" s="33">
        <f>C32*'E Balans VL '!Y20/100/3.6*1000000</f>
        <v>161.59795526997169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126.71084982862899</v>
      </c>
      <c r="C12" s="33"/>
      <c r="D12" s="37">
        <f>IF( ISERROR(IND_min_gas_kWh/1000),0,IND_min_gas_kWh/1000)*0.902</f>
        <v>0</v>
      </c>
      <c r="E12" s="33">
        <f>C34*'E Balans VL '!I22/100/3.6*1000000</f>
        <v>3.6728257838106031</v>
      </c>
      <c r="F12" s="33">
        <f>C34*'E Balans VL '!L22/100/3.6*1000000+C34*'E Balans VL '!N22/100/3.6*1000000</f>
        <v>43.564622035597822</v>
      </c>
      <c r="G12" s="34"/>
      <c r="H12" s="33"/>
      <c r="I12" s="33"/>
      <c r="J12" s="40">
        <f>C34*'E Balans VL '!D22/100/3.6*1000000+C34*'E Balans VL '!E22/100/3.6*1000000</f>
        <v>0.2082241100134726</v>
      </c>
      <c r="K12" s="33"/>
      <c r="L12" s="33"/>
      <c r="M12" s="33"/>
      <c r="N12" s="33">
        <f>C34*'E Balans VL '!Y22/100/3.6*1000000</f>
        <v>27.739087303791045</v>
      </c>
      <c r="O12" s="33"/>
      <c r="P12" s="33"/>
      <c r="R12" s="32"/>
    </row>
    <row r="13" spans="1:18">
      <c r="A13" s="6" t="s">
        <v>38</v>
      </c>
      <c r="B13" s="37">
        <f t="shared" si="0"/>
        <v>222.52410229227999</v>
      </c>
      <c r="C13" s="33"/>
      <c r="D13" s="37">
        <f>IF( ISERROR(IND_papier_gas_kWh/1000),0,IND_papier_gas_kWh/1000)*0.902</f>
        <v>218.96575787702974</v>
      </c>
      <c r="E13" s="33">
        <f>C35*'E Balans VL '!I23/100/3.6*1000000</f>
        <v>0.31571081028561582</v>
      </c>
      <c r="F13" s="33">
        <f>C35*'E Balans VL '!L23/100/3.6*1000000+C35*'E Balans VL '!N23/100/3.6*1000000</f>
        <v>5.4326500815277852</v>
      </c>
      <c r="G13" s="34"/>
      <c r="H13" s="33"/>
      <c r="I13" s="33"/>
      <c r="J13" s="40">
        <f>C35*'E Balans VL '!D23/100/3.6*1000000+C35*'E Balans VL '!E23/100/3.6*1000000</f>
        <v>3.441544160308295E-2</v>
      </c>
      <c r="K13" s="33"/>
      <c r="L13" s="33"/>
      <c r="M13" s="33"/>
      <c r="N13" s="33">
        <f>C35*'E Balans VL '!Y23/100/3.6*1000000</f>
        <v>90.920121813523068</v>
      </c>
      <c r="O13" s="33"/>
      <c r="P13" s="33"/>
      <c r="R13" s="32"/>
    </row>
    <row r="14" spans="1:18">
      <c r="A14" s="6" t="s">
        <v>33</v>
      </c>
      <c r="B14" s="37">
        <f t="shared" si="0"/>
        <v>50194.731272990597</v>
      </c>
      <c r="C14" s="33"/>
      <c r="D14" s="37">
        <f>IF( ISERROR(IND_chemie_gas_kWh/1000),0,IND_chemie_gas_kWh/1000)*0.902</f>
        <v>0</v>
      </c>
      <c r="E14" s="33">
        <f>C36*'E Balans VL '!I24/100/3.6*1000000</f>
        <v>123.56504665963331</v>
      </c>
      <c r="F14" s="33">
        <f>C36*'E Balans VL '!L24/100/3.6*1000000+C36*'E Balans VL '!N24/100/3.6*1000000</f>
        <v>537.48282829379116</v>
      </c>
      <c r="G14" s="34"/>
      <c r="H14" s="33"/>
      <c r="I14" s="33"/>
      <c r="J14" s="40">
        <f>C36*'E Balans VL '!D24/100/3.6*1000000+C36*'E Balans VL '!E24/100/3.6*1000000</f>
        <v>0</v>
      </c>
      <c r="K14" s="33"/>
      <c r="L14" s="33"/>
      <c r="M14" s="33"/>
      <c r="N14" s="33">
        <f>C36*'E Balans VL '!Y24/100/3.6*1000000</f>
        <v>1120.9722561854103</v>
      </c>
      <c r="O14" s="33"/>
      <c r="P14" s="33"/>
      <c r="R14" s="32"/>
    </row>
    <row r="15" spans="1:18">
      <c r="A15" s="6" t="s">
        <v>269</v>
      </c>
      <c r="B15" s="37">
        <f t="shared" si="0"/>
        <v>13422.4324344343</v>
      </c>
      <c r="C15" s="33"/>
      <c r="D15" s="37">
        <f>IF( ISERROR(IND_rest_gas_kWh/1000),0,IND_rest_gas_kWh/1000)*0.902</f>
        <v>24514.083900491587</v>
      </c>
      <c r="E15" s="33">
        <f>C37*'E Balans VL '!I15/100/3.6*1000000</f>
        <v>741.13224091649363</v>
      </c>
      <c r="F15" s="33">
        <f>C37*'E Balans VL '!L15/100/3.6*1000000+C37*'E Balans VL '!N15/100/3.6*1000000</f>
        <v>2658.58212499808</v>
      </c>
      <c r="G15" s="34"/>
      <c r="H15" s="33"/>
      <c r="I15" s="33"/>
      <c r="J15" s="40">
        <f>C37*'E Balans VL '!D15/100/3.6*1000000+C37*'E Balans VL '!E15/100/3.6*1000000</f>
        <v>48.052052879295914</v>
      </c>
      <c r="K15" s="33"/>
      <c r="L15" s="33"/>
      <c r="M15" s="33"/>
      <c r="N15" s="33">
        <f>C37*'E Balans VL '!Y15/100/3.6*1000000</f>
        <v>942.18219954560095</v>
      </c>
      <c r="O15" s="33"/>
      <c r="P15" s="33"/>
      <c r="R15" s="32"/>
    </row>
    <row r="16" spans="1:18">
      <c r="A16" s="16" t="s">
        <v>487</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69604.152227847924</v>
      </c>
      <c r="C18" s="21">
        <f>C5+C16</f>
        <v>0</v>
      </c>
      <c r="D18" s="21">
        <f>MAX((D5+D16),0)</f>
        <v>62238.652325242787</v>
      </c>
      <c r="E18" s="21">
        <f>MAX((E5+E16),0)</f>
        <v>1678.8603791587434</v>
      </c>
      <c r="F18" s="21">
        <f>MAX((F5+F16),0)</f>
        <v>5645.7634246827511</v>
      </c>
      <c r="G18" s="21"/>
      <c r="H18" s="21"/>
      <c r="I18" s="21"/>
      <c r="J18" s="21">
        <f>MAX((J5+J16),0)</f>
        <v>48.29469243091247</v>
      </c>
      <c r="K18" s="21"/>
      <c r="L18" s="21">
        <f>MAX((L5+L16),0)</f>
        <v>0</v>
      </c>
      <c r="M18" s="21"/>
      <c r="N18" s="21">
        <f>MAX((N5+N16),0)</f>
        <v>2566.074979898156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0.13667833324245471</v>
      </c>
      <c r="C20" s="25">
        <f ca="1">'EF ele_warmte'!B22</f>
        <v>0.22120890952054703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9513.3795132563446</v>
      </c>
      <c r="C22" s="23">
        <f ca="1">C18*C20</f>
        <v>0</v>
      </c>
      <c r="D22" s="23">
        <f>D18*D20</f>
        <v>12572.207769699044</v>
      </c>
      <c r="E22" s="23">
        <f>E18*E20</f>
        <v>381.10130606903476</v>
      </c>
      <c r="F22" s="23">
        <f>F18*F20</f>
        <v>1507.4188343902947</v>
      </c>
      <c r="G22" s="23"/>
      <c r="H22" s="23"/>
      <c r="I22" s="23"/>
      <c r="J22" s="23">
        <f>J18*J20</f>
        <v>17.096321120543013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559.08184086764697</v>
      </c>
      <c r="C30" s="39">
        <f>IF(ISERROR(B30*3.6/1000000/'E Balans VL '!Z18*100),0,B30*3.6/1000000/'E Balans VL '!Z18*100)</f>
        <v>3.1684601501572582E-2</v>
      </c>
      <c r="D30" s="237" t="s">
        <v>744</v>
      </c>
    </row>
    <row r="31" spans="1:18">
      <c r="A31" s="6" t="s">
        <v>32</v>
      </c>
      <c r="B31" s="37">
        <f>IF( ISERROR(IND_ander_ele_kWh/1000),0,IND_ander_ele_kWh/1000)</f>
        <v>2737.0072758326401</v>
      </c>
      <c r="C31" s="39">
        <f>IF(ISERROR(B31*3.6/1000000/'E Balans VL '!Z19*100),0,B31*3.6/1000000/'E Balans VL '!Z19*100)</f>
        <v>0.12413925333182806</v>
      </c>
      <c r="D31" s="237" t="s">
        <v>744</v>
      </c>
    </row>
    <row r="32" spans="1:18">
      <c r="A32" s="171" t="s">
        <v>40</v>
      </c>
      <c r="B32" s="37">
        <f>IF( ISERROR(IND_voed_ele_kWh/1000),0,IND_voed_ele_kWh/1000)</f>
        <v>2341.66445160183</v>
      </c>
      <c r="C32" s="39">
        <f>IF(ISERROR(B32*3.6/1000000/'E Balans VL '!Z20*100),0,B32*3.6/1000000/'E Balans VL '!Z20*100)</f>
        <v>7.243831174708372E-2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126.71084982862899</v>
      </c>
      <c r="C34" s="39">
        <f>IF(ISERROR(B34*3.6/1000000/'E Balans VL '!Z22*100),0,B34*3.6/1000000/'E Balans VL '!Z22*100)</f>
        <v>2.2791328551185909E-2</v>
      </c>
      <c r="D34" s="237" t="s">
        <v>744</v>
      </c>
    </row>
    <row r="35" spans="1:5">
      <c r="A35" s="171" t="s">
        <v>38</v>
      </c>
      <c r="B35" s="37">
        <f>IF( ISERROR(IND_papier_ele_kWh/1000),0,IND_papier_ele_kWh/1000)</f>
        <v>222.52410229227999</v>
      </c>
      <c r="C35" s="39">
        <f>IF(ISERROR(B35*3.6/1000000/'E Balans VL '!Z22*100),0,B35*3.6/1000000/'E Balans VL '!Z22*100)</f>
        <v>4.0025143330347818E-2</v>
      </c>
      <c r="D35" s="237" t="s">
        <v>744</v>
      </c>
    </row>
    <row r="36" spans="1:5">
      <c r="A36" s="171" t="s">
        <v>33</v>
      </c>
      <c r="B36" s="37">
        <f>IF( ISERROR(IND_chemie_ele_kWh/1000),0,IND_chemie_ele_kWh/1000)</f>
        <v>50194.731272990597</v>
      </c>
      <c r="C36" s="39">
        <f>IF(ISERROR(B36*3.6/1000000/'E Balans VL '!Z24*100),0,B36*3.6/1000000/'E Balans VL '!Z24*100)</f>
        <v>1.530639383673488</v>
      </c>
      <c r="D36" s="237" t="s">
        <v>744</v>
      </c>
    </row>
    <row r="37" spans="1:5">
      <c r="A37" s="171" t="s">
        <v>269</v>
      </c>
      <c r="B37" s="37">
        <f>IF( ISERROR(IND_rest_ele_kWh/1000),0,IND_rest_ele_kWh/1000)</f>
        <v>13422.4324344343</v>
      </c>
      <c r="C37" s="39">
        <f>IF(ISERROR(B37*3.6/1000000/'E Balans VL '!Z15*100),0,B37*3.6/1000000/'E Balans VL '!Z15*100)</f>
        <v>0.106389261357659</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4685.999672076804</v>
      </c>
      <c r="C5" s="17">
        <f>'Eigen informatie GS &amp; warmtenet'!B60</f>
        <v>0</v>
      </c>
      <c r="D5" s="30">
        <f>IF(ISERROR(SUM(LB_lb_gas_kWh,LB_rest_gas_kWh)/1000),0,SUM(LB_lb_gas_kWh,LB_rest_gas_kWh)/1000)*0.902</f>
        <v>6455.9963722527727</v>
      </c>
      <c r="E5" s="17">
        <f>B17*'E Balans VL '!I25/3.6*1000000/100</f>
        <v>137.73584305732848</v>
      </c>
      <c r="F5" s="17">
        <f>B17*('E Balans VL '!L25/3.6*1000000+'E Balans VL '!N25/3.6*1000000)/100</f>
        <v>19521.621415740516</v>
      </c>
      <c r="G5" s="18"/>
      <c r="H5" s="17"/>
      <c r="I5" s="17"/>
      <c r="J5" s="17">
        <f>('E Balans VL '!D25+'E Balans VL '!E25)/3.6*1000000*landbouw!B17/100</f>
        <v>678.90071948903642</v>
      </c>
      <c r="K5" s="17"/>
      <c r="L5" s="17">
        <f>L6*(-1)</f>
        <v>0</v>
      </c>
      <c r="M5" s="17"/>
      <c r="N5" s="17">
        <f>N6*(-1)</f>
        <v>374.14285714285711</v>
      </c>
      <c r="O5" s="17"/>
      <c r="P5" s="17"/>
      <c r="R5" s="32"/>
    </row>
    <row r="6" spans="1:18">
      <c r="A6" s="16" t="s">
        <v>487</v>
      </c>
      <c r="B6" s="17" t="s">
        <v>210</v>
      </c>
      <c r="C6" s="17">
        <f>'lokale energieproductie'!O42+'lokale energieproductie'!O35</f>
        <v>2623.5</v>
      </c>
      <c r="D6" s="308">
        <f>('lokale energieproductie'!P35+'lokale energieproductie'!P42)*(-1)</f>
        <v>-4872.8571428571431</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4685.999672076804</v>
      </c>
      <c r="C8" s="21">
        <f>C5+C6</f>
        <v>2623.5</v>
      </c>
      <c r="D8" s="21">
        <f>MAX((D5+D6),0)</f>
        <v>1583.1392293956296</v>
      </c>
      <c r="E8" s="21">
        <f>MAX((E5+E6),0)</f>
        <v>137.73584305732848</v>
      </c>
      <c r="F8" s="21">
        <f>MAX((F5+F6),0)</f>
        <v>19521.621415740516</v>
      </c>
      <c r="G8" s="21"/>
      <c r="H8" s="21"/>
      <c r="I8" s="21"/>
      <c r="J8" s="21">
        <f>MAX((J5+J6),0)</f>
        <v>678.90071948903642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0.13667833324245471</v>
      </c>
      <c r="C10" s="31">
        <f ca="1">'EF ele_warmte'!B22</f>
        <v>0.22120890952054703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640.47462475414693</v>
      </c>
      <c r="C12" s="23">
        <f ca="1">C8*C10</f>
        <v>580.34157412715513</v>
      </c>
      <c r="D12" s="23">
        <f>D8*D10</f>
        <v>319.7941243379172</v>
      </c>
      <c r="E12" s="23">
        <f>E8*E10</f>
        <v>31.266036374013567</v>
      </c>
      <c r="F12" s="23">
        <f>F8*F10</f>
        <v>5212.2729180027181</v>
      </c>
      <c r="G12" s="23"/>
      <c r="H12" s="23"/>
      <c r="I12" s="23"/>
      <c r="J12" s="23">
        <f>J8*J10</f>
        <v>240.33085469911887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0.6649580553433081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928.15228910096937</v>
      </c>
      <c r="C26" s="247">
        <f>B26*'GWP N2O_CH4'!B5</f>
        <v>19491.198071120358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302.18678197371042</v>
      </c>
      <c r="C27" s="247">
        <f>B27*'GWP N2O_CH4'!B5</f>
        <v>6345.9224214479191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11.453398426727315</v>
      </c>
      <c r="C28" s="247">
        <f>B28*'GWP N2O_CH4'!B4</f>
        <v>3550.5535122854676</v>
      </c>
      <c r="D28" s="50"/>
    </row>
    <row r="29" spans="1:4">
      <c r="A29" s="41" t="s">
        <v>276</v>
      </c>
      <c r="B29" s="247">
        <f>B34*'ha_N2O bodem landbouw'!B4</f>
        <v>27.736558198164012</v>
      </c>
      <c r="C29" s="247">
        <f>B29*'GWP N2O_CH4'!B4</f>
        <v>8598.3330414308439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6.3293869963892049E-3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2.1304974219867761E-4</v>
      </c>
      <c r="C5" s="437" t="s">
        <v>210</v>
      </c>
      <c r="D5" s="422">
        <f>SUM(D6:D11)</f>
        <v>6.413970450417656E-4</v>
      </c>
      <c r="E5" s="422">
        <f>SUM(E6:E11)</f>
        <v>1.0771166453669423E-3</v>
      </c>
      <c r="F5" s="435" t="s">
        <v>210</v>
      </c>
      <c r="G5" s="422">
        <f>SUM(G6:G11)</f>
        <v>0.47793377548524152</v>
      </c>
      <c r="H5" s="422">
        <f>SUM(H6:H11)</f>
        <v>0.10794094357182674</v>
      </c>
      <c r="I5" s="437" t="s">
        <v>210</v>
      </c>
      <c r="J5" s="437" t="s">
        <v>210</v>
      </c>
      <c r="K5" s="437" t="s">
        <v>210</v>
      </c>
      <c r="L5" s="437" t="s">
        <v>210</v>
      </c>
      <c r="M5" s="422">
        <f>SUM(M6:M11)</f>
        <v>3.1101313022892714E-2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1.4674981277153749E-4</v>
      </c>
      <c r="C6" s="423"/>
      <c r="D6" s="865">
        <f>vkm_GW_PW*SUMIFS(TableVerdeelsleutelVkm[CNG],TableVerdeelsleutelVkm[Voertuigtype],"Lichte voertuigen")*SUMIFS(TableECFTransport[EnergieConsumptieFactor (PJ per km)],TableECFTransport[Index],CONCATENATE($A6,"_CNG_CNG"))</f>
        <v>3.6368186772566766E-4</v>
      </c>
      <c r="E6" s="865">
        <f>vkm_GW_PW*SUMIFS(TableVerdeelsleutelVkm[LPG],TableVerdeelsleutelVkm[Voertuigtype],"Lichte voertuigen")*SUMIFS(TableECFTransport[EnergieConsumptieFactor (PJ per km)],TableECFTransport[Index],CONCATENATE($A6,"_LPG_LPG"))</f>
        <v>6.2435095049799311E-4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0.19131019803093807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6.1791068578581694E-2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1.2996565731044012E-2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0.12857457345874904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2.1508187399157287E-6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7.512040944017041E-3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6.6299929427140106E-5</v>
      </c>
      <c r="C8" s="423"/>
      <c r="D8" s="425">
        <f>vkm_NGW_PW*SUMIFS(TableVerdeelsleutelVkm[CNG],TableVerdeelsleutelVkm[Voertuigtype],"Lichte voertuigen")*SUMIFS(TableECFTransport[EnergieConsumptieFactor (PJ per km)],TableECFTransport[Index],CONCATENATE($A8,"_CNG_CNG"))</f>
        <v>2.7771517731609794E-4</v>
      </c>
      <c r="E8" s="425">
        <f>vkm_NGW_PW*SUMIFS(TableVerdeelsleutelVkm[LPG],TableVerdeelsleutelVkm[Voertuigtype],"Lichte voertuigen")*SUMIFS(TableECFTransport[EnergieConsumptieFactor (PJ per km)],TableECFTransport[Index],CONCATENATE($A8,"_LPG_LPG"))</f>
        <v>4.5276569486894921E-4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0.13049781919525758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4.6147156428842893E-2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8.9830099106305763E-3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2.7551184800296842E-2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5.677456622288552E-7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1.6096964372010814E-3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59.180483944077118</v>
      </c>
      <c r="C14" s="21"/>
      <c r="D14" s="21">
        <f t="shared" ref="D14:M14" si="0">((D5)*10^9/3600)+D12</f>
        <v>178.16584584493486</v>
      </c>
      <c r="E14" s="21">
        <f t="shared" si="0"/>
        <v>299.19906815748396</v>
      </c>
      <c r="F14" s="21"/>
      <c r="G14" s="21">
        <f t="shared" si="0"/>
        <v>132759.38207923376</v>
      </c>
      <c r="H14" s="21">
        <f t="shared" si="0"/>
        <v>29983.59543661854</v>
      </c>
      <c r="I14" s="21"/>
      <c r="J14" s="21"/>
      <c r="K14" s="21"/>
      <c r="L14" s="21"/>
      <c r="M14" s="21">
        <f t="shared" si="0"/>
        <v>8639.2536174701982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0.13667833324245471</v>
      </c>
      <c r="C16" s="56">
        <f ca="1">'EF ele_warmte'!B22</f>
        <v>0.22120890952054703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8.0886899059583133</v>
      </c>
      <c r="C18" s="23"/>
      <c r="D18" s="23">
        <f t="shared" ref="D18:M18" si="1">D14*D16</f>
        <v>35.989500860676841</v>
      </c>
      <c r="E18" s="23">
        <f t="shared" si="1"/>
        <v>67.918188471748863</v>
      </c>
      <c r="F18" s="23"/>
      <c r="G18" s="23">
        <f t="shared" si="1"/>
        <v>35446.755015155417</v>
      </c>
      <c r="H18" s="23">
        <f t="shared" si="1"/>
        <v>7465.9152637180159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3.9081139200000002E-3</v>
      </c>
      <c r="C50" s="319">
        <f t="shared" ref="C50:P50" si="2">SUM(C51:C52)</f>
        <v>0</v>
      </c>
      <c r="D50" s="319">
        <f t="shared" si="2"/>
        <v>0</v>
      </c>
      <c r="E50" s="319">
        <f t="shared" si="2"/>
        <v>0</v>
      </c>
      <c r="F50" s="319">
        <f t="shared" si="2"/>
        <v>0</v>
      </c>
      <c r="G50" s="319">
        <f t="shared" si="2"/>
        <v>9.8395293597941108E-3</v>
      </c>
      <c r="H50" s="319">
        <f t="shared" si="2"/>
        <v>0</v>
      </c>
      <c r="I50" s="319">
        <f t="shared" si="2"/>
        <v>0</v>
      </c>
      <c r="J50" s="319">
        <f t="shared" si="2"/>
        <v>0</v>
      </c>
      <c r="K50" s="319">
        <f t="shared" si="2"/>
        <v>0</v>
      </c>
      <c r="L50" s="319">
        <f t="shared" si="2"/>
        <v>0</v>
      </c>
      <c r="M50" s="319">
        <f t="shared" si="2"/>
        <v>5.5879961584810018E-4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9.8395293597941108E-3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5.5879961584810018E-4</v>
      </c>
      <c r="N51" s="321"/>
      <c r="O51" s="321"/>
      <c r="P51" s="324"/>
    </row>
    <row r="52" spans="1:18">
      <c r="A52" s="4" t="s">
        <v>329</v>
      </c>
      <c r="B52" s="866">
        <f>vkm_tram*SUMIFS(TableECFTransport[EnergieConsumptieFactor (PJ per km)],TableECFTransport[Index],"Tram_gemiddeld_Electric_Electric")</f>
        <v>3.9081139200000002E-3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1085.5872000000002</v>
      </c>
      <c r="C54" s="21">
        <f t="shared" ref="C54:P54" si="3">(C50)*10^9/3600</f>
        <v>0</v>
      </c>
      <c r="D54" s="21">
        <f t="shared" si="3"/>
        <v>0</v>
      </c>
      <c r="E54" s="21">
        <f t="shared" si="3"/>
        <v>0</v>
      </c>
      <c r="F54" s="21">
        <f t="shared" si="3"/>
        <v>0</v>
      </c>
      <c r="G54" s="21">
        <f t="shared" si="3"/>
        <v>2733.2025999428083</v>
      </c>
      <c r="H54" s="21">
        <f t="shared" si="3"/>
        <v>0</v>
      </c>
      <c r="I54" s="21">
        <f t="shared" si="3"/>
        <v>0</v>
      </c>
      <c r="J54" s="21">
        <f t="shared" si="3"/>
        <v>0</v>
      </c>
      <c r="K54" s="21">
        <f t="shared" si="3"/>
        <v>0</v>
      </c>
      <c r="L54" s="21">
        <f t="shared" si="3"/>
        <v>0</v>
      </c>
      <c r="M54" s="21">
        <f t="shared" si="3"/>
        <v>155.22211551336116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0.13667833324245471</v>
      </c>
      <c r="C56" s="56">
        <f ca="1">'EF ele_warmte'!B22</f>
        <v>0.22120890952054703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148.37624908534335</v>
      </c>
      <c r="C58" s="23">
        <f t="shared" ref="C58:P58" ca="1" si="4">C54*C56</f>
        <v>0</v>
      </c>
      <c r="D58" s="23">
        <f t="shared" si="4"/>
        <v>0</v>
      </c>
      <c r="E58" s="23">
        <f t="shared" si="4"/>
        <v>0</v>
      </c>
      <c r="F58" s="23">
        <f t="shared" si="4"/>
        <v>0</v>
      </c>
      <c r="G58" s="23">
        <f t="shared" si="4"/>
        <v>729.76509418472983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44472.14356815732</v>
      </c>
      <c r="D10" s="979">
        <f ca="1">tertiair!C16</f>
        <v>81</v>
      </c>
      <c r="E10" s="979">
        <f ca="1">tertiair!D16</f>
        <v>55820.197046327819</v>
      </c>
      <c r="F10" s="979">
        <f>tertiair!E16</f>
        <v>632.35011626217317</v>
      </c>
      <c r="G10" s="979">
        <f ca="1">tertiair!F16</f>
        <v>7547.5631630885491</v>
      </c>
      <c r="H10" s="979">
        <f>tertiair!G16</f>
        <v>0</v>
      </c>
      <c r="I10" s="979">
        <f>tertiair!H16</f>
        <v>0</v>
      </c>
      <c r="J10" s="979">
        <f>tertiair!I16</f>
        <v>0</v>
      </c>
      <c r="K10" s="979">
        <f>tertiair!J16</f>
        <v>0.1151432462510785</v>
      </c>
      <c r="L10" s="979">
        <f>tertiair!K16</f>
        <v>0</v>
      </c>
      <c r="M10" s="979">
        <f ca="1">tertiair!L16</f>
        <v>0</v>
      </c>
      <c r="N10" s="979">
        <f>tertiair!M16</f>
        <v>0</v>
      </c>
      <c r="O10" s="979">
        <f ca="1">tertiair!N16</f>
        <v>4585.0877556600944</v>
      </c>
      <c r="P10" s="979">
        <f>tertiair!O16</f>
        <v>15.633333333333333</v>
      </c>
      <c r="Q10" s="980">
        <f>tertiair!P16</f>
        <v>76.266666666666666</v>
      </c>
      <c r="R10" s="674">
        <f ca="1">SUM(C10:Q10)</f>
        <v>113230.3567927422</v>
      </c>
      <c r="S10" s="67"/>
    </row>
    <row r="11" spans="1:19" s="447" customFormat="1">
      <c r="A11" s="783" t="s">
        <v>224</v>
      </c>
      <c r="B11" s="788"/>
      <c r="C11" s="979">
        <f>huishoudens!B8</f>
        <v>66351.661618995335</v>
      </c>
      <c r="D11" s="979">
        <f>huishoudens!C8</f>
        <v>0</v>
      </c>
      <c r="E11" s="979">
        <f>huishoudens!D8</f>
        <v>113466.0237409761</v>
      </c>
      <c r="F11" s="979">
        <f>huishoudens!E8</f>
        <v>25931.167453611484</v>
      </c>
      <c r="G11" s="979">
        <f>huishoudens!F8</f>
        <v>28560.87057656045</v>
      </c>
      <c r="H11" s="979">
        <f>huishoudens!G8</f>
        <v>0</v>
      </c>
      <c r="I11" s="979">
        <f>huishoudens!H8</f>
        <v>0</v>
      </c>
      <c r="J11" s="979">
        <f>huishoudens!I8</f>
        <v>0</v>
      </c>
      <c r="K11" s="979">
        <f>huishoudens!J8</f>
        <v>0</v>
      </c>
      <c r="L11" s="979">
        <f>huishoudens!K8</f>
        <v>0</v>
      </c>
      <c r="M11" s="979">
        <f>huishoudens!L8</f>
        <v>0</v>
      </c>
      <c r="N11" s="979">
        <f>huishoudens!M8</f>
        <v>0</v>
      </c>
      <c r="O11" s="979">
        <f>huishoudens!N8</f>
        <v>36323.820434523521</v>
      </c>
      <c r="P11" s="979">
        <f>huishoudens!O8</f>
        <v>723.82333333333338</v>
      </c>
      <c r="Q11" s="980">
        <f>huishoudens!P8</f>
        <v>2154.5333333333333</v>
      </c>
      <c r="R11" s="674">
        <f>SUM(C11:Q11)</f>
        <v>273511.90049133351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69604.152227847924</v>
      </c>
      <c r="D13" s="979">
        <f>industrie!C18</f>
        <v>0</v>
      </c>
      <c r="E13" s="979">
        <f>industrie!D18</f>
        <v>62238.652325242787</v>
      </c>
      <c r="F13" s="979">
        <f>industrie!E18</f>
        <v>1678.8603791587434</v>
      </c>
      <c r="G13" s="979">
        <f>industrie!F18</f>
        <v>5645.7634246827511</v>
      </c>
      <c r="H13" s="979">
        <f>industrie!G18</f>
        <v>0</v>
      </c>
      <c r="I13" s="979">
        <f>industrie!H18</f>
        <v>0</v>
      </c>
      <c r="J13" s="979">
        <f>industrie!I18</f>
        <v>0</v>
      </c>
      <c r="K13" s="979">
        <f>industrie!J18</f>
        <v>48.29469243091247</v>
      </c>
      <c r="L13" s="979">
        <f>industrie!K18</f>
        <v>0</v>
      </c>
      <c r="M13" s="979">
        <f>industrie!L18</f>
        <v>0</v>
      </c>
      <c r="N13" s="979">
        <f>industrie!M18</f>
        <v>0</v>
      </c>
      <c r="O13" s="979">
        <f>industrie!N18</f>
        <v>2566.074979898156</v>
      </c>
      <c r="P13" s="979">
        <f>industrie!O18</f>
        <v>0</v>
      </c>
      <c r="Q13" s="980">
        <f>industrie!P18</f>
        <v>0</v>
      </c>
      <c r="R13" s="674">
        <f>SUM(C13:Q13)</f>
        <v>141781.79802926129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180427.95741500059</v>
      </c>
      <c r="D16" s="706">
        <f t="shared" ref="D16:R16" ca="1" si="0">SUM(D9:D15)</f>
        <v>81</v>
      </c>
      <c r="E16" s="706">
        <f t="shared" ca="1" si="0"/>
        <v>231524.87311254672</v>
      </c>
      <c r="F16" s="706">
        <f t="shared" si="0"/>
        <v>28242.377949032401</v>
      </c>
      <c r="G16" s="706">
        <f t="shared" ca="1" si="0"/>
        <v>41754.197164331752</v>
      </c>
      <c r="H16" s="706">
        <f t="shared" si="0"/>
        <v>0</v>
      </c>
      <c r="I16" s="706">
        <f t="shared" si="0"/>
        <v>0</v>
      </c>
      <c r="J16" s="706">
        <f t="shared" si="0"/>
        <v>0</v>
      </c>
      <c r="K16" s="706">
        <f t="shared" si="0"/>
        <v>48.409835677163549</v>
      </c>
      <c r="L16" s="706">
        <f t="shared" si="0"/>
        <v>0</v>
      </c>
      <c r="M16" s="706">
        <f t="shared" ca="1" si="0"/>
        <v>0</v>
      </c>
      <c r="N16" s="706">
        <f t="shared" si="0"/>
        <v>0</v>
      </c>
      <c r="O16" s="706">
        <f t="shared" ca="1" si="0"/>
        <v>43474.983170081774</v>
      </c>
      <c r="P16" s="706">
        <f t="shared" si="0"/>
        <v>739.45666666666671</v>
      </c>
      <c r="Q16" s="706">
        <f t="shared" si="0"/>
        <v>2230.8000000000002</v>
      </c>
      <c r="R16" s="706">
        <f t="shared" ca="1" si="0"/>
        <v>528524.05531333701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1085.5872000000002</v>
      </c>
      <c r="D19" s="979">
        <f>transport!C54</f>
        <v>0</v>
      </c>
      <c r="E19" s="979">
        <f>transport!D54</f>
        <v>0</v>
      </c>
      <c r="F19" s="979">
        <f>transport!E54</f>
        <v>0</v>
      </c>
      <c r="G19" s="979">
        <f>transport!F54</f>
        <v>0</v>
      </c>
      <c r="H19" s="979">
        <f>transport!G54</f>
        <v>2733.2025999428083</v>
      </c>
      <c r="I19" s="979">
        <f>transport!H54</f>
        <v>0</v>
      </c>
      <c r="J19" s="979">
        <f>transport!I54</f>
        <v>0</v>
      </c>
      <c r="K19" s="979">
        <f>transport!J54</f>
        <v>0</v>
      </c>
      <c r="L19" s="979">
        <f>transport!K54</f>
        <v>0</v>
      </c>
      <c r="M19" s="979">
        <f>transport!L54</f>
        <v>0</v>
      </c>
      <c r="N19" s="979">
        <f>transport!M54</f>
        <v>155.22211551336116</v>
      </c>
      <c r="O19" s="979">
        <f>transport!N54</f>
        <v>0</v>
      </c>
      <c r="P19" s="979">
        <f>transport!O54</f>
        <v>0</v>
      </c>
      <c r="Q19" s="980">
        <f>transport!P54</f>
        <v>0</v>
      </c>
      <c r="R19" s="674">
        <f>SUM(C19:Q19)</f>
        <v>3974.0119154561698</v>
      </c>
      <c r="S19" s="67"/>
    </row>
    <row r="20" spans="1:19" s="447" customFormat="1">
      <c r="A20" s="783" t="s">
        <v>306</v>
      </c>
      <c r="B20" s="788"/>
      <c r="C20" s="979">
        <f>transport!B14</f>
        <v>59.180483944077118</v>
      </c>
      <c r="D20" s="979">
        <f>transport!C14</f>
        <v>0</v>
      </c>
      <c r="E20" s="979">
        <f>transport!D14</f>
        <v>178.16584584493486</v>
      </c>
      <c r="F20" s="979">
        <f>transport!E14</f>
        <v>299.19906815748396</v>
      </c>
      <c r="G20" s="979">
        <f>transport!F14</f>
        <v>0</v>
      </c>
      <c r="H20" s="979">
        <f>transport!G14</f>
        <v>132759.38207923376</v>
      </c>
      <c r="I20" s="979">
        <f>transport!H14</f>
        <v>29983.59543661854</v>
      </c>
      <c r="J20" s="979">
        <f>transport!I14</f>
        <v>0</v>
      </c>
      <c r="K20" s="979">
        <f>transport!J14</f>
        <v>0</v>
      </c>
      <c r="L20" s="979">
        <f>transport!K14</f>
        <v>0</v>
      </c>
      <c r="M20" s="979">
        <f>transport!L14</f>
        <v>0</v>
      </c>
      <c r="N20" s="979">
        <f>transport!M14</f>
        <v>8639.2536174701982</v>
      </c>
      <c r="O20" s="979">
        <f>transport!N14</f>
        <v>0</v>
      </c>
      <c r="P20" s="979">
        <f>transport!O14</f>
        <v>0</v>
      </c>
      <c r="Q20" s="980">
        <f>transport!P14</f>
        <v>0</v>
      </c>
      <c r="R20" s="674">
        <f>SUM(C20:Q20)</f>
        <v>171918.77653126902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1144.7676839440774</v>
      </c>
      <c r="D22" s="786">
        <f t="shared" ref="D22:R22" si="1">SUM(D18:D21)</f>
        <v>0</v>
      </c>
      <c r="E22" s="786">
        <f t="shared" si="1"/>
        <v>178.16584584493486</v>
      </c>
      <c r="F22" s="786">
        <f t="shared" si="1"/>
        <v>299.19906815748396</v>
      </c>
      <c r="G22" s="786">
        <f t="shared" si="1"/>
        <v>0</v>
      </c>
      <c r="H22" s="786">
        <f t="shared" si="1"/>
        <v>135492.58467917657</v>
      </c>
      <c r="I22" s="786">
        <f t="shared" si="1"/>
        <v>29983.59543661854</v>
      </c>
      <c r="J22" s="786">
        <f t="shared" si="1"/>
        <v>0</v>
      </c>
      <c r="K22" s="786">
        <f t="shared" si="1"/>
        <v>0</v>
      </c>
      <c r="L22" s="786">
        <f t="shared" si="1"/>
        <v>0</v>
      </c>
      <c r="M22" s="786">
        <f t="shared" si="1"/>
        <v>0</v>
      </c>
      <c r="N22" s="786">
        <f t="shared" si="1"/>
        <v>8794.4757329835593</v>
      </c>
      <c r="O22" s="786">
        <f t="shared" si="1"/>
        <v>0</v>
      </c>
      <c r="P22" s="786">
        <f t="shared" si="1"/>
        <v>0</v>
      </c>
      <c r="Q22" s="786">
        <f t="shared" si="1"/>
        <v>0</v>
      </c>
      <c r="R22" s="786">
        <f t="shared" si="1"/>
        <v>175892.7884467252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4685.999672076804</v>
      </c>
      <c r="D24" s="979">
        <f>+landbouw!C8</f>
        <v>2623.5</v>
      </c>
      <c r="E24" s="979">
        <f>+landbouw!D8</f>
        <v>1583.1392293956296</v>
      </c>
      <c r="F24" s="979">
        <f>+landbouw!E8</f>
        <v>137.73584305732848</v>
      </c>
      <c r="G24" s="979">
        <f>+landbouw!F8</f>
        <v>19521.621415740516</v>
      </c>
      <c r="H24" s="979">
        <f>+landbouw!G8</f>
        <v>0</v>
      </c>
      <c r="I24" s="979">
        <f>+landbouw!H8</f>
        <v>0</v>
      </c>
      <c r="J24" s="979">
        <f>+landbouw!I8</f>
        <v>0</v>
      </c>
      <c r="K24" s="979">
        <f>+landbouw!J8</f>
        <v>678.90071948903642</v>
      </c>
      <c r="L24" s="979">
        <f>+landbouw!K8</f>
        <v>0</v>
      </c>
      <c r="M24" s="979">
        <f>+landbouw!L8</f>
        <v>0</v>
      </c>
      <c r="N24" s="979">
        <f>+landbouw!M8</f>
        <v>0</v>
      </c>
      <c r="O24" s="979">
        <f>+landbouw!N8</f>
        <v>0</v>
      </c>
      <c r="P24" s="979">
        <f>+landbouw!O8</f>
        <v>0</v>
      </c>
      <c r="Q24" s="980">
        <f>+landbouw!P8</f>
        <v>0</v>
      </c>
      <c r="R24" s="674">
        <f>SUM(C24:Q24)</f>
        <v>29230.896879759312</v>
      </c>
      <c r="S24" s="67"/>
    </row>
    <row r="25" spans="1:19" s="447" customFormat="1" ht="15" thickBot="1">
      <c r="A25" s="805" t="s">
        <v>823</v>
      </c>
      <c r="B25" s="982"/>
      <c r="C25" s="983">
        <f>IF(Onbekend_ele_kWh="---",0,Onbekend_ele_kWh)/1000+IF(REST_rest_ele_kWh="---",0,REST_rest_ele_kWh)/1000</f>
        <v>1494.1780478409</v>
      </c>
      <c r="D25" s="983"/>
      <c r="E25" s="983">
        <f>IF(onbekend_gas_kWh="---",0,onbekend_gas_kWh)/1000+IF(REST_rest_gas_kWh="---",0,REST_rest_gas_kWh)/1000</f>
        <v>3531.1915873755702</v>
      </c>
      <c r="F25" s="983"/>
      <c r="G25" s="983"/>
      <c r="H25" s="983"/>
      <c r="I25" s="983"/>
      <c r="J25" s="983"/>
      <c r="K25" s="983"/>
      <c r="L25" s="983"/>
      <c r="M25" s="983"/>
      <c r="N25" s="983"/>
      <c r="O25" s="983"/>
      <c r="P25" s="983"/>
      <c r="Q25" s="984"/>
      <c r="R25" s="674">
        <f>SUM(C25:Q25)</f>
        <v>5025.3696352164698</v>
      </c>
      <c r="S25" s="67"/>
    </row>
    <row r="26" spans="1:19" s="447" customFormat="1" ht="15.75" thickBot="1">
      <c r="A26" s="679" t="s">
        <v>824</v>
      </c>
      <c r="B26" s="791"/>
      <c r="C26" s="786">
        <f>SUM(C24:C25)</f>
        <v>6180.1777199177041</v>
      </c>
      <c r="D26" s="786">
        <f t="shared" ref="D26:R26" si="2">SUM(D24:D25)</f>
        <v>2623.5</v>
      </c>
      <c r="E26" s="786">
        <f t="shared" si="2"/>
        <v>5114.3308167712003</v>
      </c>
      <c r="F26" s="786">
        <f t="shared" si="2"/>
        <v>137.73584305732848</v>
      </c>
      <c r="G26" s="786">
        <f t="shared" si="2"/>
        <v>19521.621415740516</v>
      </c>
      <c r="H26" s="786">
        <f t="shared" si="2"/>
        <v>0</v>
      </c>
      <c r="I26" s="786">
        <f t="shared" si="2"/>
        <v>0</v>
      </c>
      <c r="J26" s="786">
        <f t="shared" si="2"/>
        <v>0</v>
      </c>
      <c r="K26" s="786">
        <f t="shared" si="2"/>
        <v>678.90071948903642</v>
      </c>
      <c r="L26" s="786">
        <f t="shared" si="2"/>
        <v>0</v>
      </c>
      <c r="M26" s="786">
        <f t="shared" si="2"/>
        <v>0</v>
      </c>
      <c r="N26" s="786">
        <f t="shared" si="2"/>
        <v>0</v>
      </c>
      <c r="O26" s="786">
        <f t="shared" si="2"/>
        <v>0</v>
      </c>
      <c r="P26" s="786">
        <f t="shared" si="2"/>
        <v>0</v>
      </c>
      <c r="Q26" s="786">
        <f t="shared" si="2"/>
        <v>0</v>
      </c>
      <c r="R26" s="786">
        <f t="shared" si="2"/>
        <v>34256.266514975781</v>
      </c>
      <c r="S26" s="67"/>
    </row>
    <row r="27" spans="1:19" s="447" customFormat="1" ht="17.25" thickTop="1" thickBot="1">
      <c r="A27" s="680" t="s">
        <v>115</v>
      </c>
      <c r="B27" s="779"/>
      <c r="C27" s="681">
        <f ca="1">C22+C16+C26</f>
        <v>187752.90281886238</v>
      </c>
      <c r="D27" s="681">
        <f t="shared" ref="D27:R27" ca="1" si="3">D22+D16+D26</f>
        <v>2704.5</v>
      </c>
      <c r="E27" s="681">
        <f t="shared" ca="1" si="3"/>
        <v>236817.36977516284</v>
      </c>
      <c r="F27" s="681">
        <f t="shared" si="3"/>
        <v>28679.312860247213</v>
      </c>
      <c r="G27" s="681">
        <f t="shared" ca="1" si="3"/>
        <v>61275.818580072271</v>
      </c>
      <c r="H27" s="681">
        <f t="shared" si="3"/>
        <v>135492.58467917657</v>
      </c>
      <c r="I27" s="681">
        <f t="shared" si="3"/>
        <v>29983.59543661854</v>
      </c>
      <c r="J27" s="681">
        <f t="shared" si="3"/>
        <v>0</v>
      </c>
      <c r="K27" s="681">
        <f t="shared" si="3"/>
        <v>727.31055516619995</v>
      </c>
      <c r="L27" s="681">
        <f t="shared" si="3"/>
        <v>0</v>
      </c>
      <c r="M27" s="681">
        <f t="shared" ca="1" si="3"/>
        <v>0</v>
      </c>
      <c r="N27" s="681">
        <f t="shared" si="3"/>
        <v>8794.4757329835593</v>
      </c>
      <c r="O27" s="681">
        <f t="shared" ca="1" si="3"/>
        <v>43474.983170081774</v>
      </c>
      <c r="P27" s="681">
        <f t="shared" si="3"/>
        <v>739.45666666666671</v>
      </c>
      <c r="Q27" s="681">
        <f t="shared" si="3"/>
        <v>2230.8000000000002</v>
      </c>
      <c r="R27" s="681">
        <f t="shared" ca="1" si="3"/>
        <v>738673.11027503805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6078.378458614895</v>
      </c>
      <c r="D40" s="979">
        <f ca="1">tertiair!C20</f>
        <v>17.917921671164308</v>
      </c>
      <c r="E40" s="979">
        <f ca="1">tertiair!D20</f>
        <v>11275.67980335822</v>
      </c>
      <c r="F40" s="979">
        <f>tertiair!E20</f>
        <v>143.54347639151331</v>
      </c>
      <c r="G40" s="979">
        <f ca="1">tertiair!F20</f>
        <v>2015.1993645446428</v>
      </c>
      <c r="H40" s="979">
        <f>tertiair!G20</f>
        <v>0</v>
      </c>
      <c r="I40" s="979">
        <f>tertiair!H20</f>
        <v>0</v>
      </c>
      <c r="J40" s="979">
        <f>tertiair!I20</f>
        <v>0</v>
      </c>
      <c r="K40" s="979">
        <f>tertiair!J20</f>
        <v>4.0760709172881784E-2</v>
      </c>
      <c r="L40" s="979">
        <f>tertiair!K20</f>
        <v>0</v>
      </c>
      <c r="M40" s="979">
        <f ca="1">tertiair!L20</f>
        <v>0</v>
      </c>
      <c r="N40" s="979">
        <f>tertiair!M20</f>
        <v>0</v>
      </c>
      <c r="O40" s="979">
        <f ca="1">tertiair!N20</f>
        <v>0</v>
      </c>
      <c r="P40" s="979">
        <f>tertiair!O20</f>
        <v>0</v>
      </c>
      <c r="Q40" s="748">
        <f>tertiair!P20</f>
        <v>0</v>
      </c>
      <c r="R40" s="824">
        <f t="shared" ca="1" si="4"/>
        <v>19530.759785289607</v>
      </c>
    </row>
    <row r="41" spans="1:18">
      <c r="A41" s="796" t="s">
        <v>224</v>
      </c>
      <c r="B41" s="803"/>
      <c r="C41" s="979">
        <f ca="1">huishoudens!B12</f>
        <v>9068.8345179516364</v>
      </c>
      <c r="D41" s="979">
        <f ca="1">huishoudens!C12</f>
        <v>0</v>
      </c>
      <c r="E41" s="979">
        <f>huishoudens!D12</f>
        <v>22920.136795677176</v>
      </c>
      <c r="F41" s="979">
        <f>huishoudens!E12</f>
        <v>5886.375011969807</v>
      </c>
      <c r="G41" s="979">
        <f>huishoudens!F12</f>
        <v>7625.7524439416402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45501.098769540258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9513.3795132563446</v>
      </c>
      <c r="D43" s="979">
        <f ca="1">industrie!C22</f>
        <v>0</v>
      </c>
      <c r="E43" s="979">
        <f>industrie!D22</f>
        <v>12572.207769699044</v>
      </c>
      <c r="F43" s="979">
        <f>industrie!E22</f>
        <v>381.10130606903476</v>
      </c>
      <c r="G43" s="979">
        <f>industrie!F22</f>
        <v>1507.4188343902947</v>
      </c>
      <c r="H43" s="979">
        <f>industrie!G22</f>
        <v>0</v>
      </c>
      <c r="I43" s="979">
        <f>industrie!H22</f>
        <v>0</v>
      </c>
      <c r="J43" s="979">
        <f>industrie!I22</f>
        <v>0</v>
      </c>
      <c r="K43" s="979">
        <f>industrie!J22</f>
        <v>17.096321120543013</v>
      </c>
      <c r="L43" s="979">
        <f>industrie!K22</f>
        <v>0</v>
      </c>
      <c r="M43" s="979">
        <f>industrie!L22</f>
        <v>0</v>
      </c>
      <c r="N43" s="979">
        <f>industrie!M22</f>
        <v>0</v>
      </c>
      <c r="O43" s="979">
        <f>industrie!N22</f>
        <v>0</v>
      </c>
      <c r="P43" s="979">
        <f>industrie!O22</f>
        <v>0</v>
      </c>
      <c r="Q43" s="748">
        <f>industrie!P22</f>
        <v>0</v>
      </c>
      <c r="R43" s="823">
        <f t="shared" ca="1" si="4"/>
        <v>23991.203744535258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24660.592489822877</v>
      </c>
      <c r="D46" s="706">
        <f t="shared" ref="D46:Q46" ca="1" si="5">SUM(D39:D45)</f>
        <v>17.917921671164308</v>
      </c>
      <c r="E46" s="706">
        <f t="shared" ca="1" si="5"/>
        <v>46768.024368734441</v>
      </c>
      <c r="F46" s="706">
        <f t="shared" si="5"/>
        <v>6411.0197944303554</v>
      </c>
      <c r="G46" s="706">
        <f t="shared" ca="1" si="5"/>
        <v>11148.370642876578</v>
      </c>
      <c r="H46" s="706">
        <f t="shared" si="5"/>
        <v>0</v>
      </c>
      <c r="I46" s="706">
        <f t="shared" si="5"/>
        <v>0</v>
      </c>
      <c r="J46" s="706">
        <f t="shared" si="5"/>
        <v>0</v>
      </c>
      <c r="K46" s="706">
        <f t="shared" si="5"/>
        <v>17.137081829715896</v>
      </c>
      <c r="L46" s="706">
        <f t="shared" si="5"/>
        <v>0</v>
      </c>
      <c r="M46" s="706">
        <f t="shared" ca="1" si="5"/>
        <v>0</v>
      </c>
      <c r="N46" s="706">
        <f t="shared" si="5"/>
        <v>0</v>
      </c>
      <c r="O46" s="706">
        <f t="shared" ca="1" si="5"/>
        <v>0</v>
      </c>
      <c r="P46" s="706">
        <f t="shared" si="5"/>
        <v>0</v>
      </c>
      <c r="Q46" s="706">
        <f t="shared" si="5"/>
        <v>0</v>
      </c>
      <c r="R46" s="706">
        <f ca="1">SUM(R39:R45)</f>
        <v>89023.06229936512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148.37624908534335</v>
      </c>
      <c r="D49" s="979">
        <f ca="1">transport!C58</f>
        <v>0</v>
      </c>
      <c r="E49" s="979">
        <f>transport!D58</f>
        <v>0</v>
      </c>
      <c r="F49" s="979">
        <f>transport!E58</f>
        <v>0</v>
      </c>
      <c r="G49" s="979">
        <f>transport!F58</f>
        <v>0</v>
      </c>
      <c r="H49" s="979">
        <f>transport!G58</f>
        <v>729.76509418472983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878.14134327007321</v>
      </c>
    </row>
    <row r="50" spans="1:18">
      <c r="A50" s="799" t="s">
        <v>306</v>
      </c>
      <c r="B50" s="809"/>
      <c r="C50" s="677">
        <f ca="1">transport!B18</f>
        <v>8.0886899059583133</v>
      </c>
      <c r="D50" s="677">
        <f>transport!C18</f>
        <v>0</v>
      </c>
      <c r="E50" s="677">
        <f>transport!D18</f>
        <v>35.989500860676841</v>
      </c>
      <c r="F50" s="677">
        <f>transport!E18</f>
        <v>67.918188471748863</v>
      </c>
      <c r="G50" s="677">
        <f>transport!F18</f>
        <v>0</v>
      </c>
      <c r="H50" s="677">
        <f>transport!G18</f>
        <v>35446.755015155417</v>
      </c>
      <c r="I50" s="677">
        <f>transport!H18</f>
        <v>7465.9152637180159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43024.666658111819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156.46493899130166</v>
      </c>
      <c r="D52" s="706">
        <f t="shared" ref="D52:Q52" ca="1" si="6">SUM(D48:D51)</f>
        <v>0</v>
      </c>
      <c r="E52" s="706">
        <f t="shared" si="6"/>
        <v>35.989500860676841</v>
      </c>
      <c r="F52" s="706">
        <f t="shared" si="6"/>
        <v>67.918188471748863</v>
      </c>
      <c r="G52" s="706">
        <f t="shared" si="6"/>
        <v>0</v>
      </c>
      <c r="H52" s="706">
        <f t="shared" si="6"/>
        <v>36176.520109340148</v>
      </c>
      <c r="I52" s="706">
        <f t="shared" si="6"/>
        <v>7465.9152637180159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43902.808001381891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640.47462475414693</v>
      </c>
      <c r="D54" s="677">
        <f ca="1">+landbouw!C12</f>
        <v>580.34157412715513</v>
      </c>
      <c r="E54" s="677">
        <f>+landbouw!D12</f>
        <v>319.7941243379172</v>
      </c>
      <c r="F54" s="677">
        <f>+landbouw!E12</f>
        <v>31.266036374013567</v>
      </c>
      <c r="G54" s="677">
        <f>+landbouw!F12</f>
        <v>5212.2729180027181</v>
      </c>
      <c r="H54" s="677">
        <f>+landbouw!G12</f>
        <v>0</v>
      </c>
      <c r="I54" s="677">
        <f>+landbouw!H12</f>
        <v>0</v>
      </c>
      <c r="J54" s="677">
        <f>+landbouw!I12</f>
        <v>0</v>
      </c>
      <c r="K54" s="677">
        <f>+landbouw!J12</f>
        <v>240.33085469911887</v>
      </c>
      <c r="L54" s="677">
        <f>+landbouw!K12</f>
        <v>0</v>
      </c>
      <c r="M54" s="677">
        <f>+landbouw!L12</f>
        <v>0</v>
      </c>
      <c r="N54" s="677">
        <f>+landbouw!M12</f>
        <v>0</v>
      </c>
      <c r="O54" s="677">
        <f>+landbouw!N12</f>
        <v>0</v>
      </c>
      <c r="P54" s="677">
        <f>+landbouw!O12</f>
        <v>0</v>
      </c>
      <c r="Q54" s="678">
        <f>+landbouw!P12</f>
        <v>0</v>
      </c>
      <c r="R54" s="705">
        <f ca="1">SUM(C54:Q54)</f>
        <v>7024.4801322950707</v>
      </c>
    </row>
    <row r="55" spans="1:18" ht="15" thickBot="1">
      <c r="A55" s="799" t="s">
        <v>823</v>
      </c>
      <c r="B55" s="809"/>
      <c r="C55" s="677">
        <f ca="1">C25*'EF ele_warmte'!B12</f>
        <v>204.22176514635896</v>
      </c>
      <c r="D55" s="677"/>
      <c r="E55" s="677">
        <f>E25*EF_CO2_aardgas</f>
        <v>713.30070064986523</v>
      </c>
      <c r="F55" s="677"/>
      <c r="G55" s="677"/>
      <c r="H55" s="677"/>
      <c r="I55" s="677"/>
      <c r="J55" s="677"/>
      <c r="K55" s="677"/>
      <c r="L55" s="677"/>
      <c r="M55" s="677"/>
      <c r="N55" s="677"/>
      <c r="O55" s="677"/>
      <c r="P55" s="677"/>
      <c r="Q55" s="678"/>
      <c r="R55" s="705">
        <f ca="1">SUM(C55:Q55)</f>
        <v>917.5224657962242</v>
      </c>
    </row>
    <row r="56" spans="1:18" ht="15.75" thickBot="1">
      <c r="A56" s="797" t="s">
        <v>824</v>
      </c>
      <c r="B56" s="810"/>
      <c r="C56" s="706">
        <f ca="1">SUM(C54:C55)</f>
        <v>844.69638990050589</v>
      </c>
      <c r="D56" s="706">
        <f t="shared" ref="D56:Q56" ca="1" si="7">SUM(D54:D55)</f>
        <v>580.34157412715513</v>
      </c>
      <c r="E56" s="706">
        <f t="shared" si="7"/>
        <v>1033.0948249877824</v>
      </c>
      <c r="F56" s="706">
        <f t="shared" si="7"/>
        <v>31.266036374013567</v>
      </c>
      <c r="G56" s="706">
        <f t="shared" si="7"/>
        <v>5212.2729180027181</v>
      </c>
      <c r="H56" s="706">
        <f t="shared" si="7"/>
        <v>0</v>
      </c>
      <c r="I56" s="706">
        <f t="shared" si="7"/>
        <v>0</v>
      </c>
      <c r="J56" s="706">
        <f t="shared" si="7"/>
        <v>0</v>
      </c>
      <c r="K56" s="706">
        <f t="shared" si="7"/>
        <v>240.33085469911887</v>
      </c>
      <c r="L56" s="706">
        <f t="shared" si="7"/>
        <v>0</v>
      </c>
      <c r="M56" s="706">
        <f t="shared" si="7"/>
        <v>0</v>
      </c>
      <c r="N56" s="706">
        <f t="shared" si="7"/>
        <v>0</v>
      </c>
      <c r="O56" s="706">
        <f t="shared" si="7"/>
        <v>0</v>
      </c>
      <c r="P56" s="706">
        <f t="shared" si="7"/>
        <v>0</v>
      </c>
      <c r="Q56" s="707">
        <f t="shared" si="7"/>
        <v>0</v>
      </c>
      <c r="R56" s="708">
        <f ca="1">SUM(R54:R55)</f>
        <v>7942.0025980912951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25661.753818714686</v>
      </c>
      <c r="D61" s="714">
        <f t="shared" ref="D61:Q61" ca="1" si="8">D46+D52+D56</f>
        <v>598.25949579831945</v>
      </c>
      <c r="E61" s="714">
        <f t="shared" ca="1" si="8"/>
        <v>47837.108694582901</v>
      </c>
      <c r="F61" s="714">
        <f t="shared" si="8"/>
        <v>6510.2040192761178</v>
      </c>
      <c r="G61" s="714">
        <f t="shared" ca="1" si="8"/>
        <v>16360.643560879296</v>
      </c>
      <c r="H61" s="714">
        <f t="shared" si="8"/>
        <v>36176.520109340148</v>
      </c>
      <c r="I61" s="714">
        <f t="shared" si="8"/>
        <v>7465.9152637180159</v>
      </c>
      <c r="J61" s="714">
        <f t="shared" si="8"/>
        <v>0</v>
      </c>
      <c r="K61" s="714">
        <f t="shared" si="8"/>
        <v>257.4679365288348</v>
      </c>
      <c r="L61" s="714">
        <f t="shared" si="8"/>
        <v>0</v>
      </c>
      <c r="M61" s="714">
        <f t="shared" ca="1" si="8"/>
        <v>0</v>
      </c>
      <c r="N61" s="714">
        <f t="shared" si="8"/>
        <v>0</v>
      </c>
      <c r="O61" s="714">
        <f t="shared" ca="1" si="8"/>
        <v>0</v>
      </c>
      <c r="P61" s="714">
        <f t="shared" si="8"/>
        <v>0</v>
      </c>
      <c r="Q61" s="714">
        <f t="shared" si="8"/>
        <v>0</v>
      </c>
      <c r="R61" s="714">
        <f ca="1">R46+R52+R56</f>
        <v>140867.87289883831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0.13667833324245471</v>
      </c>
      <c r="D63" s="755">
        <f t="shared" ca="1" si="9"/>
        <v>0.22120890952054703</v>
      </c>
      <c r="E63" s="990">
        <f t="shared" ca="1" si="9"/>
        <v>0.20200000000000004</v>
      </c>
      <c r="F63" s="755">
        <f t="shared" si="9"/>
        <v>0.22700000000000001</v>
      </c>
      <c r="G63" s="755">
        <f t="shared" ca="1" si="9"/>
        <v>0.26700000000000002</v>
      </c>
      <c r="H63" s="755">
        <f t="shared" si="9"/>
        <v>0.26700000000000002</v>
      </c>
      <c r="I63" s="755">
        <f t="shared" si="9"/>
        <v>0.24899999999999997</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46678.344194400539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24959.815087557483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130.94999999999999</v>
      </c>
      <c r="C76" s="724">
        <f>'lokale energieproductie'!B8*IFERROR(SUM(D76:H76)/SUM(D76:O76),0)</f>
        <v>1762.2</v>
      </c>
      <c r="D76" s="1000">
        <f>'lokale energieproductie'!C8</f>
        <v>2073.1764705882356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154.05882352941177</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418.78164705882364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71769.109281958023</v>
      </c>
      <c r="C78" s="729">
        <f>SUM(C72:C77)</f>
        <v>1762.2</v>
      </c>
      <c r="D78" s="730">
        <f t="shared" ref="D78:H78" si="10">SUM(D76:D77)</f>
        <v>2073.1764705882356</v>
      </c>
      <c r="E78" s="730">
        <f t="shared" si="10"/>
        <v>0</v>
      </c>
      <c r="F78" s="730">
        <f t="shared" si="10"/>
        <v>0</v>
      </c>
      <c r="G78" s="730">
        <f t="shared" si="10"/>
        <v>0</v>
      </c>
      <c r="H78" s="730">
        <f t="shared" si="10"/>
        <v>0</v>
      </c>
      <c r="I78" s="730">
        <f>SUM(I76:I77)</f>
        <v>0</v>
      </c>
      <c r="J78" s="730">
        <f>SUM(J76:J77)</f>
        <v>154.05882352941177</v>
      </c>
      <c r="K78" s="730">
        <f t="shared" ref="K78:L78" si="11">SUM(K76:K77)</f>
        <v>0</v>
      </c>
      <c r="L78" s="730">
        <f t="shared" si="11"/>
        <v>0</v>
      </c>
      <c r="M78" s="730">
        <f>SUM(M76:M77)</f>
        <v>0</v>
      </c>
      <c r="N78" s="730">
        <f>SUM(N76:N77)</f>
        <v>0</v>
      </c>
      <c r="O78" s="834">
        <f>SUM(O76:O77)</f>
        <v>0</v>
      </c>
      <c r="P78" s="731">
        <v>0</v>
      </c>
      <c r="Q78" s="731">
        <f>SUM(Q76:Q77)</f>
        <v>418.78164705882364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187.07142857142856</v>
      </c>
      <c r="C87" s="740">
        <f>'lokale energieproductie'!B17*IFERROR(SUM(D87:H87)/SUM(D87:O87),0)</f>
        <v>2517.4285714285716</v>
      </c>
      <c r="D87" s="751">
        <f>'lokale energieproductie'!C17</f>
        <v>2961.680672268908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220.08403361344537</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598.25949579831945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187.07142857142856</v>
      </c>
      <c r="C90" s="729">
        <f>SUM(C87:C89)</f>
        <v>2517.4285714285716</v>
      </c>
      <c r="D90" s="729">
        <f t="shared" ref="D90:H90" si="12">SUM(D87:D89)</f>
        <v>2961.680672268908</v>
      </c>
      <c r="E90" s="729">
        <f t="shared" si="12"/>
        <v>0</v>
      </c>
      <c r="F90" s="729">
        <f t="shared" si="12"/>
        <v>0</v>
      </c>
      <c r="G90" s="729">
        <f t="shared" si="12"/>
        <v>0</v>
      </c>
      <c r="H90" s="729">
        <f t="shared" si="12"/>
        <v>0</v>
      </c>
      <c r="I90" s="729">
        <f>SUM(I87:I89)</f>
        <v>0</v>
      </c>
      <c r="J90" s="729">
        <f>SUM(J87:J89)</f>
        <v>220.08403361344537</v>
      </c>
      <c r="K90" s="729">
        <f t="shared" ref="K90:L90" si="13">SUM(K87:K89)</f>
        <v>0</v>
      </c>
      <c r="L90" s="729">
        <f t="shared" si="13"/>
        <v>0</v>
      </c>
      <c r="M90" s="729">
        <f>SUM(M87:M89)</f>
        <v>0</v>
      </c>
      <c r="N90" s="729">
        <f>SUM(N87:N89)</f>
        <v>0</v>
      </c>
      <c r="O90" s="729">
        <f>SUM(O87:O89)</f>
        <v>0</v>
      </c>
      <c r="P90" s="729">
        <v>0</v>
      </c>
      <c r="Q90" s="729">
        <f>SUM(Q87:Q89)</f>
        <v>598.25949579831945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16" zoomScaleNormal="100"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46678.344194400539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24959.815087557483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N32</f>
        <v>1893.15</v>
      </c>
      <c r="C8" s="544">
        <f>B51</f>
        <v>2073.1764705882356</v>
      </c>
      <c r="D8" s="1010"/>
      <c r="E8" s="1010">
        <f>E51</f>
        <v>0</v>
      </c>
      <c r="F8" s="1011"/>
      <c r="G8" s="545"/>
      <c r="H8" s="1010">
        <f>I51</f>
        <v>0</v>
      </c>
      <c r="I8" s="1010">
        <f>G51+F51</f>
        <v>0</v>
      </c>
      <c r="J8" s="1010">
        <f>H51+D51+C51</f>
        <v>154.05882352941177</v>
      </c>
      <c r="K8" s="1010"/>
      <c r="L8" s="1010"/>
      <c r="M8" s="1010"/>
      <c r="N8" s="546"/>
      <c r="O8" s="547">
        <f>C8*$C$12+D8*$D$12+E8*$E$12+F8*$F$12+G8*$G$12+H8*$H$12+I8*$I$12+J8*$J$12</f>
        <v>418.78164705882364</v>
      </c>
      <c r="P8" s="1250"/>
      <c r="Q8" s="1251"/>
      <c r="S8" s="973"/>
      <c r="T8" s="1225"/>
      <c r="U8" s="1225"/>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73531.30928195802</v>
      </c>
      <c r="C10" s="557">
        <f t="shared" ref="C10:L10" si="0">SUM(C8:C9)</f>
        <v>2073.1764705882356</v>
      </c>
      <c r="D10" s="557">
        <f t="shared" si="0"/>
        <v>0</v>
      </c>
      <c r="E10" s="557">
        <f t="shared" si="0"/>
        <v>0</v>
      </c>
      <c r="F10" s="557">
        <f t="shared" si="0"/>
        <v>0</v>
      </c>
      <c r="G10" s="557">
        <f t="shared" si="0"/>
        <v>0</v>
      </c>
      <c r="H10" s="557">
        <f t="shared" si="0"/>
        <v>0</v>
      </c>
      <c r="I10" s="557">
        <f t="shared" si="0"/>
        <v>0</v>
      </c>
      <c r="J10" s="557">
        <f t="shared" si="0"/>
        <v>154.05882352941177</v>
      </c>
      <c r="K10" s="557">
        <f t="shared" si="0"/>
        <v>0</v>
      </c>
      <c r="L10" s="557">
        <f t="shared" si="0"/>
        <v>0</v>
      </c>
      <c r="M10" s="1013"/>
      <c r="N10" s="1013"/>
      <c r="O10" s="558">
        <f>SUM(O4:O9)</f>
        <v>418.78164705882364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O32</f>
        <v>2704.5</v>
      </c>
      <c r="C17" s="569">
        <f>B52</f>
        <v>2961.680672268908</v>
      </c>
      <c r="D17" s="570"/>
      <c r="E17" s="570">
        <f>E52</f>
        <v>0</v>
      </c>
      <c r="F17" s="1016"/>
      <c r="G17" s="571"/>
      <c r="H17" s="569">
        <f>I52</f>
        <v>0</v>
      </c>
      <c r="I17" s="570">
        <f>G52+F52</f>
        <v>0</v>
      </c>
      <c r="J17" s="570">
        <f>H52+D52+C52</f>
        <v>220.08403361344537</v>
      </c>
      <c r="K17" s="570"/>
      <c r="L17" s="570"/>
      <c r="M17" s="570"/>
      <c r="N17" s="1017"/>
      <c r="O17" s="572">
        <f>C17*$C$22+E17*$E$22+H17*$H$22+I17*$I$22+J17*$J$22+D17*$D$22+F17*$F$22+G17*$G$22+K17*$K$22+L17*$L$22</f>
        <v>598.25949579831945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2704.5</v>
      </c>
      <c r="C20" s="556">
        <f>SUM(C17:C19)</f>
        <v>2961.680672268908</v>
      </c>
      <c r="D20" s="556">
        <f t="shared" ref="D20:L20" si="1">SUM(D17:D19)</f>
        <v>0</v>
      </c>
      <c r="E20" s="556">
        <f t="shared" si="1"/>
        <v>0</v>
      </c>
      <c r="F20" s="556">
        <f t="shared" si="1"/>
        <v>0</v>
      </c>
      <c r="G20" s="556">
        <f t="shared" si="1"/>
        <v>0</v>
      </c>
      <c r="H20" s="556">
        <f t="shared" si="1"/>
        <v>0</v>
      </c>
      <c r="I20" s="556">
        <f t="shared" si="1"/>
        <v>0</v>
      </c>
      <c r="J20" s="556">
        <f t="shared" si="1"/>
        <v>220.08403361344537</v>
      </c>
      <c r="K20" s="556">
        <f t="shared" si="1"/>
        <v>0</v>
      </c>
      <c r="L20" s="556">
        <f t="shared" si="1"/>
        <v>0</v>
      </c>
      <c r="M20" s="556"/>
      <c r="N20" s="556"/>
      <c r="O20" s="575">
        <f>SUM(O17:O19)</f>
        <v>598.25949579831945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44019</v>
      </c>
      <c r="C28" s="770">
        <v>9940</v>
      </c>
      <c r="D28" s="627" t="s">
        <v>887</v>
      </c>
      <c r="E28" s="626" t="s">
        <v>888</v>
      </c>
      <c r="F28" s="626" t="s">
        <v>889</v>
      </c>
      <c r="G28" s="626" t="s">
        <v>890</v>
      </c>
      <c r="H28" s="626" t="s">
        <v>891</v>
      </c>
      <c r="I28" s="626" t="s">
        <v>892</v>
      </c>
      <c r="J28" s="769">
        <v>39861</v>
      </c>
      <c r="K28" s="769">
        <v>39861</v>
      </c>
      <c r="L28" s="626" t="s">
        <v>893</v>
      </c>
      <c r="M28" s="626">
        <v>12.6</v>
      </c>
      <c r="N28" s="626">
        <v>56.7</v>
      </c>
      <c r="O28" s="626">
        <v>81</v>
      </c>
      <c r="P28" s="626">
        <v>162.00000000000003</v>
      </c>
      <c r="Q28" s="626">
        <v>0</v>
      </c>
      <c r="R28" s="626">
        <v>0</v>
      </c>
      <c r="S28" s="626">
        <v>0</v>
      </c>
      <c r="T28" s="626">
        <v>0</v>
      </c>
      <c r="U28" s="626">
        <v>0</v>
      </c>
      <c r="V28" s="626">
        <v>0</v>
      </c>
      <c r="W28" s="626">
        <v>0</v>
      </c>
      <c r="X28" s="626">
        <v>1600</v>
      </c>
      <c r="Y28" s="626" t="s">
        <v>49</v>
      </c>
      <c r="Z28" s="628" t="s">
        <v>155</v>
      </c>
    </row>
    <row r="29" spans="1:26" s="580" customFormat="1" ht="25.5">
      <c r="A29" s="579"/>
      <c r="B29" s="770">
        <v>44019</v>
      </c>
      <c r="C29" s="770">
        <v>9940</v>
      </c>
      <c r="D29" s="627" t="s">
        <v>894</v>
      </c>
      <c r="E29" s="626" t="s">
        <v>895</v>
      </c>
      <c r="F29" s="626" t="s">
        <v>896</v>
      </c>
      <c r="G29" s="626" t="s">
        <v>890</v>
      </c>
      <c r="H29" s="626" t="s">
        <v>891</v>
      </c>
      <c r="I29" s="626" t="s">
        <v>895</v>
      </c>
      <c r="J29" s="769">
        <v>41185</v>
      </c>
      <c r="K29" s="769">
        <v>41214</v>
      </c>
      <c r="L29" s="626" t="s">
        <v>893</v>
      </c>
      <c r="M29" s="626">
        <v>379</v>
      </c>
      <c r="N29" s="626">
        <v>1705.5</v>
      </c>
      <c r="O29" s="626">
        <v>2436.4285714285716</v>
      </c>
      <c r="P29" s="626">
        <v>4872.8571428571431</v>
      </c>
      <c r="Q29" s="626">
        <v>0</v>
      </c>
      <c r="R29" s="626">
        <v>0</v>
      </c>
      <c r="S29" s="626">
        <v>0</v>
      </c>
      <c r="T29" s="626">
        <v>0</v>
      </c>
      <c r="U29" s="626">
        <v>0</v>
      </c>
      <c r="V29" s="626">
        <v>0</v>
      </c>
      <c r="W29" s="626">
        <v>0</v>
      </c>
      <c r="X29" s="626">
        <v>10</v>
      </c>
      <c r="Y29" s="626" t="s">
        <v>111</v>
      </c>
      <c r="Z29" s="628" t="s">
        <v>111</v>
      </c>
    </row>
    <row r="30" spans="1:26" s="580" customFormat="1" ht="25.5">
      <c r="A30" s="579"/>
      <c r="B30" s="770">
        <v>44019</v>
      </c>
      <c r="C30" s="770">
        <v>9940</v>
      </c>
      <c r="D30" s="627" t="s">
        <v>897</v>
      </c>
      <c r="E30" s="626" t="s">
        <v>898</v>
      </c>
      <c r="F30" s="626" t="s">
        <v>899</v>
      </c>
      <c r="G30" s="626" t="s">
        <v>890</v>
      </c>
      <c r="H30" s="626" t="s">
        <v>891</v>
      </c>
      <c r="I30" s="626" t="s">
        <v>900</v>
      </c>
      <c r="J30" s="769">
        <v>41151</v>
      </c>
      <c r="K30" s="769">
        <v>41275</v>
      </c>
      <c r="L30" s="626" t="s">
        <v>893</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80" customFormat="1" ht="25.5">
      <c r="A31" s="579"/>
      <c r="B31" s="770">
        <v>44019</v>
      </c>
      <c r="C31" s="770">
        <v>9940</v>
      </c>
      <c r="D31" s="627"/>
      <c r="E31" s="626"/>
      <c r="F31" s="626" t="s">
        <v>901</v>
      </c>
      <c r="G31" s="626" t="s">
        <v>890</v>
      </c>
      <c r="H31" s="626" t="s">
        <v>891</v>
      </c>
      <c r="I31" s="626" t="s">
        <v>902</v>
      </c>
      <c r="J31" s="769">
        <v>41957</v>
      </c>
      <c r="K31" s="769">
        <v>41957</v>
      </c>
      <c r="L31" s="626" t="s">
        <v>893</v>
      </c>
      <c r="M31" s="626">
        <v>19.399999999999999</v>
      </c>
      <c r="N31" s="626">
        <v>87.299999999999983</v>
      </c>
      <c r="O31" s="626">
        <v>124.71428571428569</v>
      </c>
      <c r="P31" s="626">
        <v>0</v>
      </c>
      <c r="Q31" s="626">
        <v>249.42857142857139</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420.7</v>
      </c>
      <c r="N32" s="584">
        <f>SUM(N28:N31)</f>
        <v>1893.15</v>
      </c>
      <c r="O32" s="584">
        <f>SUM(O28:O31)</f>
        <v>2704.5</v>
      </c>
      <c r="P32" s="584">
        <f>SUM(P28:P31)</f>
        <v>5034.8571428571431</v>
      </c>
      <c r="Q32" s="584">
        <f>SUM(Q28:Q31)</f>
        <v>374.14285714285711</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12.6</v>
      </c>
      <c r="N34" s="584">
        <f ca="1">SUMIF($Z$28:AD31,"tertiair",N28:N31)</f>
        <v>56.7</v>
      </c>
      <c r="O34" s="584">
        <f ca="1">SUMIF($Z$28:AE31,"tertiair",O28:O31)</f>
        <v>81</v>
      </c>
      <c r="P34" s="584">
        <f ca="1">SUMIF($Z$28:AF31,"tertiair",P28:P31)</f>
        <v>162.00000000000003</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408.09999999999997</v>
      </c>
      <c r="N35" s="589">
        <f>SUMIF($Z$28:$Z$31,"landbouw",N28:N31)</f>
        <v>1836.45</v>
      </c>
      <c r="O35" s="589">
        <f>SUMIF($Z$28:$Z$31,"landbouw",O28:O31)</f>
        <v>2623.5</v>
      </c>
      <c r="P35" s="589">
        <f>SUMIF($Z$28:$Z$31,"landbouw",P28:P31)</f>
        <v>4872.8571428571431</v>
      </c>
      <c r="Q35" s="589">
        <f>SUMIF($Z$28:$Z$31,"landbouw",Q28:Q31)</f>
        <v>374.14285714285711</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533</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0.41176470588235298</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533</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2073.1764705882356</v>
      </c>
      <c r="C51" s="618">
        <f t="shared" si="2"/>
        <v>154.05882352941177</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2961.680672268908</v>
      </c>
      <c r="C52" s="621">
        <f t="shared" si="3"/>
        <v>220.08403361344537</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66351.661618995335</v>
      </c>
      <c r="C4" s="451">
        <f>huishoudens!C8</f>
        <v>0</v>
      </c>
      <c r="D4" s="451">
        <f>huishoudens!D8</f>
        <v>113466.0237409761</v>
      </c>
      <c r="E4" s="451">
        <f>huishoudens!E8</f>
        <v>25931.167453611484</v>
      </c>
      <c r="F4" s="451">
        <f>huishoudens!F8</f>
        <v>28560.87057656045</v>
      </c>
      <c r="G4" s="451">
        <f>huishoudens!G8</f>
        <v>0</v>
      </c>
      <c r="H4" s="451">
        <f>huishoudens!H8</f>
        <v>0</v>
      </c>
      <c r="I4" s="451">
        <f>huishoudens!I8</f>
        <v>0</v>
      </c>
      <c r="J4" s="451">
        <f>huishoudens!J8</f>
        <v>0</v>
      </c>
      <c r="K4" s="451">
        <f>huishoudens!K8</f>
        <v>0</v>
      </c>
      <c r="L4" s="451">
        <f>huishoudens!L8</f>
        <v>0</v>
      </c>
      <c r="M4" s="451">
        <f>huishoudens!M8</f>
        <v>0</v>
      </c>
      <c r="N4" s="451">
        <f>huishoudens!N8</f>
        <v>36323.820434523521</v>
      </c>
      <c r="O4" s="451">
        <f>huishoudens!O8</f>
        <v>723.82333333333338</v>
      </c>
      <c r="P4" s="452">
        <f>huishoudens!P8</f>
        <v>2154.5333333333333</v>
      </c>
      <c r="Q4" s="453">
        <f>SUM(B4:P4)</f>
        <v>273511.90049133351</v>
      </c>
    </row>
    <row r="5" spans="1:17">
      <c r="A5" s="450" t="s">
        <v>155</v>
      </c>
      <c r="B5" s="451">
        <f ca="1">tertiair!B16</f>
        <v>42272.943568157323</v>
      </c>
      <c r="C5" s="451">
        <f ca="1">tertiair!C16</f>
        <v>81</v>
      </c>
      <c r="D5" s="451">
        <f ca="1">tertiair!D16</f>
        <v>55820.197046327819</v>
      </c>
      <c r="E5" s="451">
        <f>tertiair!E16</f>
        <v>632.35011626217317</v>
      </c>
      <c r="F5" s="451">
        <f ca="1">tertiair!F16</f>
        <v>7547.5631630885491</v>
      </c>
      <c r="G5" s="451">
        <f>tertiair!G16</f>
        <v>0</v>
      </c>
      <c r="H5" s="451">
        <f>tertiair!H16</f>
        <v>0</v>
      </c>
      <c r="I5" s="451">
        <f>tertiair!I16</f>
        <v>0</v>
      </c>
      <c r="J5" s="451">
        <f>tertiair!J16</f>
        <v>0.1151432462510785</v>
      </c>
      <c r="K5" s="451">
        <f>tertiair!K16</f>
        <v>0</v>
      </c>
      <c r="L5" s="451">
        <f ca="1">tertiair!L16</f>
        <v>0</v>
      </c>
      <c r="M5" s="451">
        <f>tertiair!M16</f>
        <v>0</v>
      </c>
      <c r="N5" s="451">
        <f ca="1">tertiair!N16</f>
        <v>4585.0877556600944</v>
      </c>
      <c r="O5" s="451">
        <f>tertiair!O16</f>
        <v>15.633333333333333</v>
      </c>
      <c r="P5" s="452">
        <f>tertiair!P16</f>
        <v>76.266666666666666</v>
      </c>
      <c r="Q5" s="450">
        <f t="shared" ref="Q5:Q14" ca="1" si="0">SUM(B5:P5)</f>
        <v>111031.15679274219</v>
      </c>
    </row>
    <row r="6" spans="1:17">
      <c r="A6" s="450" t="s">
        <v>193</v>
      </c>
      <c r="B6" s="451">
        <f>'openbare verlichting'!B8</f>
        <v>2199.1999999999998</v>
      </c>
      <c r="C6" s="451"/>
      <c r="D6" s="451"/>
      <c r="E6" s="451"/>
      <c r="F6" s="451"/>
      <c r="G6" s="451"/>
      <c r="H6" s="451"/>
      <c r="I6" s="451"/>
      <c r="J6" s="451"/>
      <c r="K6" s="451"/>
      <c r="L6" s="451"/>
      <c r="M6" s="451"/>
      <c r="N6" s="451"/>
      <c r="O6" s="451"/>
      <c r="P6" s="452"/>
      <c r="Q6" s="450">
        <f t="shared" si="0"/>
        <v>2199.1999999999998</v>
      </c>
    </row>
    <row r="7" spans="1:17">
      <c r="A7" s="450" t="s">
        <v>111</v>
      </c>
      <c r="B7" s="451">
        <f>landbouw!B8</f>
        <v>4685.999672076804</v>
      </c>
      <c r="C7" s="451">
        <f>landbouw!C8</f>
        <v>2623.5</v>
      </c>
      <c r="D7" s="451">
        <f>landbouw!D8</f>
        <v>1583.1392293956296</v>
      </c>
      <c r="E7" s="451">
        <f>landbouw!E8</f>
        <v>137.73584305732848</v>
      </c>
      <c r="F7" s="451">
        <f>landbouw!F8</f>
        <v>19521.621415740516</v>
      </c>
      <c r="G7" s="451">
        <f>landbouw!G8</f>
        <v>0</v>
      </c>
      <c r="H7" s="451">
        <f>landbouw!H8</f>
        <v>0</v>
      </c>
      <c r="I7" s="451">
        <f>landbouw!I8</f>
        <v>0</v>
      </c>
      <c r="J7" s="451">
        <f>landbouw!J8</f>
        <v>678.90071948903642</v>
      </c>
      <c r="K7" s="451">
        <f>landbouw!K8</f>
        <v>0</v>
      </c>
      <c r="L7" s="451">
        <f>landbouw!L8</f>
        <v>0</v>
      </c>
      <c r="M7" s="451">
        <f>landbouw!M8</f>
        <v>0</v>
      </c>
      <c r="N7" s="451">
        <f>landbouw!N8</f>
        <v>0</v>
      </c>
      <c r="O7" s="451">
        <f>landbouw!O8</f>
        <v>0</v>
      </c>
      <c r="P7" s="452">
        <f>landbouw!P8</f>
        <v>0</v>
      </c>
      <c r="Q7" s="450">
        <f t="shared" si="0"/>
        <v>29230.896879759312</v>
      </c>
    </row>
    <row r="8" spans="1:17">
      <c r="A8" s="450" t="s">
        <v>634</v>
      </c>
      <c r="B8" s="451">
        <f>industrie!B18</f>
        <v>69604.152227847924</v>
      </c>
      <c r="C8" s="451">
        <f>industrie!C18</f>
        <v>0</v>
      </c>
      <c r="D8" s="451">
        <f>industrie!D18</f>
        <v>62238.652325242787</v>
      </c>
      <c r="E8" s="451">
        <f>industrie!E18</f>
        <v>1678.8603791587434</v>
      </c>
      <c r="F8" s="451">
        <f>industrie!F18</f>
        <v>5645.7634246827511</v>
      </c>
      <c r="G8" s="451">
        <f>industrie!G18</f>
        <v>0</v>
      </c>
      <c r="H8" s="451">
        <f>industrie!H18</f>
        <v>0</v>
      </c>
      <c r="I8" s="451">
        <f>industrie!I18</f>
        <v>0</v>
      </c>
      <c r="J8" s="451">
        <f>industrie!J18</f>
        <v>48.29469243091247</v>
      </c>
      <c r="K8" s="451">
        <f>industrie!K18</f>
        <v>0</v>
      </c>
      <c r="L8" s="451">
        <f>industrie!L18</f>
        <v>0</v>
      </c>
      <c r="M8" s="451">
        <f>industrie!M18</f>
        <v>0</v>
      </c>
      <c r="N8" s="451">
        <f>industrie!N18</f>
        <v>2566.074979898156</v>
      </c>
      <c r="O8" s="451">
        <f>industrie!O18</f>
        <v>0</v>
      </c>
      <c r="P8" s="452">
        <f>industrie!P18</f>
        <v>0</v>
      </c>
      <c r="Q8" s="450">
        <f t="shared" si="0"/>
        <v>141781.79802926129</v>
      </c>
    </row>
    <row r="9" spans="1:17" s="456" customFormat="1">
      <c r="A9" s="454" t="s">
        <v>560</v>
      </c>
      <c r="B9" s="455">
        <f>transport!B14</f>
        <v>59.180483944077118</v>
      </c>
      <c r="C9" s="455">
        <f>transport!C14</f>
        <v>0</v>
      </c>
      <c r="D9" s="455">
        <f>transport!D14</f>
        <v>178.16584584493486</v>
      </c>
      <c r="E9" s="455">
        <f>transport!E14</f>
        <v>299.19906815748396</v>
      </c>
      <c r="F9" s="455">
        <f>transport!F14</f>
        <v>0</v>
      </c>
      <c r="G9" s="455">
        <f>transport!G14</f>
        <v>132759.38207923376</v>
      </c>
      <c r="H9" s="455">
        <f>transport!H14</f>
        <v>29983.59543661854</v>
      </c>
      <c r="I9" s="455">
        <f>transport!I14</f>
        <v>0</v>
      </c>
      <c r="J9" s="455">
        <f>transport!J14</f>
        <v>0</v>
      </c>
      <c r="K9" s="455">
        <f>transport!K14</f>
        <v>0</v>
      </c>
      <c r="L9" s="455">
        <f>transport!L14</f>
        <v>0</v>
      </c>
      <c r="M9" s="455">
        <f>transport!M14</f>
        <v>8639.2536174701982</v>
      </c>
      <c r="N9" s="455">
        <f>transport!N14</f>
        <v>0</v>
      </c>
      <c r="O9" s="455">
        <f>transport!O14</f>
        <v>0</v>
      </c>
      <c r="P9" s="455">
        <f>transport!P14</f>
        <v>0</v>
      </c>
      <c r="Q9" s="454">
        <f>SUM(B9:P9)</f>
        <v>171918.77653126902</v>
      </c>
    </row>
    <row r="10" spans="1:17">
      <c r="A10" s="450" t="s">
        <v>550</v>
      </c>
      <c r="B10" s="451">
        <f>transport!B54</f>
        <v>1085.5872000000002</v>
      </c>
      <c r="C10" s="451">
        <f>transport!C54</f>
        <v>0</v>
      </c>
      <c r="D10" s="451">
        <f>transport!D54</f>
        <v>0</v>
      </c>
      <c r="E10" s="451">
        <f>transport!E54</f>
        <v>0</v>
      </c>
      <c r="F10" s="451">
        <f>transport!F54</f>
        <v>0</v>
      </c>
      <c r="G10" s="451">
        <f>transport!G54</f>
        <v>2733.2025999428083</v>
      </c>
      <c r="H10" s="451">
        <f>transport!H54</f>
        <v>0</v>
      </c>
      <c r="I10" s="451">
        <f>transport!I54</f>
        <v>0</v>
      </c>
      <c r="J10" s="451">
        <f>transport!J54</f>
        <v>0</v>
      </c>
      <c r="K10" s="451">
        <f>transport!K54</f>
        <v>0</v>
      </c>
      <c r="L10" s="451">
        <f>transport!L54</f>
        <v>0</v>
      </c>
      <c r="M10" s="451">
        <f>transport!M54</f>
        <v>155.22211551336116</v>
      </c>
      <c r="N10" s="451">
        <f>transport!N54</f>
        <v>0</v>
      </c>
      <c r="O10" s="451">
        <f>transport!O54</f>
        <v>0</v>
      </c>
      <c r="P10" s="452">
        <f>transport!P54</f>
        <v>0</v>
      </c>
      <c r="Q10" s="450">
        <f t="shared" si="0"/>
        <v>3974.0119154561698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1494.1780478409</v>
      </c>
      <c r="C14" s="458"/>
      <c r="D14" s="458">
        <f>'SEAP template'!E25</f>
        <v>3531.1915873755702</v>
      </c>
      <c r="E14" s="458"/>
      <c r="F14" s="458"/>
      <c r="G14" s="458"/>
      <c r="H14" s="458"/>
      <c r="I14" s="458"/>
      <c r="J14" s="458"/>
      <c r="K14" s="458"/>
      <c r="L14" s="458"/>
      <c r="M14" s="458"/>
      <c r="N14" s="458"/>
      <c r="O14" s="458"/>
      <c r="P14" s="459"/>
      <c r="Q14" s="450">
        <f t="shared" si="0"/>
        <v>5025.3696352164698</v>
      </c>
    </row>
    <row r="15" spans="1:17" s="460" customFormat="1">
      <c r="A15" s="1005" t="s">
        <v>554</v>
      </c>
      <c r="B15" s="953">
        <f ca="1">SUM(B4:B14)</f>
        <v>187752.90281886235</v>
      </c>
      <c r="C15" s="953">
        <f t="shared" ref="C15:Q15" ca="1" si="1">SUM(C4:C14)</f>
        <v>2704.5</v>
      </c>
      <c r="D15" s="953">
        <f t="shared" ca="1" si="1"/>
        <v>236817.36977516284</v>
      </c>
      <c r="E15" s="953">
        <f t="shared" si="1"/>
        <v>28679.312860247213</v>
      </c>
      <c r="F15" s="953">
        <f t="shared" ca="1" si="1"/>
        <v>61275.818580072271</v>
      </c>
      <c r="G15" s="953">
        <f t="shared" si="1"/>
        <v>135492.58467917657</v>
      </c>
      <c r="H15" s="953">
        <f t="shared" si="1"/>
        <v>29983.59543661854</v>
      </c>
      <c r="I15" s="953">
        <f t="shared" si="1"/>
        <v>0</v>
      </c>
      <c r="J15" s="953">
        <f t="shared" si="1"/>
        <v>727.31055516619995</v>
      </c>
      <c r="K15" s="953">
        <f t="shared" si="1"/>
        <v>0</v>
      </c>
      <c r="L15" s="953">
        <f t="shared" ca="1" si="1"/>
        <v>0</v>
      </c>
      <c r="M15" s="953">
        <f t="shared" si="1"/>
        <v>8794.4757329835593</v>
      </c>
      <c r="N15" s="953">
        <f t="shared" ca="1" si="1"/>
        <v>43474.983170081774</v>
      </c>
      <c r="O15" s="953">
        <f t="shared" si="1"/>
        <v>739.45666666666671</v>
      </c>
      <c r="P15" s="953">
        <f t="shared" si="1"/>
        <v>2230.8000000000002</v>
      </c>
      <c r="Q15" s="953">
        <f t="shared" ca="1" si="1"/>
        <v>738673.11027503794</v>
      </c>
    </row>
    <row r="17" spans="1:17">
      <c r="A17" s="461" t="s">
        <v>555</v>
      </c>
      <c r="B17" s="760">
        <f ca="1">huishoudens!B10</f>
        <v>0.13667833324245471</v>
      </c>
      <c r="C17" s="760">
        <f ca="1">huishoudens!C10</f>
        <v>0.22120890952054703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9068.8345179516364</v>
      </c>
      <c r="C22" s="451">
        <f t="shared" ref="C22:C32" ca="1" si="3">C4*$C$17</f>
        <v>0</v>
      </c>
      <c r="D22" s="451">
        <f t="shared" ref="D22:D32" si="4">D4*$D$17</f>
        <v>22920.136795677176</v>
      </c>
      <c r="E22" s="451">
        <f t="shared" ref="E22:E32" si="5">E4*$E$17</f>
        <v>5886.375011969807</v>
      </c>
      <c r="F22" s="451">
        <f t="shared" ref="F22:F32" si="6">F4*$F$17</f>
        <v>7625.7524439416402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45501.098769540258</v>
      </c>
    </row>
    <row r="23" spans="1:17">
      <c r="A23" s="450" t="s">
        <v>155</v>
      </c>
      <c r="B23" s="451">
        <f t="shared" ca="1" si="2"/>
        <v>5777.7954681480887</v>
      </c>
      <c r="C23" s="451">
        <f t="shared" ca="1" si="3"/>
        <v>17.917921671164308</v>
      </c>
      <c r="D23" s="451">
        <f t="shared" ca="1" si="4"/>
        <v>11275.67980335822</v>
      </c>
      <c r="E23" s="451">
        <f t="shared" si="5"/>
        <v>143.54347639151331</v>
      </c>
      <c r="F23" s="451">
        <f t="shared" ca="1" si="6"/>
        <v>2015.1993645446428</v>
      </c>
      <c r="G23" s="451">
        <f t="shared" si="7"/>
        <v>0</v>
      </c>
      <c r="H23" s="451">
        <f t="shared" si="8"/>
        <v>0</v>
      </c>
      <c r="I23" s="451">
        <f t="shared" si="9"/>
        <v>0</v>
      </c>
      <c r="J23" s="451">
        <f t="shared" si="10"/>
        <v>4.0760709172881784E-2</v>
      </c>
      <c r="K23" s="451">
        <f t="shared" si="11"/>
        <v>0</v>
      </c>
      <c r="L23" s="451">
        <f t="shared" ca="1" si="12"/>
        <v>0</v>
      </c>
      <c r="M23" s="451">
        <f t="shared" si="13"/>
        <v>0</v>
      </c>
      <c r="N23" s="451">
        <f t="shared" ca="1" si="14"/>
        <v>0</v>
      </c>
      <c r="O23" s="451">
        <f t="shared" si="15"/>
        <v>0</v>
      </c>
      <c r="P23" s="452">
        <f t="shared" si="16"/>
        <v>0</v>
      </c>
      <c r="Q23" s="450">
        <f t="shared" ref="Q23:Q32" ca="1" si="17">SUM(B23:P23)</f>
        <v>19230.176794822801</v>
      </c>
    </row>
    <row r="24" spans="1:17">
      <c r="A24" s="450" t="s">
        <v>193</v>
      </c>
      <c r="B24" s="451">
        <f t="shared" ca="1" si="2"/>
        <v>300.58299046680639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300.58299046680639</v>
      </c>
    </row>
    <row r="25" spans="1:17">
      <c r="A25" s="450" t="s">
        <v>111</v>
      </c>
      <c r="B25" s="451">
        <f t="shared" ca="1" si="2"/>
        <v>640.47462475414693</v>
      </c>
      <c r="C25" s="451">
        <f t="shared" ca="1" si="3"/>
        <v>580.34157412715513</v>
      </c>
      <c r="D25" s="451">
        <f t="shared" si="4"/>
        <v>319.7941243379172</v>
      </c>
      <c r="E25" s="451">
        <f t="shared" si="5"/>
        <v>31.266036374013567</v>
      </c>
      <c r="F25" s="451">
        <f t="shared" si="6"/>
        <v>5212.2729180027181</v>
      </c>
      <c r="G25" s="451">
        <f t="shared" si="7"/>
        <v>0</v>
      </c>
      <c r="H25" s="451">
        <f t="shared" si="8"/>
        <v>0</v>
      </c>
      <c r="I25" s="451">
        <f t="shared" si="9"/>
        <v>0</v>
      </c>
      <c r="J25" s="451">
        <f t="shared" si="10"/>
        <v>240.33085469911887</v>
      </c>
      <c r="K25" s="451">
        <f t="shared" si="11"/>
        <v>0</v>
      </c>
      <c r="L25" s="451">
        <f t="shared" si="12"/>
        <v>0</v>
      </c>
      <c r="M25" s="451">
        <f t="shared" si="13"/>
        <v>0</v>
      </c>
      <c r="N25" s="451">
        <f t="shared" si="14"/>
        <v>0</v>
      </c>
      <c r="O25" s="451">
        <f t="shared" si="15"/>
        <v>0</v>
      </c>
      <c r="P25" s="452">
        <f t="shared" si="16"/>
        <v>0</v>
      </c>
      <c r="Q25" s="450">
        <f t="shared" ca="1" si="17"/>
        <v>7024.4801322950707</v>
      </c>
    </row>
    <row r="26" spans="1:17">
      <c r="A26" s="450" t="s">
        <v>634</v>
      </c>
      <c r="B26" s="451">
        <f t="shared" ca="1" si="2"/>
        <v>9513.3795132563446</v>
      </c>
      <c r="C26" s="451">
        <f t="shared" ca="1" si="3"/>
        <v>0</v>
      </c>
      <c r="D26" s="451">
        <f t="shared" si="4"/>
        <v>12572.207769699044</v>
      </c>
      <c r="E26" s="451">
        <f t="shared" si="5"/>
        <v>381.10130606903476</v>
      </c>
      <c r="F26" s="451">
        <f t="shared" si="6"/>
        <v>1507.4188343902947</v>
      </c>
      <c r="G26" s="451">
        <f t="shared" si="7"/>
        <v>0</v>
      </c>
      <c r="H26" s="451">
        <f t="shared" si="8"/>
        <v>0</v>
      </c>
      <c r="I26" s="451">
        <f t="shared" si="9"/>
        <v>0</v>
      </c>
      <c r="J26" s="451">
        <f t="shared" si="10"/>
        <v>17.096321120543013</v>
      </c>
      <c r="K26" s="451">
        <f t="shared" si="11"/>
        <v>0</v>
      </c>
      <c r="L26" s="451">
        <f t="shared" si="12"/>
        <v>0</v>
      </c>
      <c r="M26" s="451">
        <f t="shared" si="13"/>
        <v>0</v>
      </c>
      <c r="N26" s="451">
        <f t="shared" si="14"/>
        <v>0</v>
      </c>
      <c r="O26" s="451">
        <f t="shared" si="15"/>
        <v>0</v>
      </c>
      <c r="P26" s="452">
        <f t="shared" si="16"/>
        <v>0</v>
      </c>
      <c r="Q26" s="450">
        <f t="shared" ca="1" si="17"/>
        <v>23991.203744535258</v>
      </c>
    </row>
    <row r="27" spans="1:17" s="456" customFormat="1">
      <c r="A27" s="454" t="s">
        <v>560</v>
      </c>
      <c r="B27" s="754">
        <f t="shared" ca="1" si="2"/>
        <v>8.0886899059583133</v>
      </c>
      <c r="C27" s="455">
        <f t="shared" ca="1" si="3"/>
        <v>0</v>
      </c>
      <c r="D27" s="455">
        <f t="shared" si="4"/>
        <v>35.989500860676841</v>
      </c>
      <c r="E27" s="455">
        <f t="shared" si="5"/>
        <v>67.918188471748863</v>
      </c>
      <c r="F27" s="455">
        <f t="shared" si="6"/>
        <v>0</v>
      </c>
      <c r="G27" s="455">
        <f t="shared" si="7"/>
        <v>35446.755015155417</v>
      </c>
      <c r="H27" s="455">
        <f t="shared" si="8"/>
        <v>7465.9152637180159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43024.666658111819</v>
      </c>
    </row>
    <row r="28" spans="1:17">
      <c r="A28" s="450" t="s">
        <v>550</v>
      </c>
      <c r="B28" s="451">
        <f t="shared" ca="1" si="2"/>
        <v>148.37624908534335</v>
      </c>
      <c r="C28" s="451">
        <f t="shared" ca="1" si="3"/>
        <v>0</v>
      </c>
      <c r="D28" s="451">
        <f t="shared" si="4"/>
        <v>0</v>
      </c>
      <c r="E28" s="451">
        <f t="shared" si="5"/>
        <v>0</v>
      </c>
      <c r="F28" s="451">
        <f t="shared" si="6"/>
        <v>0</v>
      </c>
      <c r="G28" s="451">
        <f t="shared" si="7"/>
        <v>729.76509418472983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878.14134327007321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204.22176514635896</v>
      </c>
      <c r="C32" s="451">
        <f t="shared" ca="1" si="3"/>
        <v>0</v>
      </c>
      <c r="D32" s="451">
        <f t="shared" si="4"/>
        <v>713.30070064986523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917.5224657962242</v>
      </c>
    </row>
    <row r="33" spans="1:17" s="460" customFormat="1">
      <c r="A33" s="1005" t="s">
        <v>554</v>
      </c>
      <c r="B33" s="953">
        <f ca="1">SUM(B22:B32)</f>
        <v>25661.753818714682</v>
      </c>
      <c r="C33" s="953">
        <f t="shared" ref="C33:Q33" ca="1" si="18">SUM(C22:C32)</f>
        <v>598.25949579831945</v>
      </c>
      <c r="D33" s="953">
        <f t="shared" ca="1" si="18"/>
        <v>47837.108694582901</v>
      </c>
      <c r="E33" s="953">
        <f t="shared" si="18"/>
        <v>6510.2040192761178</v>
      </c>
      <c r="F33" s="953">
        <f t="shared" ca="1" si="18"/>
        <v>16360.643560879296</v>
      </c>
      <c r="G33" s="953">
        <f t="shared" si="18"/>
        <v>36176.520109340148</v>
      </c>
      <c r="H33" s="953">
        <f t="shared" si="18"/>
        <v>7465.9152637180159</v>
      </c>
      <c r="I33" s="953">
        <f t="shared" si="18"/>
        <v>0</v>
      </c>
      <c r="J33" s="953">
        <f t="shared" si="18"/>
        <v>257.46793652883474</v>
      </c>
      <c r="K33" s="953">
        <f t="shared" si="18"/>
        <v>0</v>
      </c>
      <c r="L33" s="953">
        <f t="shared" ca="1" si="18"/>
        <v>0</v>
      </c>
      <c r="M33" s="953">
        <f t="shared" si="18"/>
        <v>0</v>
      </c>
      <c r="N33" s="953">
        <f t="shared" ca="1" si="18"/>
        <v>0</v>
      </c>
      <c r="O33" s="953">
        <f t="shared" si="18"/>
        <v>0</v>
      </c>
      <c r="P33" s="953">
        <f t="shared" si="18"/>
        <v>0</v>
      </c>
      <c r="Q33" s="953">
        <f t="shared" ca="1" si="18"/>
        <v>140867.87289883831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46678.344194400539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24959.815087557483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130.94999999999999</v>
      </c>
      <c r="C8" s="1022">
        <f>'SEAP template'!C76</f>
        <v>1762.2</v>
      </c>
      <c r="D8" s="1022">
        <f>'SEAP template'!D76</f>
        <v>2073.1764705882356</v>
      </c>
      <c r="E8" s="1022">
        <f>'SEAP template'!E76</f>
        <v>0</v>
      </c>
      <c r="F8" s="1022">
        <f>'SEAP template'!F76</f>
        <v>0</v>
      </c>
      <c r="G8" s="1022">
        <f>'SEAP template'!G76</f>
        <v>0</v>
      </c>
      <c r="H8" s="1022">
        <f>'SEAP template'!H76</f>
        <v>0</v>
      </c>
      <c r="I8" s="1022">
        <f>'SEAP template'!I76</f>
        <v>0</v>
      </c>
      <c r="J8" s="1022">
        <f>'SEAP template'!J76</f>
        <v>154.05882352941177</v>
      </c>
      <c r="K8" s="1022">
        <f>'SEAP template'!K76</f>
        <v>0</v>
      </c>
      <c r="L8" s="1022">
        <f>'SEAP template'!L76</f>
        <v>0</v>
      </c>
      <c r="M8" s="1022">
        <f>'SEAP template'!M76</f>
        <v>0</v>
      </c>
      <c r="N8" s="1022">
        <f>'SEAP template'!N76</f>
        <v>0</v>
      </c>
      <c r="O8" s="1022">
        <f>'SEAP template'!O76</f>
        <v>0</v>
      </c>
      <c r="P8" s="1023">
        <f>'SEAP template'!Q76</f>
        <v>418.78164705882364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71769.109281958023</v>
      </c>
      <c r="C10" s="1026">
        <f>SUM(C4:C9)</f>
        <v>1762.2</v>
      </c>
      <c r="D10" s="1026">
        <f t="shared" ref="D10:H10" si="0">SUM(D8:D9)</f>
        <v>2073.1764705882356</v>
      </c>
      <c r="E10" s="1026">
        <f t="shared" si="0"/>
        <v>0</v>
      </c>
      <c r="F10" s="1026">
        <f t="shared" si="0"/>
        <v>0</v>
      </c>
      <c r="G10" s="1026">
        <f t="shared" si="0"/>
        <v>0</v>
      </c>
      <c r="H10" s="1026">
        <f t="shared" si="0"/>
        <v>0</v>
      </c>
      <c r="I10" s="1026">
        <f>SUM(I8:I9)</f>
        <v>0</v>
      </c>
      <c r="J10" s="1026">
        <f>SUM(J8:J9)</f>
        <v>154.05882352941177</v>
      </c>
      <c r="K10" s="1026">
        <f t="shared" ref="K10:L10" si="1">SUM(K8:K9)</f>
        <v>0</v>
      </c>
      <c r="L10" s="1026">
        <f t="shared" si="1"/>
        <v>0</v>
      </c>
      <c r="M10" s="1026">
        <f>SUM(M8:M9)</f>
        <v>0</v>
      </c>
      <c r="N10" s="1026">
        <f>SUM(N8:N9)</f>
        <v>0</v>
      </c>
      <c r="O10" s="1026">
        <f>SUM(O8:O9)</f>
        <v>0</v>
      </c>
      <c r="P10" s="1026">
        <f>SUM(P8:P9)</f>
        <v>418.78164705882364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0.13667833324245471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187.07142857142856</v>
      </c>
      <c r="C17" s="1028">
        <f>'SEAP template'!C87</f>
        <v>2517.4285714285716</v>
      </c>
      <c r="D17" s="1023">
        <f>'SEAP template'!D87</f>
        <v>2961.680672268908</v>
      </c>
      <c r="E17" s="1023">
        <f>'SEAP template'!E87</f>
        <v>0</v>
      </c>
      <c r="F17" s="1023">
        <f>'SEAP template'!F87</f>
        <v>0</v>
      </c>
      <c r="G17" s="1023">
        <f>'SEAP template'!G87</f>
        <v>0</v>
      </c>
      <c r="H17" s="1023">
        <f>'SEAP template'!H87</f>
        <v>0</v>
      </c>
      <c r="I17" s="1023">
        <f>'SEAP template'!I87</f>
        <v>0</v>
      </c>
      <c r="J17" s="1023">
        <f>'SEAP template'!J87</f>
        <v>220.08403361344537</v>
      </c>
      <c r="K17" s="1023">
        <f>'SEAP template'!K87</f>
        <v>0</v>
      </c>
      <c r="L17" s="1023">
        <f>'SEAP template'!L87</f>
        <v>0</v>
      </c>
      <c r="M17" s="1023">
        <f>'SEAP template'!M87</f>
        <v>0</v>
      </c>
      <c r="N17" s="1023">
        <f>'SEAP template'!N87</f>
        <v>0</v>
      </c>
      <c r="O17" s="1023">
        <f>'SEAP template'!O87</f>
        <v>0</v>
      </c>
      <c r="P17" s="1023">
        <f>'SEAP template'!Q87</f>
        <v>598.25949579831945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187.07142857142856</v>
      </c>
      <c r="C20" s="1026">
        <f>SUM(C17:C19)</f>
        <v>2517.4285714285716</v>
      </c>
      <c r="D20" s="1026">
        <f t="shared" ref="D20:H20" si="2">SUM(D17:D19)</f>
        <v>2961.680672268908</v>
      </c>
      <c r="E20" s="1026">
        <f t="shared" si="2"/>
        <v>0</v>
      </c>
      <c r="F20" s="1026">
        <f t="shared" si="2"/>
        <v>0</v>
      </c>
      <c r="G20" s="1026">
        <f t="shared" si="2"/>
        <v>0</v>
      </c>
      <c r="H20" s="1026">
        <f t="shared" si="2"/>
        <v>0</v>
      </c>
      <c r="I20" s="1026">
        <f>SUM(I17:I19)</f>
        <v>0</v>
      </c>
      <c r="J20" s="1026">
        <f>SUM(J17:J19)</f>
        <v>220.08403361344537</v>
      </c>
      <c r="K20" s="1026">
        <f t="shared" ref="K20:L20" si="3">SUM(K17:K19)</f>
        <v>0</v>
      </c>
      <c r="L20" s="1026">
        <f t="shared" si="3"/>
        <v>0</v>
      </c>
      <c r="M20" s="1026">
        <f>SUM(M17:M19)</f>
        <v>0</v>
      </c>
      <c r="N20" s="1026">
        <f>SUM(N17:N19)</f>
        <v>0</v>
      </c>
      <c r="O20" s="1026">
        <f>SUM(O17:O19)</f>
        <v>0</v>
      </c>
      <c r="P20" s="1026">
        <f>SUM(P17:P19)</f>
        <v>598.25949579831945</v>
      </c>
    </row>
    <row r="22" spans="1:16">
      <c r="A22" s="461" t="s">
        <v>848</v>
      </c>
      <c r="B22" s="760" t="s">
        <v>842</v>
      </c>
      <c r="C22" s="760">
        <f ca="1">'EF ele_warmte'!B22</f>
        <v>0.22120890952054703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0.13667833324245471</v>
      </c>
      <c r="C17" s="498">
        <f ca="1">'EF ele_warmte'!B22</f>
        <v>0.22120890952054703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2020-06-20T15:46:43Z</dcterms:modified>
</cp:coreProperties>
</file>