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M89" i="14" s="1"/>
  <c r="M19" i="61" s="1"/>
  <c r="G19" i="18"/>
  <c r="F19" i="18"/>
  <c r="G89" i="14" s="1"/>
  <c r="G19" i="61" s="1"/>
  <c r="E19" i="18"/>
  <c r="F89" i="14" s="1"/>
  <c r="F19" i="61" s="1"/>
  <c r="D19" i="18"/>
  <c r="C19" i="18"/>
  <c r="D89" i="14" s="1"/>
  <c r="D19" i="61" s="1"/>
  <c r="B19" i="18"/>
  <c r="N18" i="18"/>
  <c r="L88" i="14" s="1"/>
  <c r="M18" i="18"/>
  <c r="K88" i="14" s="1"/>
  <c r="K18" i="61" s="1"/>
  <c r="L18" i="18"/>
  <c r="L20" i="18" s="1"/>
  <c r="K18" i="18"/>
  <c r="N88" i="14" s="1"/>
  <c r="N18" i="61" s="1"/>
  <c r="J18" i="18"/>
  <c r="J88" i="14" s="1"/>
  <c r="J18" i="61" s="1"/>
  <c r="I18" i="18"/>
  <c r="H18" i="18"/>
  <c r="G18" i="18"/>
  <c r="H88" i="14" s="1"/>
  <c r="H18" i="61" s="1"/>
  <c r="F18" i="18"/>
  <c r="G88" i="14" s="1"/>
  <c r="G18" i="61" s="1"/>
  <c r="E18" i="18"/>
  <c r="F88" i="14" s="1"/>
  <c r="F18" i="61" s="1"/>
  <c r="D18" i="18"/>
  <c r="D20" i="18" s="1"/>
  <c r="C18" i="18"/>
  <c r="D88" i="14" s="1"/>
  <c r="D18" i="61" s="1"/>
  <c r="B18" i="18"/>
  <c r="L9" i="18"/>
  <c r="K9" i="18"/>
  <c r="N77" i="14" s="1"/>
  <c r="G9" i="18"/>
  <c r="G10" i="18" s="1"/>
  <c r="F9" i="18"/>
  <c r="G77" i="14" s="1"/>
  <c r="G9" i="61" s="1"/>
  <c r="D9" i="18"/>
  <c r="K22" i="18"/>
  <c r="J22" i="18"/>
  <c r="I22" i="18"/>
  <c r="H22" i="18"/>
  <c r="K12" i="18"/>
  <c r="J12" i="18"/>
  <c r="I12" i="18"/>
  <c r="H12"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V38" i="18"/>
  <c r="J9" i="18" s="1"/>
  <c r="J77" i="14" s="1"/>
  <c r="J9" i="61" s="1"/>
  <c r="U38" i="18"/>
  <c r="T38" i="18"/>
  <c r="I9" i="18" s="1"/>
  <c r="S38" i="18"/>
  <c r="E9" i="18" s="1"/>
  <c r="R38" i="18"/>
  <c r="Q38" i="18"/>
  <c r="P38" i="18"/>
  <c r="C9" i="18" s="1"/>
  <c r="O38" i="18"/>
  <c r="N38" i="18"/>
  <c r="B9" i="18" s="1"/>
  <c r="M38" i="18"/>
  <c r="W34" i="18"/>
  <c r="V34" i="18"/>
  <c r="U34" i="18"/>
  <c r="T34" i="18"/>
  <c r="S34" i="18"/>
  <c r="F6" i="17" s="1"/>
  <c r="R34" i="18"/>
  <c r="N6" i="17" s="1"/>
  <c r="Q34" i="18"/>
  <c r="P34" i="18"/>
  <c r="O34" i="18"/>
  <c r="N34" i="18"/>
  <c r="M34" i="18"/>
  <c r="W33" i="18"/>
  <c r="V33" i="18"/>
  <c r="U33" i="18"/>
  <c r="T33" i="18"/>
  <c r="S33" i="18"/>
  <c r="F13" i="15" s="1"/>
  <c r="R33" i="18"/>
  <c r="Q33" i="18"/>
  <c r="P33" i="18"/>
  <c r="D13" i="15" s="1"/>
  <c r="O33" i="18"/>
  <c r="N33" i="18"/>
  <c r="M33" i="18"/>
  <c r="W32" i="18"/>
  <c r="V32" i="18"/>
  <c r="U32" i="18"/>
  <c r="T32" i="18"/>
  <c r="S32" i="18"/>
  <c r="R32" i="18"/>
  <c r="Q32" i="18"/>
  <c r="P32" i="18"/>
  <c r="O32" i="18"/>
  <c r="N32" i="18"/>
  <c r="M32" i="18"/>
  <c r="W31" i="18"/>
  <c r="V31" i="18"/>
  <c r="U31" i="18"/>
  <c r="T31" i="18"/>
  <c r="S31" i="18"/>
  <c r="R31" i="18"/>
  <c r="Q31" i="18"/>
  <c r="P31" i="18"/>
  <c r="O31" i="18"/>
  <c r="N31" i="18"/>
  <c r="C47" i="18" s="1"/>
  <c r="M31" i="18"/>
  <c r="G22" i="18"/>
  <c r="F22" i="18"/>
  <c r="E22" i="18"/>
  <c r="D22" i="18"/>
  <c r="C22" i="18"/>
  <c r="B17" i="18"/>
  <c r="G12" i="18"/>
  <c r="F12" i="18"/>
  <c r="E12" i="18"/>
  <c r="D12" i="18"/>
  <c r="C12" i="18"/>
  <c r="L10" i="18"/>
  <c r="E77" i="14"/>
  <c r="E9" i="61" s="1"/>
  <c r="B6" i="18"/>
  <c r="B74" i="14" s="1"/>
  <c r="B6" i="61" s="1"/>
  <c r="B5" i="18"/>
  <c r="B73" i="14" s="1"/>
  <c r="B5" i="61" s="1"/>
  <c r="B4" i="18"/>
  <c r="B72" i="14" s="1"/>
  <c r="B4" i="61" s="1"/>
  <c r="L6" i="17"/>
  <c r="D6" i="17"/>
  <c r="C6" i="17"/>
  <c r="B19" i="6"/>
  <c r="B18" i="6"/>
  <c r="B5" i="6"/>
  <c r="B6" i="6"/>
  <c r="C64" i="14" s="1"/>
  <c r="D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L89" i="14"/>
  <c r="L19" i="61" s="1"/>
  <c r="K89" i="14"/>
  <c r="K19" i="61" s="1"/>
  <c r="H89" i="14"/>
  <c r="H19" i="61" s="1"/>
  <c r="E89" i="14"/>
  <c r="E19" i="61" s="1"/>
  <c r="M88" i="14"/>
  <c r="M18" i="61" s="1"/>
  <c r="I88" i="14"/>
  <c r="I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C25" i="14"/>
  <c r="B14" i="48" s="1"/>
  <c r="Q14" i="48" s="1"/>
  <c r="H26" i="14"/>
  <c r="L22" i="14"/>
  <c r="Q22" i="14"/>
  <c r="M22" i="14"/>
  <c r="G22" i="14"/>
  <c r="L16" i="14"/>
  <c r="I16" i="14"/>
  <c r="R12" i="14"/>
  <c r="D5" i="17"/>
  <c r="C13" i="15" l="1"/>
  <c r="H9" i="18"/>
  <c r="M77" i="14" s="1"/>
  <c r="M9" i="61" s="1"/>
  <c r="B8" i="18"/>
  <c r="B47" i="18"/>
  <c r="G51"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50" i="18"/>
  <c r="H8" i="18" s="1"/>
  <c r="E50" i="18"/>
  <c r="E8" i="18" s="1"/>
  <c r="G50" i="18"/>
  <c r="F50" i="18"/>
  <c r="H50" i="18"/>
  <c r="D50" i="18"/>
  <c r="C50" i="18"/>
  <c r="B50" i="18"/>
  <c r="C8" i="18" s="1"/>
  <c r="B51" i="18"/>
  <c r="C17" i="18" s="1"/>
  <c r="H51" i="18"/>
  <c r="D51"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51" i="18"/>
  <c r="E17" i="18" s="1"/>
  <c r="I51" i="18"/>
  <c r="H17" i="18" s="1"/>
  <c r="F51" i="18"/>
  <c r="C51" i="18"/>
  <c r="O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C10" i="18"/>
  <c r="C88" i="14"/>
  <c r="C18" i="61" s="1"/>
  <c r="F76" i="14"/>
  <c r="E10" i="18"/>
  <c r="I17" i="18"/>
  <c r="I10" i="18"/>
  <c r="I76" i="14"/>
  <c r="I8" i="61" s="1"/>
  <c r="I10" i="61" s="1"/>
  <c r="Q88" i="14"/>
  <c r="P18" i="61" s="1"/>
  <c r="I33" i="48"/>
  <c r="O10" i="18" l="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4" i="48"/>
  <c r="C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E5" i="48"/>
  <c r="E23" i="48" s="1"/>
  <c r="F10" i="14"/>
  <c r="I20" i="14"/>
  <c r="I22" i="14" s="1"/>
  <c r="I27" i="14" s="1"/>
  <c r="K10" i="14"/>
  <c r="J5" i="48"/>
  <c r="J23" i="48" s="1"/>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J15" i="48" l="1"/>
  <c r="F13" i="14"/>
  <c r="F16" i="14" s="1"/>
  <c r="F27" i="14" s="1"/>
  <c r="E8" i="48"/>
  <c r="E26" i="48" s="1"/>
  <c r="E33" i="48" s="1"/>
  <c r="K13" i="14"/>
  <c r="K16" i="14" s="1"/>
  <c r="K27" i="14" s="1"/>
  <c r="J8" i="48"/>
  <c r="J26" i="48" s="1"/>
  <c r="J33" i="48"/>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<sst xmlns="http://schemas.openxmlformats.org/spreadsheetml/2006/main" count="2422" uniqueCount="900">
  <si>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</si>
  <si>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</si>
  <si>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</si>
  <si>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</si>
  <si>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</si>
  <si>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</si>
  <si>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</si>
  <si>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</si>
  <si>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</si>
  <si>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</si>
  <si>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</si>
  <si>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</si>
  <si>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</si>
  <si>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</si>
  <si>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</si>
  <si>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</si>
  <si>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</si>
  <si>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</si>
  <si>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</si>
  <si>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</si>
  <si>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</si>
  <si>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</si>
  <si>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</si>
  <si>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</si>
  <si>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</si>
  <si>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</si>
  <si>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</si>
  <si>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</si>
  <si>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</si>
  <si>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</si>
  <si>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</si>
  <si>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</si>
  <si>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</si>
  <si>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</si>
  <si>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</si>
  <si>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</si>
  <si>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</si>
  <si>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</si>
  <si>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</si>
  <si>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</si>
  <si>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</si>
  <si>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</si>
  <si>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</si>
  <si>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</si>
  <si>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</si>
  <si>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</si>
  <si>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</si>
  <si>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</si>
  <si>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</si>
  <si>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</si>
  <si>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</si>
  <si>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</si>
  <si>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</si>
  <si>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</si>
  <si>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</si>
  <si>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</si>
  <si>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</si>
  <si>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</si>
  <si>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</si>
  <si>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</si>
  <si>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</si>
  <si>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</si>
  <si>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</si>
  <si>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</si>
  <si>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</si>
  <si>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</si>
  <si>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</si>
  <si>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</si>
  <si>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</si>
  <si>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</si>
  <si>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</si>
  <si>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</si>
  <si>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</si>
  <si>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</si>
  <si>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</si>
  <si>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</si>
  <si>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</si>
  <si>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</si>
  <si>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</si>
  <si>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</si>
  <si>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</si>
  <si>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</si>
  <si>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</si>
  <si>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</si>
  <si>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</si>
  <si>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</si>
  <si>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</si>
  <si>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</si>
  <si>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</si>
  <si>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</si>
  <si>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</si>
  <si>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</si>
  <si>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</si>
  <si>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</si>
  <si>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</si>
  <si>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</si>
  <si>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</si>
  <si>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</si>
  <si>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</si>
  <si>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</si>
  <si>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</si>
  <si>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</si>
  <si>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</si>
  <si>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</si>
  <si>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</si>
  <si>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</si>
  <si>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</si>
  <si>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</si>
  <si>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</si>
  <si>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</si>
  <si>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</si>
  <si>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</si>
  <si>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</si>
  <si>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</si>
  <si>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</si>
  <si>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</si>
  <si>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</si>
  <si>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</si>
  <si>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</si>
  <si>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</si>
  <si>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</si>
  <si>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</si>
  <si>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</si>
  <si>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</si>
  <si>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</si>
  <si>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</si>
  <si>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</si>
  <si>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</si>
  <si>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</si>
  <si>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</si>
  <si>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</si>
  <si>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</si>
  <si>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</si>
  <si>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</si>
  <si>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</si>
  <si>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</si>
  <si>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</si>
  <si>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</si>
  <si>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</si>
  <si>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</si>
  <si>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</si>
  <si>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</si>
  <si>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</si>
  <si>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</si>
  <si>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</si>
  <si>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</si>
  <si>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</si>
  <si>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</si>
  <si>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</si>
  <si>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</si>
  <si>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</si>
  <si>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</si>
  <si>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</si>
  <si>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</si>
  <si>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</si>
  <si>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</si>
  <si>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</si>
  <si>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</si>
  <si>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</si>
  <si>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</si>
  <si>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</si>
  <si>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</si>
  <si>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</si>
  <si>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</si>
  <si>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</si>
  <si>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</si>
  <si>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</si>
  <si>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</si>
  <si>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</si>
  <si>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</si>
  <si>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</si>
  <si>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</si>
  <si>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</si>
  <si>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</si>
  <si>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</si>
  <si>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</si>
  <si>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</si>
  <si>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</si>
  <si>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</si>
  <si>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</si>
  <si>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</si>
  <si>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</si>
  <si>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</si>
  <si>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</si>
  <si>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</si>
  <si>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</si>
  <si>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</si>
  <si>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</si>
  <si>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</si>
  <si>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</si>
  <si>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</si>
  <si>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</si>
  <si>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</si>
  <si>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</si>
  <si>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</si>
  <si>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</si>
  <si>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</si>
  <si>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</si>
  <si>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</si>
  <si>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</si>
  <si>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</si>
  <si>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</si>
  <si>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</si>
  <si>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</si>
  <si>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</si>
  <si>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</si>
  <si>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</si>
  <si>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</si>
  <si>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</si>
  <si>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</si>
  <si>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</si>
  <si>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</si>
  <si>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</si>
  <si>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</si>
  <si>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</si>
  <si>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</si>
  <si>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</si>
  <si>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</si>
  <si>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</si>
  <si>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</si>
  <si>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</si>
  <si>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</si>
  <si>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</si>
  <si>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</si>
  <si>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</si>
  <si>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</si>
  <si>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</si>
  <si>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</si>
  <si>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</si>
  <si>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</si>
  <si>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</si>
  <si>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</si>
  <si>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</si>
  <si>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</si>
  <si>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</si>
  <si>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</si>
  <si>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</si>
  <si>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</si>
  <si>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</si>
  <si>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</si>
  <si>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</si>
  <si>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</si>
  <si>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</si>
  <si>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</si>
  <si>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</si>
  <si>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</si>
  <si>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</si>
  <si>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</si>
  <si>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</si>
  <si>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</si>
  <si>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</si>
  <si>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</si>
  <si>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</si>
  <si>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</si>
  <si>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</si>
  <si>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</si>
  <si>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</si>
  <si>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</si>
  <si>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</si>
  <si>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</si>
  <si>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</si>
  <si>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</si>
  <si>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</si>
  <si>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</si>
  <si>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</si>
  <si>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</si>
  <si>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</si>
  <si>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</si>
  <si>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</si>
  <si>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</si>
  <si>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</si>
  <si>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</si>
  <si>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</si>
  <si>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</si>
  <si>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</si>
  <si>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</si>
  <si>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</si>
  <si>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</si>
  <si>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</si>
  <si>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</si>
  <si>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</si>
  <si>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</si>
  <si>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</si>
  <si>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</si>
  <si>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</si>
  <si>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</si>
  <si>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</si>
  <si>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</si>
  <si>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</si>
  <si>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</si>
  <si>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</si>
  <si>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</si>
  <si>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</si>
  <si>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</si>
  <si>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</si>
  <si>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</si>
  <si>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</si>
  <si>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</si>
  <si>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</si>
  <si>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</si>
  <si>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</si>
  <si>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</si>
  <si>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</si>
  <si>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</si>
  <si>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</si>
  <si>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</si>
  <si>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</si>
  <si>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</si>
  <si>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</si>
  <si>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</si>
  <si>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</si>
  <si>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</si>
  <si>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</si>
  <si>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</si>
  <si>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</si>
  <si>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</si>
  <si>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</si>
  <si>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</si>
  <si>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</si>
  <si>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</si>
  <si>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</si>
  <si>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</si>
  <si>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</si>
  <si>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</si>
  <si>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</si>
  <si>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</si>
  <si>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</si>
  <si>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</si>
  <si>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</si>
  <si>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</si>
  <si>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</si>
  <si>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</si>
  <si>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</si>
  <si>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</si>
  <si>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</si>
  <si>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</si>
  <si>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</si>
  <si>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</si>
  <si>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</si>
  <si>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</si>
  <si>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</si>
  <si>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</si>
  <si>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</si>
  <si>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</si>
  <si>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</si>
  <si>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</si>
  <si>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</si>
  <si>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</si>
  <si>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</si>
  <si>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</si>
  <si>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</si>
  <si>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</si>
  <si>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</si>
  <si>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</si>
  <si>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</si>
  <si>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</si>
  <si>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</si>
  <si>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</si>
  <si>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</si>
  <si>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</si>
  <si>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</si>
  <si>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</si>
  <si>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</si>
  <si>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</si>
  <si>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</si>
  <si>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</si>
  <si>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</si>
  <si>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</si>
  <si>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</si>
  <si>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</si>
  <si>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</si>
  <si>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</si>
  <si>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</si>
  <si>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</si>
  <si>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</si>
  <si>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</si>
  <si>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</si>
  <si>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</si>
  <si>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</si>
  <si>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</si>
  <si>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</si>
  <si>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</si>
  <si>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</si>
  <si>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</si>
  <si>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</si>
  <si>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</si>
  <si>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</si>
  <si>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</si>
  <si>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</si>
  <si>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</si>
  <si>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</si>
  <si>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</si>
  <si>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</si>
  <si>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</si>
  <si>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</si>
  <si>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</si>
  <si>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</si>
  <si>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</si>
  <si>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</si>
  <si>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</si>
  <si>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</si>
  <si>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</si>
  <si>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</si>
  <si>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</si>
  <si>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</si>
  <si>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</si>
  <si>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</si>
  <si>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</si>
  <si>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</si>
  <si>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</si>
  <si>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</si>
  <si>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</si>
  <si>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</si>
  <si>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</si>
  <si>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</si>
  <si>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</si>
  <si>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</si>
  <si>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</si>
  <si>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</si>
  <si>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</si>
  <si>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</si>
  <si>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</si>
  <si>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</si>
  <si>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</si>
  <si>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</si>
  <si>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</si>
  <si>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</si>
  <si>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</si>
  <si>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</si>
  <si>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</si>
  <si>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</si>
  <si>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</si>
  <si>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</si>
  <si>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</si>
  <si>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</si>
  <si>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</si>
  <si>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</si>
  <si>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</si>
  <si>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</si>
  <si>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</si>
  <si>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</si>
  <si>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</si>
  <si>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</si>
  <si>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</si>
  <si>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</si>
  <si>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</si>
  <si>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</si>
  <si>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</si>
  <si>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</si>
  <si>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</si>
  <si>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</si>
  <si>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</si>
  <si>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</si>
  <si>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</si>
  <si>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</si>
  <si>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</si>
  <si>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</si>
  <si>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</si>
  <si>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</si>
  <si>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</si>
  <si>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</si>
  <si>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</si>
  <si>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</si>
  <si>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</si>
  <si>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</si>
  <si>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</si>
  <si>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</si>
  <si>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</si>
  <si>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</si>
  <si>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</si>
  <si>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</si>
  <si>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</si>
  <si>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</si>
  <si>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</si>
  <si>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</si>
  <si>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</si>
  <si>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</si>
  <si>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</si>
  <si>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</si>
  <si>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</si>
  <si>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</si>
  <si>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</si>
  <si>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</si>
  <si>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</si>
  <si>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</si>
  <si>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</si>
  <si>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</si>
  <si>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</si>
  <si>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</si>
  <si>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</si>
  <si>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</si>
  <si>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</si>
  <si>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</si>
  <si>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</si>
  <si>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</si>
  <si>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</si>
  <si>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</si>
  <si>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</si>
  <si>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</si>
  <si>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</si>
  <si>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</si>
  <si>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</si>
  <si>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</si>
  <si>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</si>
  <si>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</si>
  <si>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</si>
  <si>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</si>
  <si>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</si>
  <si>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</si>
  <si>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</si>
  <si>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</si>
  <si>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</si>
  <si>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</si>
  <si>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</si>
  <si>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</si>
  <si>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</si>
  <si>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</si>
  <si>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</si>
  <si>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</si>
  <si>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</si>
  <si>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</si>
  <si>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</si>
  <si>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</si>
  <si>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</si>
  <si>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</si>
  <si>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</si>
  <si>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</si>
  <si>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</si>
  <si>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</si>
  <si>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</si>
  <si>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</si>
  <si>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</si>
  <si>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</si>
  <si>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</si>
  <si>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</si>
  <si>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</si>
  <si>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</si>
  <si>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</si>
  <si>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</si>
  <si>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</si>
  <si>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</si>
  <si>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</si>
  <si>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</si>
  <si>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</si>
  <si>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</si>
  <si>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</si>
  <si>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</si>
  <si>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</si>
  <si>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</si>
  <si>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</si>
  <si>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</si>
  <si>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</si>
  <si>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</si>
  <si>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</si>
  <si>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</si>
  <si>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</si>
  <si>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</si>
  <si>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</si>
  <si>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</si>
  <si>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</si>
  <si>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</si>
  <si>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</si>
  <si>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</si>
  <si>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</si>
  <si>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</si>
  <si>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</si>
  <si>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</si>
  <si>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</si>
  <si>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</si>
  <si>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</si>
  <si>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</si>
  <si>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</si>
  <si>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</si>
  <si>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</si>
  <si>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</si>
  <si>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</si>
  <si>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</si>
  <si>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</si>
  <si>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</si>
  <si>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</si>
  <si>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</si>
  <si>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</si>
  <si>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</si>
  <si>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</si>
  <si>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</si>
  <si>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</si>
  <si>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</si>
  <si>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</si>
  <si>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</si>
  <si>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</si>
  <si>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</si>
  <si>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</si>
  <si>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</si>
  <si>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</si>
  <si>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</si>
  <si>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</si>
  <si>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</si>
  <si>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</si>
  <si>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</si>
  <si>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</si>
  <si>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</si>
  <si>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</si>
  <si>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</si>
  <si>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</si>
  <si>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</si>
  <si>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</si>
  <si>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</si>
  <si>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</si>
  <si>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</si>
  <si>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</si>
  <si>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</si>
  <si>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</si>
  <si>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</si>
  <si>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</si>
  <si>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</si>
  <si>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</si>
  <si>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</si>
  <si>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</si>
  <si>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</si>
  <si>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</si>
  <si>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</si>
  <si>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</si>
  <si>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</si>
  <si>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</si>
  <si>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</si>
  <si>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</si>
  <si>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</si>
  <si>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</si>
  <si>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</si>
  <si>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</si>
  <si>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</si>
  <si>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</si>
  <si>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</si>
  <si>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</si>
  <si>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</si>
  <si>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</si>
  <si>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</si>
  <si>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</si>
  <si>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</si>
  <si>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</si>
  <si>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</si>
  <si>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</si>
  <si>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</si>
  <si>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</si>
  <si>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</si>
  <si>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</si>
  <si>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</si>
  <si>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</si>
  <si>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</si>
  <si>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</si>
  <si>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</si>
  <si>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</si>
  <si>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</si>
  <si>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</si>
  <si>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</si>
  <si>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</si>
  <si>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</si>
  <si>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</si>
  <si>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</si>
  <si>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</si>
  <si>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</si>
  <si>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</si>
  <si>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</si>
  <si>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</si>
  <si>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</si>
  <si>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</si>
  <si>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</si>
  <si>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</si>
  <si>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</si>
  <si>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</si>
  <si>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</si>
  <si>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</si>
  <si>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</si>
  <si>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</si>
  <si>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</si>
  <si>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</si>
  <si>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</si>
  <si>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</si>
  <si>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</si>
  <si>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</si>
  <si>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</si>
  <si>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</si>
  <si>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</si>
  <si>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</si>
  <si>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</si>
  <si>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</si>
  <si>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</si>
  <si>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</si>
  <si>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</si>
  <si>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</si>
  <si>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</si>
  <si>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</si>
  <si>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</si>
  <si>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</si>
  <si>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</si>
  <si>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</si>
  <si>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</si>
  <si>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</si>
  <si>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</si>
  <si>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</si>
  <si>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</si>
  <si>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</si>
  <si>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</si>
  <si>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</si>
  <si>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</si>
  <si>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</si>
  <si>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</si>
  <si>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</si>
  <si>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</si>
  <si>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</si>
  <si>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</si>
  <si>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</si>
  <si>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</si>
  <si>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</si>
  <si>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</si>
  <si>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</si>
  <si>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</si>
  <si>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</si>
  <si>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</si>
  <si>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</si>
  <si>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</si>
  <si>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</si>
  <si>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</si>
  <si>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</si>
  <si>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</si>
  <si>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</si>
  <si>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</si>
  <si>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</si>
  <si>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</si>
  <si>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</si>
  <si>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</si>
  <si>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</si>
  <si>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</si>
  <si>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</si>
  <si>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</si>
  <si>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</si>
  <si>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</si>
  <si>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</si>
  <si>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</si>
  <si>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</si>
  <si>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</si>
  <si>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</si>
  <si>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</si>
  <si>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</si>
  <si>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</si>
  <si>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</si>
  <si>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</si>
  <si>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</si>
  <si>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</si>
  <si>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</si>
  <si>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</si>
  <si>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</si>
  <si>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</si>
  <si>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</si>
  <si>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</si>
  <si>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</si>
  <si>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</si>
  <si>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</si>
  <si>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</si>
  <si>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</si>
  <si>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</si>
  <si>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</si>
  <si>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</si>
  <si>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</si>
  <si>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</si>
  <si>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</si>
  <si>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</si>
  <si>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</si>
  <si>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</si>
  <si>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</si>
  <si>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</si>
  <si>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</si>
  <si>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</si>
  <si>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</si>
  <si>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</si>
  <si>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</si>
  <si>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</si>
  <si>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</si>
  <si>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</si>
  <si>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</si>
  <si>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</si>
  <si>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</si>
  <si>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</si>
  <si>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</si>
  <si>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</si>
  <si>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</si>
  <si>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</si>
  <si>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</si>
  <si>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</si>
  <si>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</si>
  <si>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</si>
  <si>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</si>
  <si>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</si>
  <si>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</si>
  <si>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</si>
  <si>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</si>
  <si>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</si>
  <si>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</si>
  <si>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</si>
  <si>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</si>
  <si>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</si>
  <si>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</si>
  <si>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</si>
  <si>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</si>
  <si>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</si>
  <si>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</si>
  <si>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</si>
  <si>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</si>
  <si>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</si>
  <si>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</si>
  <si>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</si>
  <si>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</si>
  <si>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</si>
  <si>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</si>
  <si>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</si>
  <si>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</si>
  <si>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</si>
  <si>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</si>
  <si>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</si>
  <si>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</si>
  <si>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</si>
  <si>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</si>
  <si>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</si>
  <si>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</si>
  <si>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</si>
  <si>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</si>
  <si>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</si>
  <si>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</si>
  <si>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</si>
  <si>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</si>
  <si>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</si>
  <si>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</si>
  <si>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</si>
  <si>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</si>
  <si>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</si>
  <si>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</si>
  <si>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</si>
  <si>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</si>
  <si>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</si>
  <si>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</si>
  <si>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</si>
  <si>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</si>
  <si>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</si>
  <si>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</si>
  <si>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</si>
  <si>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</si>
  <si>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</si>
  <si>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</si>
  <si>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</si>
  <si>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</si>
  <si>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</si>
  <si>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</si>
  <si>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</si>
  <si>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</si>
  <si>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</si>
  <si>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</si>
  <si>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</si>
  <si>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</si>
  <si>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</si>
  <si>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</si>
  <si>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</si>
  <si>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</si>
  <si>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</si>
  <si>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</si>
  <si>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</si>
  <si>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</si>
  <si>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</si>
  <si>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</si>
  <si>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</si>
  <si>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</si>
  <si>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</si>
  <si>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</si>
  <si>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</si>
  <si>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</si>
  <si>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</si>
  <si>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</si>
  <si>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</si>
  <si>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</si>
  <si>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</si>
  <si>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</si>
  <si>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</si>
  <si>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</si>
  <si>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</si>
  <si>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44001</t>
  </si>
  <si>
    <t>AALTER</t>
  </si>
  <si>
    <t>Fluvius</t>
  </si>
  <si>
    <t>referentietaak LNE (2017); Jaarverslag De Lijn</t>
  </si>
  <si>
    <t>Bio-N.R.GY nv</t>
  </si>
  <si>
    <t>Northlaan 15 B7.01, 8400 Oostende</t>
  </si>
  <si>
    <t>WKK-0466 Bio-N.R.GY</t>
  </si>
  <si>
    <t>interne verbrandingsmotor</t>
  </si>
  <si>
    <t>WKK interne verbrandinsgmotor (gas)</t>
  </si>
  <si>
    <t>Aalterweg 4 , 9880 Aalter</t>
  </si>
  <si>
    <t>IMEWO</t>
  </si>
  <si>
    <t>WKK-0682 MIG Aalter</t>
  </si>
  <si>
    <t>Watermolenstraat 1 , 9880 Aalter</t>
  </si>
  <si>
    <t>Woon en zorgcentrum Veilige Have</t>
  </si>
  <si>
    <t>WKK-0752</t>
  </si>
  <si>
    <t>Lostraat 28, 9880 Aalter, BE</t>
  </si>
  <si>
    <t>IMEWO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</si>
</sst>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171821.49397138451</c:v>
                </c:pt>
                <c:pt idx="1">
                  <c:v>61874.40462026457</c:v>
                </c:pt>
                <c:pt idx="2">
                  <c:v>2078.9459999999999</c:v>
                </c:pt>
                <c:pt idx="3">
                  <c:v>60410.429157267768</c:v>
                </c:pt>
                <c:pt idx="4">
                  <c:v>289798.76505370019</c:v>
                </c:pt>
                <c:pt idx="5">
                  <c:v>562947.33562044124</c:v>
                </c:pt>
                <c:pt idx="6">
                  <c:v>681.03559646446445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171821.49397138451</c:v>
                </c:pt>
                <c:pt idx="1">
                  <c:v>61874.40462026457</c:v>
                </c:pt>
                <c:pt idx="2">
                  <c:v>2078.9459999999999</c:v>
                </c:pt>
                <c:pt idx="3">
                  <c:v>60410.429157267768</c:v>
                </c:pt>
                <c:pt idx="4">
                  <c:v>289798.76505370019</c:v>
                </c:pt>
                <c:pt idx="5">
                  <c:v>562947.33562044124</c:v>
                </c:pt>
                <c:pt idx="6">
                  <c:v>681.03559646446445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31109.83769982832</c:v>
                </c:pt>
                <c:pt idx="2">
                  <c:v>11826.186425875894</c:v>
                </c:pt>
                <c:pt idx="3">
                  <c:v>394.07150511454552</c:v>
                </c:pt>
                <c:pt idx="4">
                  <c:v>10412.163337427704</c:v>
                </c:pt>
                <c:pt idx="5">
                  <c:v>56322.316770673831</c:v>
                </c:pt>
                <c:pt idx="6">
                  <c:v>141114.4442874339</c:v>
                </c:pt>
                <c:pt idx="7">
                  <c:v>172.06472564009789</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31109.83769982832</c:v>
                </c:pt>
                <c:pt idx="2">
                  <c:v>11826.186425875894</c:v>
                </c:pt>
                <c:pt idx="3">
                  <c:v>394.07150511454552</c:v>
                </c:pt>
                <c:pt idx="4">
                  <c:v>10412.163337427704</c:v>
                </c:pt>
                <c:pt idx="5">
                  <c:v>56322.316770673831</c:v>
                </c:pt>
                <c:pt idx="6">
                  <c:v>141114.4442874339</c:v>
                </c:pt>
                <c:pt idx="7">
                  <c:v>172.06472564009789</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44001</v>
      </c>
      <c r="B6" s="390"/>
      <c r="C6" s="391"/>
    </row>
    <row r="7" spans="1:7" s="388" customFormat="1" ht="15.75" customHeight="1">
      <c r="A7" s="392" t="str">
        <f>txtMunicipality</f>
        <v>AALTER</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0.18955350697639359</v>
      </c>
      <c r="C17" s="498">
        <f ca="1">'EF ele_warmte'!B22</f>
        <v>3.6382987432969022E-3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0.18955350697639359</v>
      </c>
      <c r="C29" s="499">
        <f ca="1">'EF ele_warmte'!B22</f>
        <v>3.6382987432969022E-3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8364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4963.3500000000004</v>
      </c>
      <c r="C14" s="330"/>
      <c r="D14" s="330"/>
      <c r="E14" s="330"/>
      <c r="F14" s="330"/>
    </row>
    <row r="15" spans="1:6">
      <c r="A15" s="1293" t="s">
        <v>183</v>
      </c>
      <c r="B15" s="1294">
        <v>98</v>
      </c>
      <c r="C15" s="330"/>
      <c r="D15" s="330"/>
      <c r="E15" s="330"/>
      <c r="F15" s="330"/>
    </row>
    <row r="16" spans="1:6">
      <c r="A16" s="1293" t="s">
        <v>6</v>
      </c>
      <c r="B16" s="1294">
        <v>3769</v>
      </c>
      <c r="C16" s="330"/>
      <c r="D16" s="330"/>
      <c r="E16" s="330"/>
      <c r="F16" s="330"/>
    </row>
    <row r="17" spans="1:6">
      <c r="A17" s="1293" t="s">
        <v>7</v>
      </c>
      <c r="B17" s="1294">
        <v>1470</v>
      </c>
      <c r="C17" s="330"/>
      <c r="D17" s="330"/>
      <c r="E17" s="330"/>
      <c r="F17" s="330"/>
    </row>
    <row r="18" spans="1:6">
      <c r="A18" s="1293" t="s">
        <v>8</v>
      </c>
      <c r="B18" s="1294">
        <v>3043</v>
      </c>
      <c r="C18" s="330"/>
      <c r="D18" s="330"/>
      <c r="E18" s="330"/>
      <c r="F18" s="330"/>
    </row>
    <row r="19" spans="1:6">
      <c r="A19" s="1293" t="s">
        <v>9</v>
      </c>
      <c r="B19" s="1294">
        <v>3082</v>
      </c>
      <c r="C19" s="330"/>
      <c r="D19" s="330"/>
      <c r="E19" s="330"/>
      <c r="F19" s="330"/>
    </row>
    <row r="20" spans="1:6">
      <c r="A20" s="1293" t="s">
        <v>10</v>
      </c>
      <c r="B20" s="1294">
        <v>1788</v>
      </c>
      <c r="C20" s="330"/>
      <c r="D20" s="330"/>
      <c r="E20" s="330"/>
      <c r="F20" s="330"/>
    </row>
    <row r="21" spans="1:6">
      <c r="A21" s="1293" t="s">
        <v>11</v>
      </c>
      <c r="B21" s="1294">
        <v>25298</v>
      </c>
      <c r="C21" s="330"/>
      <c r="D21" s="330"/>
      <c r="E21" s="330"/>
      <c r="F21" s="330"/>
    </row>
    <row r="22" spans="1:6">
      <c r="A22" s="1293" t="s">
        <v>12</v>
      </c>
      <c r="B22" s="1294">
        <v>78338</v>
      </c>
      <c r="C22" s="330"/>
      <c r="D22" s="330"/>
      <c r="E22" s="330"/>
      <c r="F22" s="330"/>
    </row>
    <row r="23" spans="1:6">
      <c r="A23" s="1293" t="s">
        <v>13</v>
      </c>
      <c r="B23" s="1294">
        <v>816</v>
      </c>
      <c r="C23" s="330"/>
      <c r="D23" s="330"/>
      <c r="E23" s="330"/>
      <c r="F23" s="330"/>
    </row>
    <row r="24" spans="1:6">
      <c r="A24" s="1293" t="s">
        <v>14</v>
      </c>
      <c r="B24" s="1294">
        <v>30</v>
      </c>
      <c r="C24" s="330"/>
      <c r="D24" s="330"/>
      <c r="E24" s="330"/>
      <c r="F24" s="330"/>
    </row>
    <row r="25" spans="1:6">
      <c r="A25" s="1293" t="s">
        <v>15</v>
      </c>
      <c r="B25" s="1294">
        <v>4404</v>
      </c>
      <c r="C25" s="330"/>
      <c r="D25" s="330"/>
      <c r="E25" s="330"/>
      <c r="F25" s="330"/>
    </row>
    <row r="26" spans="1:6">
      <c r="A26" s="1293" t="s">
        <v>16</v>
      </c>
      <c r="B26" s="1294">
        <v>410</v>
      </c>
      <c r="C26" s="330"/>
      <c r="D26" s="330"/>
      <c r="E26" s="330"/>
      <c r="F26" s="330"/>
    </row>
    <row r="27" spans="1:6">
      <c r="A27" s="1293" t="s">
        <v>17</v>
      </c>
      <c r="B27" s="1294">
        <v>2</v>
      </c>
      <c r="C27" s="330"/>
      <c r="D27" s="330"/>
      <c r="E27" s="330"/>
      <c r="F27" s="330"/>
    </row>
    <row r="28" spans="1:6" s="43" customFormat="1">
      <c r="A28" s="1295" t="s">
        <v>18</v>
      </c>
      <c r="B28" s="1296">
        <v>806590</v>
      </c>
      <c r="C28" s="336"/>
      <c r="D28" s="336"/>
      <c r="E28" s="336"/>
      <c r="F28" s="336"/>
    </row>
    <row r="29" spans="1:6">
      <c r="A29" s="1295" t="s">
        <v>734</v>
      </c>
      <c r="B29" s="1296">
        <v>234</v>
      </c>
      <c r="C29" s="336"/>
      <c r="D29" s="336"/>
      <c r="E29" s="336"/>
      <c r="F29" s="336"/>
    </row>
    <row r="30" spans="1:6">
      <c r="A30" s="1288" t="s">
        <v>735</v>
      </c>
      <c r="B30" s="1297">
        <v>44</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3</v>
      </c>
      <c r="F36" s="1294">
        <v>29122</v>
      </c>
    </row>
    <row r="37" spans="1:6">
      <c r="A37" s="1293" t="s">
        <v>24</v>
      </c>
      <c r="B37" s="1293" t="s">
        <v>27</v>
      </c>
      <c r="C37" s="1294">
        <v>0</v>
      </c>
      <c r="D37" s="1294">
        <v>0</v>
      </c>
      <c r="E37" s="1294">
        <v>0</v>
      </c>
      <c r="F37" s="1294">
        <v>0</v>
      </c>
    </row>
    <row r="38" spans="1:6">
      <c r="A38" s="1293" t="s">
        <v>24</v>
      </c>
      <c r="B38" s="1293" t="s">
        <v>28</v>
      </c>
      <c r="C38" s="1294">
        <v>0</v>
      </c>
      <c r="D38" s="1294">
        <v>0</v>
      </c>
      <c r="E38" s="1294">
        <v>3</v>
      </c>
      <c r="F38" s="1294">
        <v>103474.26225296</v>
      </c>
    </row>
    <row r="39" spans="1:6">
      <c r="A39" s="1293" t="s">
        <v>29</v>
      </c>
      <c r="B39" s="1293" t="s">
        <v>30</v>
      </c>
      <c r="C39" s="1294">
        <v>3961</v>
      </c>
      <c r="D39" s="1294">
        <v>59531094.775394</v>
      </c>
      <c r="E39" s="1294">
        <v>7748</v>
      </c>
      <c r="F39" s="1294">
        <v>35154072.3545307</v>
      </c>
    </row>
    <row r="40" spans="1:6">
      <c r="A40" s="1293" t="s">
        <v>29</v>
      </c>
      <c r="B40" s="1293" t="s">
        <v>28</v>
      </c>
      <c r="C40" s="1294">
        <v>0</v>
      </c>
      <c r="D40" s="1294">
        <v>0</v>
      </c>
      <c r="E40" s="1294">
        <v>0</v>
      </c>
      <c r="F40" s="1294">
        <v>0</v>
      </c>
    </row>
    <row r="41" spans="1:6">
      <c r="A41" s="1293" t="s">
        <v>31</v>
      </c>
      <c r="B41" s="1293" t="s">
        <v>32</v>
      </c>
      <c r="C41" s="1294">
        <v>117</v>
      </c>
      <c r="D41" s="1294">
        <v>2299760.7883392498</v>
      </c>
      <c r="E41" s="1294">
        <v>296</v>
      </c>
      <c r="F41" s="1294">
        <v>2728809.8378876098</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7</v>
      </c>
      <c r="D44" s="1294">
        <v>344149.49675123102</v>
      </c>
      <c r="E44" s="1294">
        <v>33</v>
      </c>
      <c r="F44" s="1294">
        <v>1729308.99353745</v>
      </c>
    </row>
    <row r="45" spans="1:6">
      <c r="A45" s="1293" t="s">
        <v>31</v>
      </c>
      <c r="B45" s="1293" t="s">
        <v>36</v>
      </c>
      <c r="C45" s="1294">
        <v>3</v>
      </c>
      <c r="D45" s="1294">
        <v>2254417.4562598802</v>
      </c>
      <c r="E45" s="1294">
        <v>4</v>
      </c>
      <c r="F45" s="1294">
        <v>934467.07502058696</v>
      </c>
    </row>
    <row r="46" spans="1:6">
      <c r="A46" s="1293" t="s">
        <v>31</v>
      </c>
      <c r="B46" s="1293" t="s">
        <v>37</v>
      </c>
      <c r="C46" s="1294">
        <v>0</v>
      </c>
      <c r="D46" s="1294">
        <v>0</v>
      </c>
      <c r="E46" s="1294">
        <v>0</v>
      </c>
      <c r="F46" s="1294">
        <v>0</v>
      </c>
    </row>
    <row r="47" spans="1:6">
      <c r="A47" s="1293" t="s">
        <v>31</v>
      </c>
      <c r="B47" s="1293" t="s">
        <v>38</v>
      </c>
      <c r="C47" s="1294">
        <v>4</v>
      </c>
      <c r="D47" s="1294">
        <v>10125082.082746699</v>
      </c>
      <c r="E47" s="1294">
        <v>8</v>
      </c>
      <c r="F47" s="1294">
        <v>8029956.0329365199</v>
      </c>
    </row>
    <row r="48" spans="1:6">
      <c r="A48" s="1293" t="s">
        <v>31</v>
      </c>
      <c r="B48" s="1293" t="s">
        <v>28</v>
      </c>
      <c r="C48" s="1294">
        <v>31</v>
      </c>
      <c r="D48" s="1294">
        <v>185804963.68642199</v>
      </c>
      <c r="E48" s="1294">
        <v>49</v>
      </c>
      <c r="F48" s="1294">
        <v>8820740.8231973201</v>
      </c>
    </row>
    <row r="49" spans="1:6">
      <c r="A49" s="1293" t="s">
        <v>31</v>
      </c>
      <c r="B49" s="1293" t="s">
        <v>39</v>
      </c>
      <c r="C49" s="1294">
        <v>0</v>
      </c>
      <c r="D49" s="1294">
        <v>0</v>
      </c>
      <c r="E49" s="1294">
        <v>0</v>
      </c>
      <c r="F49" s="1294">
        <v>0</v>
      </c>
    </row>
    <row r="50" spans="1:6">
      <c r="A50" s="1293" t="s">
        <v>31</v>
      </c>
      <c r="B50" s="1293" t="s">
        <v>40</v>
      </c>
      <c r="C50" s="1294">
        <v>13</v>
      </c>
      <c r="D50" s="1294">
        <v>4906437.6678406801</v>
      </c>
      <c r="E50" s="1294">
        <v>23</v>
      </c>
      <c r="F50" s="1294">
        <v>63140947.724142298</v>
      </c>
    </row>
    <row r="51" spans="1:6">
      <c r="A51" s="1293" t="s">
        <v>41</v>
      </c>
      <c r="B51" s="1293" t="s">
        <v>42</v>
      </c>
      <c r="C51" s="1294">
        <v>11</v>
      </c>
      <c r="D51" s="1294">
        <v>188876.170147928</v>
      </c>
      <c r="E51" s="1294">
        <v>235</v>
      </c>
      <c r="F51" s="1294">
        <v>5932957.8773954501</v>
      </c>
    </row>
    <row r="52" spans="1:6">
      <c r="A52" s="1293" t="s">
        <v>41</v>
      </c>
      <c r="B52" s="1293" t="s">
        <v>28</v>
      </c>
      <c r="C52" s="1294">
        <v>16</v>
      </c>
      <c r="D52" s="1294">
        <v>8324545.2248882102</v>
      </c>
      <c r="E52" s="1294">
        <v>18</v>
      </c>
      <c r="F52" s="1294">
        <v>534656.15608107205</v>
      </c>
    </row>
    <row r="53" spans="1:6">
      <c r="A53" s="1293" t="s">
        <v>43</v>
      </c>
      <c r="B53" s="1293" t="s">
        <v>44</v>
      </c>
      <c r="C53" s="1294">
        <v>111</v>
      </c>
      <c r="D53" s="1294">
        <v>1400253.70940059</v>
      </c>
      <c r="E53" s="1294">
        <v>319</v>
      </c>
      <c r="F53" s="1294">
        <v>1409717.7077357499</v>
      </c>
    </row>
    <row r="54" spans="1:6">
      <c r="A54" s="1293" t="s">
        <v>45</v>
      </c>
      <c r="B54" s="1293" t="s">
        <v>46</v>
      </c>
      <c r="C54" s="1294">
        <v>0</v>
      </c>
      <c r="D54" s="1294">
        <v>0</v>
      </c>
      <c r="E54" s="1294">
        <v>4</v>
      </c>
      <c r="F54" s="1294">
        <v>2078946</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69</v>
      </c>
      <c r="D57" s="1294">
        <v>3558602.0671937698</v>
      </c>
      <c r="E57" s="1294">
        <v>102</v>
      </c>
      <c r="F57" s="1294">
        <v>2270335.2626888198</v>
      </c>
    </row>
    <row r="58" spans="1:6">
      <c r="A58" s="1293" t="s">
        <v>48</v>
      </c>
      <c r="B58" s="1293" t="s">
        <v>50</v>
      </c>
      <c r="C58" s="1294">
        <v>30</v>
      </c>
      <c r="D58" s="1294">
        <v>812383.55463296501</v>
      </c>
      <c r="E58" s="1294">
        <v>57</v>
      </c>
      <c r="F58" s="1294">
        <v>746307.26224799897</v>
      </c>
    </row>
    <row r="59" spans="1:6">
      <c r="A59" s="1293" t="s">
        <v>48</v>
      </c>
      <c r="B59" s="1293" t="s">
        <v>51</v>
      </c>
      <c r="C59" s="1294">
        <v>96</v>
      </c>
      <c r="D59" s="1294">
        <v>3708858.31891305</v>
      </c>
      <c r="E59" s="1294">
        <v>251</v>
      </c>
      <c r="F59" s="1294">
        <v>7940768.1247916203</v>
      </c>
    </row>
    <row r="60" spans="1:6">
      <c r="A60" s="1293" t="s">
        <v>48</v>
      </c>
      <c r="B60" s="1293" t="s">
        <v>52</v>
      </c>
      <c r="C60" s="1294">
        <v>61</v>
      </c>
      <c r="D60" s="1294">
        <v>3368950.8044630699</v>
      </c>
      <c r="E60" s="1294">
        <v>94</v>
      </c>
      <c r="F60" s="1294">
        <v>2657312.2397410101</v>
      </c>
    </row>
    <row r="61" spans="1:6">
      <c r="A61" s="1293" t="s">
        <v>48</v>
      </c>
      <c r="B61" s="1293" t="s">
        <v>53</v>
      </c>
      <c r="C61" s="1294">
        <v>135</v>
      </c>
      <c r="D61" s="1294">
        <v>3542817.67049804</v>
      </c>
      <c r="E61" s="1294">
        <v>484</v>
      </c>
      <c r="F61" s="1294">
        <v>5736995.2919707103</v>
      </c>
    </row>
    <row r="62" spans="1:6">
      <c r="A62" s="1293" t="s">
        <v>48</v>
      </c>
      <c r="B62" s="1293" t="s">
        <v>54</v>
      </c>
      <c r="C62" s="1294">
        <v>5</v>
      </c>
      <c r="D62" s="1294">
        <v>672980.64779423899</v>
      </c>
      <c r="E62" s="1294">
        <v>9</v>
      </c>
      <c r="F62" s="1294">
        <v>86176.263988619699</v>
      </c>
    </row>
    <row r="63" spans="1:6">
      <c r="A63" s="1293" t="s">
        <v>48</v>
      </c>
      <c r="B63" s="1293" t="s">
        <v>28</v>
      </c>
      <c r="C63" s="1294">
        <v>105</v>
      </c>
      <c r="D63" s="1294">
        <v>12993603.3489241</v>
      </c>
      <c r="E63" s="1294">
        <v>140</v>
      </c>
      <c r="F63" s="1294">
        <v>8384794.95078432</v>
      </c>
    </row>
    <row r="64" spans="1:6">
      <c r="A64" s="1293" t="s">
        <v>55</v>
      </c>
      <c r="B64" s="1293" t="s">
        <v>56</v>
      </c>
      <c r="C64" s="1294">
        <v>0</v>
      </c>
      <c r="D64" s="1294">
        <v>0</v>
      </c>
      <c r="E64" s="1294">
        <v>0</v>
      </c>
      <c r="F64" s="1294">
        <v>0</v>
      </c>
    </row>
    <row r="65" spans="1:6">
      <c r="A65" s="1293" t="s">
        <v>55</v>
      </c>
      <c r="B65" s="1293" t="s">
        <v>28</v>
      </c>
      <c r="C65" s="1294">
        <v>2</v>
      </c>
      <c r="D65" s="1294">
        <v>34402.631653394899</v>
      </c>
      <c r="E65" s="1294">
        <v>5</v>
      </c>
      <c r="F65" s="1294">
        <v>48120.339717523697</v>
      </c>
    </row>
    <row r="66" spans="1:6">
      <c r="A66" s="1293" t="s">
        <v>55</v>
      </c>
      <c r="B66" s="1293" t="s">
        <v>57</v>
      </c>
      <c r="C66" s="1294">
        <v>0</v>
      </c>
      <c r="D66" s="1294">
        <v>0</v>
      </c>
      <c r="E66" s="1294">
        <v>15</v>
      </c>
      <c r="F66" s="1294">
        <v>290190.96776857902</v>
      </c>
    </row>
    <row r="67" spans="1:6">
      <c r="A67" s="1295" t="s">
        <v>55</v>
      </c>
      <c r="B67" s="1295" t="s">
        <v>58</v>
      </c>
      <c r="C67" s="1294">
        <v>0</v>
      </c>
      <c r="D67" s="1294">
        <v>0</v>
      </c>
      <c r="E67" s="1294">
        <v>0</v>
      </c>
      <c r="F67" s="1294">
        <v>0</v>
      </c>
    </row>
    <row r="68" spans="1:6">
      <c r="A68" s="1288" t="s">
        <v>55</v>
      </c>
      <c r="B68" s="1288" t="s">
        <v>59</v>
      </c>
      <c r="C68" s="1297">
        <v>3</v>
      </c>
      <c r="D68" s="1297">
        <v>90076.154975188707</v>
      </c>
      <c r="E68" s="1297">
        <v>14</v>
      </c>
      <c r="F68" s="1297">
        <v>133194.585700328</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110118900</v>
      </c>
      <c r="E73" s="449"/>
      <c r="F73" s="330"/>
    </row>
    <row r="74" spans="1:6">
      <c r="A74" s="1293" t="s">
        <v>63</v>
      </c>
      <c r="B74" s="1293" t="s">
        <v>656</v>
      </c>
      <c r="C74" s="1307" t="s">
        <v>658</v>
      </c>
      <c r="D74" s="1308">
        <v>15536875</v>
      </c>
      <c r="E74" s="449"/>
      <c r="F74" s="330"/>
    </row>
    <row r="75" spans="1:6">
      <c r="A75" s="1293" t="s">
        <v>64</v>
      </c>
      <c r="B75" s="1293" t="s">
        <v>655</v>
      </c>
      <c r="C75" s="1307" t="s">
        <v>659</v>
      </c>
      <c r="D75" s="1308">
        <v>43336445</v>
      </c>
      <c r="E75" s="449"/>
      <c r="F75" s="330"/>
    </row>
    <row r="76" spans="1:6">
      <c r="A76" s="1293" t="s">
        <v>64</v>
      </c>
      <c r="B76" s="1293" t="s">
        <v>656</v>
      </c>
      <c r="C76" s="1307" t="s">
        <v>660</v>
      </c>
      <c r="D76" s="1308">
        <v>922918</v>
      </c>
      <c r="E76" s="449"/>
      <c r="F76" s="330"/>
    </row>
    <row r="77" spans="1:6">
      <c r="A77" s="1293" t="s">
        <v>65</v>
      </c>
      <c r="B77" s="1293" t="s">
        <v>655</v>
      </c>
      <c r="C77" s="1307" t="s">
        <v>661</v>
      </c>
      <c r="D77" s="1308">
        <v>360388718</v>
      </c>
      <c r="E77" s="449"/>
      <c r="F77" s="330"/>
    </row>
    <row r="78" spans="1:6">
      <c r="A78" s="1288" t="s">
        <v>65</v>
      </c>
      <c r="B78" s="1288" t="s">
        <v>656</v>
      </c>
      <c r="C78" s="1288" t="s">
        <v>662</v>
      </c>
      <c r="D78" s="1309">
        <v>63807340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185740</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5142.436136231544</v>
      </c>
      <c r="C91" s="330"/>
      <c r="D91" s="330"/>
      <c r="E91" s="330"/>
      <c r="F91" s="330"/>
    </row>
    <row r="92" spans="1:6">
      <c r="A92" s="1288" t="s">
        <v>68</v>
      </c>
      <c r="B92" s="1289">
        <v>5449.0844228809128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1440</v>
      </c>
      <c r="C97" s="330"/>
      <c r="D97" s="330"/>
      <c r="E97" s="330"/>
      <c r="F97" s="330"/>
    </row>
    <row r="98" spans="1:6">
      <c r="A98" s="1293" t="s">
        <v>71</v>
      </c>
      <c r="B98" s="1294">
        <v>1</v>
      </c>
      <c r="C98" s="330"/>
      <c r="D98" s="330"/>
      <c r="E98" s="330"/>
      <c r="F98" s="330"/>
    </row>
    <row r="99" spans="1:6">
      <c r="A99" s="1293" t="s">
        <v>72</v>
      </c>
      <c r="B99" s="1294">
        <v>236</v>
      </c>
      <c r="C99" s="330"/>
      <c r="D99" s="330"/>
      <c r="E99" s="330"/>
      <c r="F99" s="330"/>
    </row>
    <row r="100" spans="1:6">
      <c r="A100" s="1293" t="s">
        <v>73</v>
      </c>
      <c r="B100" s="1294">
        <v>1076</v>
      </c>
      <c r="C100" s="330"/>
      <c r="D100" s="330"/>
      <c r="E100" s="330"/>
      <c r="F100" s="330"/>
    </row>
    <row r="101" spans="1:6">
      <c r="A101" s="1293" t="s">
        <v>74</v>
      </c>
      <c r="B101" s="1294">
        <v>156</v>
      </c>
      <c r="C101" s="330"/>
      <c r="D101" s="330"/>
      <c r="E101" s="330"/>
      <c r="F101" s="330"/>
    </row>
    <row r="102" spans="1:6">
      <c r="A102" s="1293" t="s">
        <v>75</v>
      </c>
      <c r="B102" s="1294">
        <v>152</v>
      </c>
      <c r="C102" s="330"/>
      <c r="D102" s="330"/>
      <c r="E102" s="330"/>
      <c r="F102" s="330"/>
    </row>
    <row r="103" spans="1:6">
      <c r="A103" s="1293" t="s">
        <v>76</v>
      </c>
      <c r="B103" s="1294">
        <v>274</v>
      </c>
      <c r="C103" s="330"/>
      <c r="D103" s="330"/>
      <c r="E103" s="330"/>
      <c r="F103" s="330"/>
    </row>
    <row r="104" spans="1:6">
      <c r="A104" s="1293" t="s">
        <v>77</v>
      </c>
      <c r="B104" s="1294">
        <v>3449</v>
      </c>
      <c r="C104" s="330"/>
      <c r="D104" s="330"/>
      <c r="E104" s="330"/>
      <c r="F104" s="330"/>
    </row>
    <row r="105" spans="1:6">
      <c r="A105" s="1288" t="s">
        <v>78</v>
      </c>
      <c r="B105" s="1297">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2</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78</v>
      </c>
      <c r="C123" s="1294">
        <v>55</v>
      </c>
      <c r="D123" s="330"/>
      <c r="E123" s="330"/>
      <c r="F123" s="330"/>
    </row>
    <row r="124" spans="1:6" s="43" customFormat="1">
      <c r="A124" s="1295" t="s">
        <v>88</v>
      </c>
      <c r="B124" s="1316">
        <v>3</v>
      </c>
      <c r="C124" s="1316">
        <v>3</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312</v>
      </c>
      <c r="C129" s="330"/>
      <c r="D129" s="330"/>
      <c r="E129" s="330"/>
      <c r="F129" s="330"/>
    </row>
    <row r="130" spans="1:6">
      <c r="A130" s="1293" t="s">
        <v>294</v>
      </c>
      <c r="B130" s="1294">
        <v>9</v>
      </c>
      <c r="C130" s="330"/>
      <c r="D130" s="330"/>
      <c r="E130" s="330"/>
      <c r="F130" s="330"/>
    </row>
    <row r="131" spans="1:6">
      <c r="A131" s="1293" t="s">
        <v>295</v>
      </c>
      <c r="B131" s="1294">
        <v>9</v>
      </c>
      <c r="C131" s="330"/>
      <c r="D131" s="330"/>
      <c r="E131" s="330"/>
      <c r="F131" s="330"/>
    </row>
    <row r="132" spans="1:6">
      <c r="A132" s="1288" t="s">
        <v>296</v>
      </c>
      <c r="B132" s="1289">
        <v>38</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163829.55396804877</v>
      </c>
      <c r="C3" s="43" t="s">
        <v>169</v>
      </c>
      <c r="D3" s="43"/>
      <c r="E3" s="154"/>
      <c r="F3" s="43"/>
      <c r="G3" s="43"/>
      <c r="H3" s="43"/>
      <c r="I3" s="43"/>
      <c r="J3" s="43"/>
      <c r="K3" s="96"/>
    </row>
    <row r="4" spans="1:11">
      <c r="A4" s="358" t="s">
        <v>170</v>
      </c>
      <c r="B4" s="49">
        <f>IF(ISERROR('SEAP template'!B78+'SEAP template'!C78),0,'SEAP template'!B78+'SEAP template'!C78)</f>
        <v>23524.520559112458</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47.054117647058831</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0.18955350697639359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67.220168067226908</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18475.714285714286</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3.6382987432969022E-3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2078.9459999999999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2078.9459999999999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0.18955350697639359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394.07150511454552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35154.072354530697</v>
      </c>
      <c r="C5" s="17">
        <f>IF(ISERROR('Eigen informatie GS &amp; warmtenet'!B57),0,'Eigen informatie GS &amp; warmtenet'!B57)</f>
        <v>0</v>
      </c>
      <c r="D5" s="30">
        <f>(SUM(HH_hh_gas_kWh,HH_rest_gas_kWh)/1000)*0.902</f>
        <v>53697.047487405391</v>
      </c>
      <c r="E5" s="17">
        <f>B46*B57</f>
        <v>26198.837149181025</v>
      </c>
      <c r="F5" s="17">
        <f>B51*B62</f>
        <v>24616.333163452371</v>
      </c>
      <c r="G5" s="18"/>
      <c r="H5" s="17"/>
      <c r="I5" s="17"/>
      <c r="J5" s="17">
        <f>B50*B61+C50*C61</f>
        <v>296.58931225578169</v>
      </c>
      <c r="K5" s="17"/>
      <c r="L5" s="17"/>
      <c r="M5" s="17"/>
      <c r="N5" s="17">
        <f>B48*B59+C48*C59</f>
        <v>23868.81170166107</v>
      </c>
      <c r="O5" s="17">
        <f>B69*B70*B71</f>
        <v>578.43333333333339</v>
      </c>
      <c r="P5" s="17">
        <f>B77*B78*B79/1000-B77*B78*B79/1000/B80</f>
        <v>2268.9333333333334</v>
      </c>
    </row>
    <row r="6" spans="1:16">
      <c r="A6" s="16" t="s">
        <v>620</v>
      </c>
      <c r="B6" s="762">
        <f>kWh_PV_kleiner_dan_10kW</f>
        <v>5142.436136231544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40296.508490762244</v>
      </c>
      <c r="C8" s="21">
        <f>C5</f>
        <v>0</v>
      </c>
      <c r="D8" s="21">
        <f>D5</f>
        <v>53697.047487405391</v>
      </c>
      <c r="E8" s="21">
        <f>E5</f>
        <v>26198.837149181025</v>
      </c>
      <c r="F8" s="21">
        <f>F5</f>
        <v>24616.333163452371</v>
      </c>
      <c r="G8" s="21"/>
      <c r="H8" s="21"/>
      <c r="I8" s="21"/>
      <c r="J8" s="21">
        <f>J5</f>
        <v>296.58931225578169</v>
      </c>
      <c r="K8" s="21"/>
      <c r="L8" s="21">
        <f>L5</f>
        <v>0</v>
      </c>
      <c r="M8" s="21">
        <f>M5</f>
        <v>0</v>
      </c>
      <c r="N8" s="21">
        <f>N5</f>
        <v>23868.81170166107</v>
      </c>
      <c r="O8" s="21">
        <f>O5</f>
        <v>578.43333333333339</v>
      </c>
      <c r="P8" s="21">
        <f>P5</f>
        <v>2268.9333333333334</v>
      </c>
    </row>
    <row r="9" spans="1:16">
      <c r="B9" s="19"/>
      <c r="C9" s="19"/>
      <c r="D9" s="258"/>
      <c r="E9" s="19"/>
      <c r="F9" s="19"/>
      <c r="G9" s="19"/>
      <c r="H9" s="19"/>
      <c r="I9" s="19"/>
      <c r="J9" s="19"/>
      <c r="K9" s="19"/>
      <c r="L9" s="19"/>
      <c r="M9" s="19"/>
      <c r="N9" s="19"/>
      <c r="O9" s="19"/>
      <c r="P9" s="19"/>
    </row>
    <row r="10" spans="1:16">
      <c r="A10" s="24" t="s">
        <v>213</v>
      </c>
      <c r="B10" s="25">
        <f ca="1">'EF ele_warmte'!B12</f>
        <v>0.18955350697639359</v>
      </c>
      <c r="C10" s="25">
        <f ca="1">'EF ele_warmte'!B22</f>
        <v>3.6382987432969022E-3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7638.3445033280041</v>
      </c>
      <c r="C12" s="23">
        <f ca="1">C10*C8</f>
        <v>0</v>
      </c>
      <c r="D12" s="23">
        <f>D8*D10</f>
        <v>10846.80359245589</v>
      </c>
      <c r="E12" s="23">
        <f>E10*E8</f>
        <v>5947.1360328640931</v>
      </c>
      <c r="F12" s="23">
        <f>F10*F8</f>
        <v>6572.5609546417836</v>
      </c>
      <c r="G12" s="23"/>
      <c r="H12" s="23"/>
      <c r="I12" s="23"/>
      <c r="J12" s="23">
        <f>J10*J8</f>
        <v>104.99261653854671</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1440</v>
      </c>
      <c r="C18" s="166" t="s">
        <v>110</v>
      </c>
      <c r="D18" s="228"/>
      <c r="E18" s="15"/>
    </row>
    <row r="19" spans="1:7">
      <c r="A19" s="171" t="s">
        <v>71</v>
      </c>
      <c r="B19" s="37">
        <f>aantalw2001_ander</f>
        <v>1</v>
      </c>
      <c r="C19" s="166" t="s">
        <v>110</v>
      </c>
      <c r="D19" s="229"/>
      <c r="E19" s="15"/>
    </row>
    <row r="20" spans="1:7">
      <c r="A20" s="171" t="s">
        <v>72</v>
      </c>
      <c r="B20" s="37">
        <f>aantalw2001_propaan</f>
        <v>236</v>
      </c>
      <c r="C20" s="167">
        <f>IF(ISERROR(B20/SUM($B$20,$B$21,$B$22)*100),0,B20/SUM($B$20,$B$21,$B$22)*100)</f>
        <v>16.076294277929154</v>
      </c>
      <c r="D20" s="229"/>
      <c r="E20" s="15"/>
    </row>
    <row r="21" spans="1:7">
      <c r="A21" s="171" t="s">
        <v>73</v>
      </c>
      <c r="B21" s="37">
        <f>aantalw2001_elektriciteit</f>
        <v>1076</v>
      </c>
      <c r="C21" s="167">
        <f>IF(ISERROR(B21/SUM($B$20,$B$21,$B$22)*100),0,B21/SUM($B$20,$B$21,$B$22)*100)</f>
        <v>73.297002724795647</v>
      </c>
      <c r="D21" s="229"/>
      <c r="E21" s="15"/>
    </row>
    <row r="22" spans="1:7">
      <c r="A22" s="171" t="s">
        <v>74</v>
      </c>
      <c r="B22" s="37">
        <f>aantalw2001_hout</f>
        <v>156</v>
      </c>
      <c r="C22" s="167">
        <f>IF(ISERROR(B22/SUM($B$20,$B$21,$B$22)*100),0,B22/SUM($B$20,$B$21,$B$22)*100)</f>
        <v>10.626702997275205</v>
      </c>
      <c r="D22" s="229"/>
      <c r="E22" s="15"/>
    </row>
    <row r="23" spans="1:7">
      <c r="A23" s="171" t="s">
        <v>75</v>
      </c>
      <c r="B23" s="37">
        <f>aantalw2001_niet_gespec</f>
        <v>152</v>
      </c>
      <c r="C23" s="166" t="s">
        <v>110</v>
      </c>
      <c r="D23" s="228"/>
      <c r="E23" s="15"/>
    </row>
    <row r="24" spans="1:7">
      <c r="A24" s="171" t="s">
        <v>76</v>
      </c>
      <c r="B24" s="37">
        <f>aantalw2001_steenkool</f>
        <v>274</v>
      </c>
      <c r="C24" s="166" t="s">
        <v>110</v>
      </c>
      <c r="D24" s="229"/>
      <c r="E24" s="15"/>
    </row>
    <row r="25" spans="1:7">
      <c r="A25" s="171" t="s">
        <v>77</v>
      </c>
      <c r="B25" s="37">
        <f>aantalw2001_stookolie</f>
        <v>3449</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780</v>
      </c>
      <c r="B28" s="37">
        <f>aantalHuishoudens</f>
        <v>8364</v>
      </c>
      <c r="C28" s="36"/>
      <c r="D28" s="228"/>
    </row>
    <row r="29" spans="1:7" s="15" customFormat="1">
      <c r="A29" s="230" t="s">
        <v>781</v>
      </c>
      <c r="B29" s="37">
        <f>SUM(HH_hh_gas_aantal,HH_rest_gas_aantal)</f>
        <v>3961</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3961</v>
      </c>
      <c r="C32" s="167">
        <f>IF(ISERROR(B32/SUM($B$32,$B$34,$B$35,$B$36,$B$38,$B$39)*100),0,B32/SUM($B$32,$B$34,$B$35,$B$36,$B$38,$B$39)*100)</f>
        <v>48.041237113402062</v>
      </c>
      <c r="D32" s="233"/>
      <c r="G32" s="15"/>
    </row>
    <row r="33" spans="1:7">
      <c r="A33" s="171" t="s">
        <v>71</v>
      </c>
      <c r="B33" s="34" t="s">
        <v>110</v>
      </c>
      <c r="C33" s="167"/>
      <c r="D33" s="233"/>
      <c r="G33" s="15"/>
    </row>
    <row r="34" spans="1:7">
      <c r="A34" s="171" t="s">
        <v>72</v>
      </c>
      <c r="B34" s="33">
        <f>IF((($B$28-$B$32-$B$39-$B$77-$B$38)*C20/100)&lt;0,0,($B$28-$B$32-$B$39-$B$77-$B$38)*C20/100)</f>
        <v>495.47138964577653</v>
      </c>
      <c r="C34" s="167">
        <f>IF(ISERROR(B34/SUM($B$32,$B$34,$B$35,$B$36,$B$38,$B$39)*100),0,B34/SUM($B$32,$B$34,$B$35,$B$36,$B$38,$B$39)*100)</f>
        <v>6.0093558477353124</v>
      </c>
      <c r="D34" s="233"/>
      <c r="G34" s="15"/>
    </row>
    <row r="35" spans="1:7">
      <c r="A35" s="171" t="s">
        <v>73</v>
      </c>
      <c r="B35" s="33">
        <f>IF((($B$28-$B$32-$B$39-$B$77-$B$38)*C21/100)&lt;0,0,($B$28-$B$32-$B$39-$B$77-$B$38)*C21/100)</f>
        <v>2259.0136239782018</v>
      </c>
      <c r="C35" s="167">
        <f>IF(ISERROR(B35/SUM($B$32,$B$34,$B$35,$B$36,$B$38,$B$39)*100),0,B35/SUM($B$32,$B$34,$B$35,$B$36,$B$38,$B$39)*100)</f>
        <v>27.39858852611524</v>
      </c>
      <c r="D35" s="233"/>
      <c r="G35" s="15"/>
    </row>
    <row r="36" spans="1:7">
      <c r="A36" s="171" t="s">
        <v>74</v>
      </c>
      <c r="B36" s="33">
        <f>IF((($B$28-$B$32-$B$39-$B$77-$B$38)*C22/100)&lt;0,0,($B$28-$B$32-$B$39-$B$77-$B$38)*C22/100)</f>
        <v>327.5149863760218</v>
      </c>
      <c r="C36" s="167">
        <f>IF(ISERROR(B36/SUM($B$32,$B$34,$B$35,$B$36,$B$38,$B$39)*100),0,B36/SUM($B$32,$B$34,$B$35,$B$36,$B$38,$B$39)*100)</f>
        <v>3.9722860688419868</v>
      </c>
      <c r="D36" s="233"/>
      <c r="G36" s="15"/>
    </row>
    <row r="37" spans="1:7">
      <c r="A37" s="171" t="s">
        <v>75</v>
      </c>
      <c r="B37" s="34" t="s">
        <v>110</v>
      </c>
      <c r="C37" s="167"/>
      <c r="D37" s="173"/>
      <c r="G37" s="15"/>
    </row>
    <row r="38" spans="1:7">
      <c r="A38" s="171" t="s">
        <v>76</v>
      </c>
      <c r="B38" s="33">
        <f>IF((B24-(B29-B18)*0.1)&lt;0,0,B24-(B29-B18)*0.1)</f>
        <v>21.899999999999977</v>
      </c>
      <c r="C38" s="167">
        <f>IF(ISERROR(B38/SUM($B$32,$B$34,$B$35,$B$36,$B$38,$B$39)*100),0,B38/SUM($B$32,$B$34,$B$35,$B$36,$B$38,$B$39)*100)</f>
        <v>0.26561552456033932</v>
      </c>
      <c r="D38" s="234"/>
      <c r="G38" s="15"/>
    </row>
    <row r="39" spans="1:7">
      <c r="A39" s="171" t="s">
        <v>77</v>
      </c>
      <c r="B39" s="33">
        <f>IF((B25-(B29-B18))&lt;0,0,B25-(B29-B18)*0.9)</f>
        <v>1180.0999999999999</v>
      </c>
      <c r="C39" s="167">
        <f>IF(ISERROR(B39/SUM($B$32,$B$34,$B$35,$B$36,$B$38,$B$39)*100),0,B39/SUM($B$32,$B$34,$B$35,$B$36,$B$38,$B$39)*100)</f>
        <v>14.312916919345056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3961</v>
      </c>
      <c r="C44" s="34" t="s">
        <v>110</v>
      </c>
      <c r="D44" s="174"/>
    </row>
    <row r="45" spans="1:7">
      <c r="A45" s="171" t="s">
        <v>71</v>
      </c>
      <c r="B45" s="33" t="str">
        <f t="shared" si="0"/>
        <v>-</v>
      </c>
      <c r="C45" s="34" t="s">
        <v>110</v>
      </c>
      <c r="D45" s="174"/>
    </row>
    <row r="46" spans="1:7">
      <c r="A46" s="171" t="s">
        <v>72</v>
      </c>
      <c r="B46" s="33">
        <f t="shared" si="0"/>
        <v>495.47138964577653</v>
      </c>
      <c r="C46" s="34" t="s">
        <v>110</v>
      </c>
      <c r="D46" s="174"/>
    </row>
    <row r="47" spans="1:7">
      <c r="A47" s="171" t="s">
        <v>73</v>
      </c>
      <c r="B47" s="33">
        <f t="shared" si="0"/>
        <v>2259.0136239782018</v>
      </c>
      <c r="C47" s="34" t="s">
        <v>110</v>
      </c>
      <c r="D47" s="174"/>
    </row>
    <row r="48" spans="1:7">
      <c r="A48" s="171" t="s">
        <v>74</v>
      </c>
      <c r="B48" s="33">
        <f t="shared" si="0"/>
        <v>327.5149863760218</v>
      </c>
      <c r="C48" s="33">
        <f>B48*10</f>
        <v>3275.1498637602181</v>
      </c>
      <c r="D48" s="234"/>
    </row>
    <row r="49" spans="1:6">
      <c r="A49" s="171" t="s">
        <v>75</v>
      </c>
      <c r="B49" s="33" t="str">
        <f t="shared" si="0"/>
        <v>-</v>
      </c>
      <c r="C49" s="34" t="s">
        <v>110</v>
      </c>
      <c r="D49" s="234"/>
    </row>
    <row r="50" spans="1:6">
      <c r="A50" s="171" t="s">
        <v>76</v>
      </c>
      <c r="B50" s="33">
        <f t="shared" si="0"/>
        <v>21.899999999999977</v>
      </c>
      <c r="C50" s="33">
        <f>B50*2</f>
        <v>43.799999999999955</v>
      </c>
      <c r="D50" s="234"/>
    </row>
    <row r="51" spans="1:6">
      <c r="A51" s="171" t="s">
        <v>77</v>
      </c>
      <c r="B51" s="33">
        <f t="shared" si="0"/>
        <v>1180.0999999999999</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370</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119</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27822.6893962131</v>
      </c>
      <c r="C5" s="17">
        <f>IF(ISERROR('Eigen informatie GS &amp; warmtenet'!B58),0,'Eigen informatie GS &amp; warmtenet'!B58)</f>
        <v>0</v>
      </c>
      <c r="D5" s="30">
        <f>SUM(D6:D12)</f>
        <v>25849.69316400215</v>
      </c>
      <c r="E5" s="17">
        <f>SUM(E6:E12)</f>
        <v>434.27428845189274</v>
      </c>
      <c r="F5" s="17">
        <f>SUM(F6:F12)</f>
        <v>4898.0102415204874</v>
      </c>
      <c r="G5" s="18"/>
      <c r="H5" s="17"/>
      <c r="I5" s="17"/>
      <c r="J5" s="17">
        <f>SUM(J6:J12)</f>
        <v>6.958407166083036E-2</v>
      </c>
      <c r="K5" s="17"/>
      <c r="L5" s="17"/>
      <c r="M5" s="17"/>
      <c r="N5" s="17">
        <f>SUM(N6:N12)</f>
        <v>2768.8550888624218</v>
      </c>
      <c r="O5" s="17">
        <f>B38*B39*B40</f>
        <v>14.070000000000002</v>
      </c>
      <c r="P5" s="17">
        <f>B46*B47*B48/1000-B46*B47*B48/1000/B49</f>
        <v>171.6</v>
      </c>
      <c r="R5" s="32"/>
    </row>
    <row r="6" spans="1:18">
      <c r="A6" s="32" t="s">
        <v>53</v>
      </c>
      <c r="B6" s="37">
        <f>B26</f>
        <v>5736.9952919707102</v>
      </c>
      <c r="C6" s="33"/>
      <c r="D6" s="37">
        <f>IF(ISERROR(TER_kantoor_gas_kWh/1000),0,TER_kantoor_gas_kWh/1000)*0.902</f>
        <v>3195.6215387892321</v>
      </c>
      <c r="E6" s="33">
        <f>$C$26*'E Balans VL '!I12/100/3.6*1000000</f>
        <v>3.5957578395331299E-2</v>
      </c>
      <c r="F6" s="33">
        <f>$C$26*('E Balans VL '!L12+'E Balans VL '!N12)/100/3.6*1000000</f>
        <v>862.11008544566437</v>
      </c>
      <c r="G6" s="34"/>
      <c r="H6" s="33"/>
      <c r="I6" s="33"/>
      <c r="J6" s="33">
        <f>$C$26*('E Balans VL '!D12+'E Balans VL '!E12)/100/3.6*1000000</f>
        <v>0</v>
      </c>
      <c r="K6" s="33"/>
      <c r="L6" s="33"/>
      <c r="M6" s="33"/>
      <c r="N6" s="33">
        <f>$C$26*'E Balans VL '!Y12/100/3.6*1000000</f>
        <v>5.4865853938692446</v>
      </c>
      <c r="O6" s="33"/>
      <c r="P6" s="33"/>
      <c r="R6" s="32"/>
    </row>
    <row r="7" spans="1:18">
      <c r="A7" s="32" t="s">
        <v>52</v>
      </c>
      <c r="B7" s="37">
        <f t="shared" ref="B7:B12" si="0">B27</f>
        <v>2657.3122397410102</v>
      </c>
      <c r="C7" s="33"/>
      <c r="D7" s="37">
        <f>IF(ISERROR(TER_horeca_gas_kWh/1000),0,TER_horeca_gas_kWh/1000)*0.902</f>
        <v>3038.7936256256889</v>
      </c>
      <c r="E7" s="33">
        <f>$C$27*'E Balans VL '!I9/100/3.6*1000000</f>
        <v>38.052268649368159</v>
      </c>
      <c r="F7" s="33">
        <f>$C$27*('E Balans VL '!L9+'E Balans VL '!N9)/100/3.6*1000000</f>
        <v>336.50337108534433</v>
      </c>
      <c r="G7" s="34"/>
      <c r="H7" s="33"/>
      <c r="I7" s="33"/>
      <c r="J7" s="33">
        <f>$C$27*('E Balans VL '!D9+'E Balans VL '!E9)/100/3.6*1000000</f>
        <v>0</v>
      </c>
      <c r="K7" s="33"/>
      <c r="L7" s="33"/>
      <c r="M7" s="33"/>
      <c r="N7" s="33">
        <f>$C$27*'E Balans VL '!Y9/100/3.6*1000000</f>
        <v>0.76391868021988907</v>
      </c>
      <c r="O7" s="33"/>
      <c r="P7" s="33"/>
      <c r="R7" s="32"/>
    </row>
    <row r="8" spans="1:18">
      <c r="A8" s="6" t="s">
        <v>51</v>
      </c>
      <c r="B8" s="37">
        <f t="shared" si="0"/>
        <v>7940.7681247916207</v>
      </c>
      <c r="C8" s="33"/>
      <c r="D8" s="37">
        <f>IF(ISERROR(TER_handel_gas_kWh/1000),0,TER_handel_gas_kWh/1000)*0.902</f>
        <v>3345.3902036595709</v>
      </c>
      <c r="E8" s="33">
        <f>$C$28*'E Balans VL '!I13/100/3.6*1000000</f>
        <v>288.01068067453718</v>
      </c>
      <c r="F8" s="33">
        <f>$C$28*('E Balans VL '!L13+'E Balans VL '!N13)/100/3.6*1000000</f>
        <v>1529.472346224145</v>
      </c>
      <c r="G8" s="34"/>
      <c r="H8" s="33"/>
      <c r="I8" s="33"/>
      <c r="J8" s="33">
        <f>$C$28*('E Balans VL '!D13+'E Balans VL '!E13)/100/3.6*1000000</f>
        <v>0</v>
      </c>
      <c r="K8" s="33"/>
      <c r="L8" s="33"/>
      <c r="M8" s="33"/>
      <c r="N8" s="33">
        <f>$C$28*'E Balans VL '!Y13/100/3.6*1000000</f>
        <v>10.999790942096171</v>
      </c>
      <c r="O8" s="33"/>
      <c r="P8" s="33"/>
      <c r="R8" s="32"/>
    </row>
    <row r="9" spans="1:18">
      <c r="A9" s="32" t="s">
        <v>50</v>
      </c>
      <c r="B9" s="37">
        <f t="shared" si="0"/>
        <v>746.30726224799901</v>
      </c>
      <c r="C9" s="33"/>
      <c r="D9" s="37">
        <f>IF(ISERROR(TER_gezond_gas_kWh/1000),0,TER_gezond_gas_kWh/1000)*0.902</f>
        <v>732.76996627893448</v>
      </c>
      <c r="E9" s="33">
        <f>$C$29*'E Balans VL '!I10/100/3.6*1000000</f>
        <v>4.6726203069751421E-2</v>
      </c>
      <c r="F9" s="33">
        <f>$C$29*('E Balans VL '!L10+'E Balans VL '!N10)/100/3.6*1000000</f>
        <v>110.86621609615243</v>
      </c>
      <c r="G9" s="34"/>
      <c r="H9" s="33"/>
      <c r="I9" s="33"/>
      <c r="J9" s="33">
        <f>$C$29*('E Balans VL '!D10+'E Balans VL '!E10)/100/3.6*1000000</f>
        <v>0</v>
      </c>
      <c r="K9" s="33"/>
      <c r="L9" s="33"/>
      <c r="M9" s="33"/>
      <c r="N9" s="33">
        <f>$C$29*'E Balans VL '!Y10/100/3.6*1000000</f>
        <v>11.543952744947214</v>
      </c>
      <c r="O9" s="33"/>
      <c r="P9" s="33"/>
      <c r="R9" s="32"/>
    </row>
    <row r="10" spans="1:18">
      <c r="A10" s="32" t="s">
        <v>49</v>
      </c>
      <c r="B10" s="37">
        <f t="shared" si="0"/>
        <v>2270.33526268882</v>
      </c>
      <c r="C10" s="33"/>
      <c r="D10" s="37">
        <f>IF(ISERROR(TER_ander_gas_kWh/1000),0,TER_ander_gas_kWh/1000)*0.902</f>
        <v>3209.8590646087805</v>
      </c>
      <c r="E10" s="33">
        <f>$C$30*'E Balans VL '!I14/100/3.6*1000000</f>
        <v>2.7061585050510208</v>
      </c>
      <c r="F10" s="33">
        <f>$C$30*('E Balans VL '!L14+'E Balans VL '!N14)/100/3.6*1000000</f>
        <v>594.02063589772263</v>
      </c>
      <c r="G10" s="34"/>
      <c r="H10" s="33"/>
      <c r="I10" s="33"/>
      <c r="J10" s="33">
        <f>$C$30*('E Balans VL '!D14+'E Balans VL '!E14)/100/3.6*1000000</f>
        <v>4.9280079084476305E-2</v>
      </c>
      <c r="K10" s="33"/>
      <c r="L10" s="33"/>
      <c r="M10" s="33"/>
      <c r="N10" s="33">
        <f>$C$30*'E Balans VL '!Y14/100/3.6*1000000</f>
        <v>1927.9131507534505</v>
      </c>
      <c r="O10" s="33"/>
      <c r="P10" s="33"/>
      <c r="R10" s="32"/>
    </row>
    <row r="11" spans="1:18">
      <c r="A11" s="32" t="s">
        <v>54</v>
      </c>
      <c r="B11" s="37">
        <f t="shared" si="0"/>
        <v>86.176263988619695</v>
      </c>
      <c r="C11" s="33"/>
      <c r="D11" s="37">
        <f>IF(ISERROR(TER_onderwijs_gas_kWh/1000),0,TER_onderwijs_gas_kWh/1000)*0.902</f>
        <v>607.0285443104035</v>
      </c>
      <c r="E11" s="33">
        <f>$C$31*'E Balans VL '!I11/100/3.6*1000000</f>
        <v>1.3002610235166612</v>
      </c>
      <c r="F11" s="33">
        <f>$C$31*('E Balans VL '!L11+'E Balans VL '!N11)/100/3.6*1000000</f>
        <v>15.099458157579955</v>
      </c>
      <c r="G11" s="34"/>
      <c r="H11" s="33"/>
      <c r="I11" s="33"/>
      <c r="J11" s="33">
        <f>$C$31*('E Balans VL '!D11+'E Balans VL '!E11)/100/3.6*1000000</f>
        <v>0</v>
      </c>
      <c r="K11" s="33"/>
      <c r="L11" s="33"/>
      <c r="M11" s="33"/>
      <c r="N11" s="33">
        <f>$C$31*'E Balans VL '!Y11/100/3.6*1000000</f>
        <v>0.24250655823305262</v>
      </c>
      <c r="O11" s="33"/>
      <c r="P11" s="33"/>
      <c r="R11" s="32"/>
    </row>
    <row r="12" spans="1:18">
      <c r="A12" s="32" t="s">
        <v>259</v>
      </c>
      <c r="B12" s="37">
        <f t="shared" si="0"/>
        <v>8384.7949507843205</v>
      </c>
      <c r="C12" s="33"/>
      <c r="D12" s="37">
        <f>IF(ISERROR(TER_rest_gas_kWh/1000),0,TER_rest_gas_kWh/1000)*0.902</f>
        <v>11720.230220729538</v>
      </c>
      <c r="E12" s="33">
        <f>$C$32*'E Balans VL '!I8/100/3.6*1000000</f>
        <v>104.12223581795469</v>
      </c>
      <c r="F12" s="33">
        <f>$C$32*('E Balans VL '!L8+'E Balans VL '!N8)/100/3.6*1000000</f>
        <v>1449.9381286138785</v>
      </c>
      <c r="G12" s="34"/>
      <c r="H12" s="33"/>
      <c r="I12" s="33"/>
      <c r="J12" s="33">
        <f>$C$32*('E Balans VL '!D8+'E Balans VL '!E8)/100/3.6*1000000</f>
        <v>2.0303992576354051E-2</v>
      </c>
      <c r="K12" s="33"/>
      <c r="L12" s="33"/>
      <c r="M12" s="33"/>
      <c r="N12" s="33">
        <f>$C$32*'E Balans VL '!Y8/100/3.6*1000000</f>
        <v>811.90518378960564</v>
      </c>
      <c r="O12" s="33"/>
      <c r="P12" s="33"/>
      <c r="R12" s="32"/>
    </row>
    <row r="13" spans="1:18">
      <c r="A13" s="16" t="s">
        <v>487</v>
      </c>
      <c r="B13" s="247">
        <f ca="1">'lokale energieproductie'!N40+'lokale energieproductie'!N33</f>
        <v>198.00000000000003</v>
      </c>
      <c r="C13" s="247">
        <f ca="1">'lokale energieproductie'!O40+'lokale energieproductie'!O33</f>
        <v>282.85714285714289</v>
      </c>
      <c r="D13" s="308">
        <f ca="1">('lokale energieproductie'!P33+'lokale energieproductie'!P40)*(-1)</f>
        <v>-565.71428571428578</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28020.6893962131</v>
      </c>
      <c r="C16" s="21">
        <f t="shared" ca="1" si="1"/>
        <v>282.85714285714289</v>
      </c>
      <c r="D16" s="21">
        <f t="shared" ca="1" si="1"/>
        <v>25283.978878287864</v>
      </c>
      <c r="E16" s="21">
        <f t="shared" si="1"/>
        <v>434.27428845189274</v>
      </c>
      <c r="F16" s="21">
        <f t="shared" ca="1" si="1"/>
        <v>4898.0102415204874</v>
      </c>
      <c r="G16" s="21">
        <f t="shared" si="1"/>
        <v>0</v>
      </c>
      <c r="H16" s="21">
        <f t="shared" si="1"/>
        <v>0</v>
      </c>
      <c r="I16" s="21">
        <f t="shared" si="1"/>
        <v>0</v>
      </c>
      <c r="J16" s="21">
        <f t="shared" si="1"/>
        <v>6.958407166083036E-2</v>
      </c>
      <c r="K16" s="21">
        <f t="shared" si="1"/>
        <v>0</v>
      </c>
      <c r="L16" s="21">
        <f t="shared" ca="1" si="1"/>
        <v>0</v>
      </c>
      <c r="M16" s="21">
        <f t="shared" si="1"/>
        <v>0</v>
      </c>
      <c r="N16" s="21">
        <f t="shared" ca="1" si="1"/>
        <v>2768.8550888624218</v>
      </c>
      <c r="O16" s="21">
        <f>O5</f>
        <v>14.070000000000002</v>
      </c>
      <c r="P16" s="21">
        <f>P5</f>
        <v>171.6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0.18955350697639359</v>
      </c>
      <c r="C18" s="25">
        <f ca="1">'EF ele_warmte'!B22</f>
        <v>3.6382987432969022E-3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5311.4199429484379</v>
      </c>
      <c r="C20" s="23">
        <f t="shared" ref="C20:P20" ca="1" si="2">C16*C18</f>
        <v>1.0291187873896954</v>
      </c>
      <c r="D20" s="23">
        <f t="shared" ca="1" si="2"/>
        <v>5107.3637334141486</v>
      </c>
      <c r="E20" s="23">
        <f t="shared" si="2"/>
        <v>98.580263478579653</v>
      </c>
      <c r="F20" s="23">
        <f t="shared" ca="1" si="2"/>
        <v>1307.7687344859703</v>
      </c>
      <c r="G20" s="23">
        <f t="shared" si="2"/>
        <v>0</v>
      </c>
      <c r="H20" s="23">
        <f t="shared" si="2"/>
        <v>0</v>
      </c>
      <c r="I20" s="23">
        <f t="shared" si="2"/>
        <v>0</v>
      </c>
      <c r="J20" s="23">
        <f t="shared" si="2"/>
        <v>2.4632761367933947E-2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5736.9952919707102</v>
      </c>
      <c r="C26" s="39">
        <f>IF(ISERROR(B26*3.6/1000000/'E Balans VL '!Z12*100),0,B26*3.6/1000000/'E Balans VL '!Z12*100)</f>
        <v>0.12127099233762363</v>
      </c>
      <c r="D26" s="237" t="s">
        <v>744</v>
      </c>
      <c r="F26" s="6"/>
    </row>
    <row r="27" spans="1:18">
      <c r="A27" s="231" t="s">
        <v>52</v>
      </c>
      <c r="B27" s="33">
        <f>IF(ISERROR(TER_horeca_ele_kWh/1000),0,TER_horeca_ele_kWh/1000)</f>
        <v>2657.3122397410102</v>
      </c>
      <c r="C27" s="39">
        <f>IF(ISERROR(B27*3.6/1000000/'E Balans VL '!Z9*100),0,B27*3.6/1000000/'E Balans VL '!Z9*100)</f>
        <v>0.20947493342794876</v>
      </c>
      <c r="D27" s="237" t="s">
        <v>744</v>
      </c>
      <c r="F27" s="6"/>
    </row>
    <row r="28" spans="1:18">
      <c r="A28" s="171" t="s">
        <v>51</v>
      </c>
      <c r="B28" s="33">
        <f>IF(ISERROR(TER_handel_ele_kWh/1000),0,TER_handel_ele_kWh/1000)</f>
        <v>7940.7681247916207</v>
      </c>
      <c r="C28" s="39">
        <f>IF(ISERROR(B28*3.6/1000000/'E Balans VL '!Z13*100),0,B28*3.6/1000000/'E Balans VL '!Z13*100)</f>
        <v>0.23047317527991851</v>
      </c>
      <c r="D28" s="237" t="s">
        <v>744</v>
      </c>
      <c r="F28" s="6"/>
    </row>
    <row r="29" spans="1:18">
      <c r="A29" s="231" t="s">
        <v>50</v>
      </c>
      <c r="B29" s="33">
        <f>IF(ISERROR(TER_gezond_ele_kWh/1000),0,TER_gezond_ele_kWh/1000)</f>
        <v>746.30726224799901</v>
      </c>
      <c r="C29" s="39">
        <f>IF(ISERROR(B29*3.6/1000000/'E Balans VL '!Z10*100),0,B29*3.6/1000000/'E Balans VL '!Z10*100)</f>
        <v>7.859840940343682E-2</v>
      </c>
      <c r="D29" s="237" t="s">
        <v>744</v>
      </c>
      <c r="F29" s="6"/>
    </row>
    <row r="30" spans="1:18">
      <c r="A30" s="231" t="s">
        <v>49</v>
      </c>
      <c r="B30" s="33">
        <f>IF(ISERROR(TER_ander_ele_kWh/1000),0,TER_ander_ele_kWh/1000)</f>
        <v>2270.33526268882</v>
      </c>
      <c r="C30" s="39">
        <f>IF(ISERROR(B30*3.6/1000000/'E Balans VL '!Z14*100),0,B30*3.6/1000000/'E Balans VL '!Z14*100)</f>
        <v>0.16746042209029349</v>
      </c>
      <c r="D30" s="237" t="s">
        <v>744</v>
      </c>
      <c r="F30" s="6"/>
    </row>
    <row r="31" spans="1:18">
      <c r="A31" s="231" t="s">
        <v>54</v>
      </c>
      <c r="B31" s="33">
        <f>IF(ISERROR(TER_onderwijs_ele_kWh/1000),0,TER_onderwijs_ele_kWh/1000)</f>
        <v>86.176263988619695</v>
      </c>
      <c r="C31" s="39">
        <f>IF(ISERROR(B31*3.6/1000000/'E Balans VL '!Z11*100),0,B31*3.6/1000000/'E Balans VL '!Z11*100)</f>
        <v>2.1401603082311073E-2</v>
      </c>
      <c r="D31" s="237" t="s">
        <v>744</v>
      </c>
    </row>
    <row r="32" spans="1:18">
      <c r="A32" s="231" t="s">
        <v>259</v>
      </c>
      <c r="B32" s="33">
        <f>IF(ISERROR(TER_rest_ele_kWh/1000),0,TER_rest_ele_kWh/1000)</f>
        <v>8384.7949507843205</v>
      </c>
      <c r="C32" s="39">
        <f>IF(ISERROR(B32*3.6/1000000/'E Balans VL '!Z8*100),0,B32*3.6/1000000/'E Balans VL '!Z8*100)</f>
        <v>6.8995732761019529E-2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9</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9</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85384.23048672179</v>
      </c>
      <c r="C5" s="17">
        <f>IF(ISERROR('Eigen informatie GS &amp; warmtenet'!B59),0,'Eigen informatie GS &amp; warmtenet'!B59)</f>
        <v>0</v>
      </c>
      <c r="D5" s="30">
        <f>SUM(D6:D15)</f>
        <v>185572.79968288049</v>
      </c>
      <c r="E5" s="17">
        <f>SUM(E6:E15)</f>
        <v>1472.6837502655126</v>
      </c>
      <c r="F5" s="17">
        <f>SUM(F6:F15)</f>
        <v>8633.9693278702307</v>
      </c>
      <c r="G5" s="18"/>
      <c r="H5" s="17"/>
      <c r="I5" s="17"/>
      <c r="J5" s="17">
        <f>SUM(J6:J15)</f>
        <v>34.355603507148714</v>
      </c>
      <c r="K5" s="17"/>
      <c r="L5" s="17"/>
      <c r="M5" s="17"/>
      <c r="N5" s="17">
        <f>SUM(N6:N15)</f>
        <v>8700.7262024550328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1729.3089935374501</v>
      </c>
      <c r="C8" s="33"/>
      <c r="D8" s="37">
        <f>IF( ISERROR(IND_metaal_Gas_kWH/1000),0,IND_metaal_Gas_kWH/1000)*0.902</f>
        <v>310.42284606961039</v>
      </c>
      <c r="E8" s="33">
        <f>C30*'E Balans VL '!I18/100/3.6*1000000</f>
        <v>15.899326013067411</v>
      </c>
      <c r="F8" s="33">
        <f>C30*'E Balans VL '!L18/100/3.6*1000000+C30*'E Balans VL '!N18/100/3.6*1000000</f>
        <v>162.15160906946065</v>
      </c>
      <c r="G8" s="34"/>
      <c r="H8" s="33"/>
      <c r="I8" s="33"/>
      <c r="J8" s="40">
        <f>C30*'E Balans VL '!D18/100/3.6*1000000+C30*'E Balans VL '!E18/100/3.6*1000000</f>
        <v>0</v>
      </c>
      <c r="K8" s="33"/>
      <c r="L8" s="33"/>
      <c r="M8" s="33"/>
      <c r="N8" s="33">
        <f>C30*'E Balans VL '!Y18/100/3.6*1000000</f>
        <v>24.671450596268642</v>
      </c>
      <c r="O8" s="33"/>
      <c r="P8" s="33"/>
      <c r="R8" s="32"/>
    </row>
    <row r="9" spans="1:18">
      <c r="A9" s="6" t="s">
        <v>32</v>
      </c>
      <c r="B9" s="37">
        <f t="shared" si="0"/>
        <v>2728.8098378876098</v>
      </c>
      <c r="C9" s="33"/>
      <c r="D9" s="37">
        <f>IF( ISERROR(IND_andere_gas_kWh/1000),0,IND_andere_gas_kWh/1000)*0.902</f>
        <v>2074.3842310820032</v>
      </c>
      <c r="E9" s="33">
        <f>C31*'E Balans VL '!I19/100/3.6*1000000</f>
        <v>797.68423927619222</v>
      </c>
      <c r="F9" s="33">
        <f>C31*'E Balans VL '!L19/100/3.6*1000000+C31*'E Balans VL '!N19/100/3.6*1000000</f>
        <v>2192.8052566682086</v>
      </c>
      <c r="G9" s="34"/>
      <c r="H9" s="33"/>
      <c r="I9" s="33"/>
      <c r="J9" s="40">
        <f>C31*'E Balans VL '!D19/100/3.6*1000000+C31*'E Balans VL '!E19/100/3.6*1000000</f>
        <v>0</v>
      </c>
      <c r="K9" s="33"/>
      <c r="L9" s="33"/>
      <c r="M9" s="33"/>
      <c r="N9" s="33">
        <f>C31*'E Balans VL '!Y19/100/3.6*1000000</f>
        <v>214.04413749932971</v>
      </c>
      <c r="O9" s="33"/>
      <c r="P9" s="33"/>
      <c r="R9" s="32"/>
    </row>
    <row r="10" spans="1:18">
      <c r="A10" s="6" t="s">
        <v>40</v>
      </c>
      <c r="B10" s="37">
        <f t="shared" si="0"/>
        <v>63140.947724142301</v>
      </c>
      <c r="C10" s="33"/>
      <c r="D10" s="37">
        <f>IF( ISERROR(IND_voed_gas_kWh/1000),0,IND_voed_gas_kWh/1000)*0.902</f>
        <v>4425.6067763922929</v>
      </c>
      <c r="E10" s="33">
        <f>C32*'E Balans VL '!I20/100/3.6*1000000</f>
        <v>133.57565392241278</v>
      </c>
      <c r="F10" s="33">
        <f>C32*'E Balans VL '!L20/100/3.6*1000000+C32*'E Balans VL '!N20/100/3.6*1000000</f>
        <v>4014.5659528877336</v>
      </c>
      <c r="G10" s="34"/>
      <c r="H10" s="33"/>
      <c r="I10" s="33"/>
      <c r="J10" s="40">
        <f>C32*'E Balans VL '!D20/100/3.6*1000000+C32*'E Balans VL '!E20/100/3.6*1000000</f>
        <v>0</v>
      </c>
      <c r="K10" s="33"/>
      <c r="L10" s="33"/>
      <c r="M10" s="33"/>
      <c r="N10" s="33">
        <f>C32*'E Balans VL '!Y20/100/3.6*1000000</f>
        <v>4357.3484830629059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934.467075020587</v>
      </c>
      <c r="C12" s="33"/>
      <c r="D12" s="37">
        <f>IF( ISERROR(IND_min_gas_kWh/1000),0,IND_min_gas_kWh/1000)*0.902</f>
        <v>2033.4845455464119</v>
      </c>
      <c r="E12" s="33">
        <f>C34*'E Balans VL '!I22/100/3.6*1000000</f>
        <v>27.086352683290379</v>
      </c>
      <c r="F12" s="33">
        <f>C34*'E Balans VL '!L22/100/3.6*1000000+C34*'E Balans VL '!N22/100/3.6*1000000</f>
        <v>321.2803401053709</v>
      </c>
      <c r="G12" s="34"/>
      <c r="H12" s="33"/>
      <c r="I12" s="33"/>
      <c r="J12" s="40">
        <f>C34*'E Balans VL '!D22/100/3.6*1000000+C34*'E Balans VL '!E22/100/3.6*1000000</f>
        <v>1.5356110017114861</v>
      </c>
      <c r="K12" s="33"/>
      <c r="L12" s="33"/>
      <c r="M12" s="33"/>
      <c r="N12" s="33">
        <f>C34*'E Balans VL '!Y22/100/3.6*1000000</f>
        <v>204.5701990916462</v>
      </c>
      <c r="O12" s="33"/>
      <c r="P12" s="33"/>
      <c r="R12" s="32"/>
    </row>
    <row r="13" spans="1:18">
      <c r="A13" s="6" t="s">
        <v>38</v>
      </c>
      <c r="B13" s="37">
        <f t="shared" si="0"/>
        <v>8029.9560329365204</v>
      </c>
      <c r="C13" s="33"/>
      <c r="D13" s="37">
        <f>IF( ISERROR(IND_papier_gas_kWh/1000),0,IND_papier_gas_kWh/1000)*0.902</f>
        <v>9132.8240386375237</v>
      </c>
      <c r="E13" s="33">
        <f>C35*'E Balans VL '!I23/100/3.6*1000000</f>
        <v>11.392671174048413</v>
      </c>
      <c r="F13" s="33">
        <f>C35*'E Balans VL '!L23/100/3.6*1000000+C35*'E Balans VL '!N23/100/3.6*1000000</f>
        <v>196.04142134544213</v>
      </c>
      <c r="G13" s="34"/>
      <c r="H13" s="33"/>
      <c r="I13" s="33"/>
      <c r="J13" s="40">
        <f>C35*'E Balans VL '!D23/100/3.6*1000000+C35*'E Balans VL '!E23/100/3.6*1000000</f>
        <v>1.241908090314934</v>
      </c>
      <c r="K13" s="33"/>
      <c r="L13" s="33"/>
      <c r="M13" s="33"/>
      <c r="N13" s="33">
        <f>C35*'E Balans VL '!Y23/100/3.6*1000000</f>
        <v>3280.9236085036523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8820.7408231973204</v>
      </c>
      <c r="C15" s="33"/>
      <c r="D15" s="37">
        <f>IF( ISERROR(IND_rest_gas_kWh/1000),0,IND_rest_gas_kWh/1000)*0.902</f>
        <v>167596.07724515264</v>
      </c>
      <c r="E15" s="33">
        <f>C37*'E Balans VL '!I15/100/3.6*1000000</f>
        <v>487.04550719650138</v>
      </c>
      <c r="F15" s="33">
        <f>C37*'E Balans VL '!L15/100/3.6*1000000+C37*'E Balans VL '!N15/100/3.6*1000000</f>
        <v>1747.1247477940155</v>
      </c>
      <c r="G15" s="34"/>
      <c r="H15" s="33"/>
      <c r="I15" s="33"/>
      <c r="J15" s="40">
        <f>C37*'E Balans VL '!D15/100/3.6*1000000+C37*'E Balans VL '!E15/100/3.6*1000000</f>
        <v>31.578084415122294</v>
      </c>
      <c r="K15" s="33"/>
      <c r="L15" s="33"/>
      <c r="M15" s="33"/>
      <c r="N15" s="33">
        <f>C37*'E Balans VL '!Y15/100/3.6*1000000</f>
        <v>619.16832370123143</v>
      </c>
      <c r="O15" s="33"/>
      <c r="P15" s="33"/>
      <c r="R15" s="32"/>
    </row>
    <row r="16" spans="1:18">
      <c r="A16" s="16" t="s">
        <v>487</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85384.23048672179</v>
      </c>
      <c r="C18" s="21">
        <f>C5+C16</f>
        <v>0</v>
      </c>
      <c r="D18" s="21">
        <f>MAX((D5+D16),0)</f>
        <v>185572.79968288049</v>
      </c>
      <c r="E18" s="21">
        <f>MAX((E5+E16),0)</f>
        <v>1472.6837502655126</v>
      </c>
      <c r="F18" s="21">
        <f>MAX((F5+F16),0)</f>
        <v>8633.9693278702307</v>
      </c>
      <c r="G18" s="21"/>
      <c r="H18" s="21"/>
      <c r="I18" s="21"/>
      <c r="J18" s="21">
        <f>MAX((J5+J16),0)</f>
        <v>34.355603507148714</v>
      </c>
      <c r="K18" s="21"/>
      <c r="L18" s="21">
        <f>MAX((L5+L16),0)</f>
        <v>0</v>
      </c>
      <c r="M18" s="21"/>
      <c r="N18" s="21">
        <f>MAX((N5+N16),0)</f>
        <v>8700.7262024550328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0.18955350697639359</v>
      </c>
      <c r="C20" s="25">
        <f ca="1">'EF ele_warmte'!B22</f>
        <v>3.6382987432969022E-3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16184.880329238817</v>
      </c>
      <c r="C22" s="23">
        <f ca="1">C18*C20</f>
        <v>0</v>
      </c>
      <c r="D22" s="23">
        <f>D18*D20</f>
        <v>37485.705535941859</v>
      </c>
      <c r="E22" s="23">
        <f>E18*E20</f>
        <v>334.29921131027135</v>
      </c>
      <c r="F22" s="23">
        <f>F18*F20</f>
        <v>2305.2698105413519</v>
      </c>
      <c r="G22" s="23"/>
      <c r="H22" s="23"/>
      <c r="I22" s="23"/>
      <c r="J22" s="23">
        <f>J18*J20</f>
        <v>12.161883641530645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1729.3089935374501</v>
      </c>
      <c r="C30" s="39">
        <f>IF(ISERROR(B30*3.6/1000000/'E Balans VL '!Z18*100),0,B30*3.6/1000000/'E Balans VL '!Z18*100)</f>
        <v>9.8004374902047373E-2</v>
      </c>
      <c r="D30" s="237" t="s">
        <v>744</v>
      </c>
    </row>
    <row r="31" spans="1:18">
      <c r="A31" s="6" t="s">
        <v>32</v>
      </c>
      <c r="B31" s="37">
        <f>IF( ISERROR(IND_ander_ele_kWh/1000),0,IND_ander_ele_kWh/1000)</f>
        <v>2728.8098378876098</v>
      </c>
      <c r="C31" s="39">
        <f>IF(ISERROR(B31*3.6/1000000/'E Balans VL '!Z19*100),0,B31*3.6/1000000/'E Balans VL '!Z19*100)</f>
        <v>0.123767451680179</v>
      </c>
      <c r="D31" s="237" t="s">
        <v>744</v>
      </c>
    </row>
    <row r="32" spans="1:18">
      <c r="A32" s="171" t="s">
        <v>40</v>
      </c>
      <c r="B32" s="37">
        <f>IF( ISERROR(IND_voed_ele_kWh/1000),0,IND_voed_ele_kWh/1000)</f>
        <v>63140.947724142301</v>
      </c>
      <c r="C32" s="39">
        <f>IF(ISERROR(B32*3.6/1000000/'E Balans VL '!Z20*100),0,B32*3.6/1000000/'E Balans VL '!Z20*100)</f>
        <v>1.9532361488081618</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934.467075020587</v>
      </c>
      <c r="C34" s="39">
        <f>IF(ISERROR(B34*3.6/1000000/'E Balans VL '!Z22*100),0,B34*3.6/1000000/'E Balans VL '!Z22*100)</f>
        <v>0.16808147175923907</v>
      </c>
      <c r="D34" s="237" t="s">
        <v>744</v>
      </c>
    </row>
    <row r="35" spans="1:5">
      <c r="A35" s="171" t="s">
        <v>38</v>
      </c>
      <c r="B35" s="37">
        <f>IF( ISERROR(IND_papier_ele_kWh/1000),0,IND_papier_ele_kWh/1000)</f>
        <v>8029.9560329365204</v>
      </c>
      <c r="C35" s="39">
        <f>IF(ISERROR(B35*3.6/1000000/'E Balans VL '!Z22*100),0,B35*3.6/1000000/'E Balans VL '!Z22*100)</f>
        <v>1.4443385585824056</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8820.7408231973204</v>
      </c>
      <c r="C37" s="39">
        <f>IF(ISERROR(B37*3.6/1000000/'E Balans VL '!Z15*100),0,B37*3.6/1000000/'E Balans VL '!Z15*100)</f>
        <v>6.9915203923830577E-2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6467.6140334765223</v>
      </c>
      <c r="C5" s="17">
        <f>'Eigen informatie GS &amp; warmtenet'!B60</f>
        <v>0</v>
      </c>
      <c r="D5" s="30">
        <f>IF(ISERROR(SUM(LB_lb_gas_kWh,LB_rest_gas_kWh)/1000),0,SUM(LB_lb_gas_kWh,LB_rest_gas_kWh)/1000)*0.902</f>
        <v>7679.106098322598</v>
      </c>
      <c r="E5" s="17">
        <f>B17*'E Balans VL '!I25/3.6*1000000/100</f>
        <v>190.10293081721258</v>
      </c>
      <c r="F5" s="17">
        <f>B17*('E Balans VL '!L25/3.6*1000000+'E Balans VL '!N25/3.6*1000000)/100</f>
        <v>26943.730571944816</v>
      </c>
      <c r="G5" s="18"/>
      <c r="H5" s="17"/>
      <c r="I5" s="17"/>
      <c r="J5" s="17">
        <f>('E Balans VL '!D25+'E Balans VL '!E25)/3.6*1000000*landbouw!B17/100</f>
        <v>937.01837984947963</v>
      </c>
      <c r="K5" s="17"/>
      <c r="L5" s="17">
        <f>L6*(-1)</f>
        <v>0</v>
      </c>
      <c r="M5" s="17"/>
      <c r="N5" s="17">
        <f>N6*(-1)</f>
        <v>36385.71428571429</v>
      </c>
      <c r="O5" s="17"/>
      <c r="P5" s="17"/>
      <c r="R5" s="32"/>
    </row>
    <row r="6" spans="1:18">
      <c r="A6" s="16" t="s">
        <v>487</v>
      </c>
      <c r="B6" s="17" t="s">
        <v>210</v>
      </c>
      <c r="C6" s="17">
        <f>'lokale energieproductie'!O41+'lokale energieproductie'!O34</f>
        <v>18192.857142857145</v>
      </c>
      <c r="D6" s="308">
        <f>('lokale energieproductie'!P34+'lokale energieproductie'!P41)*(-1)</f>
        <v>0</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-36385.71428571429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6467.6140334765223</v>
      </c>
      <c r="C8" s="21">
        <f>C5+C6</f>
        <v>18192.857142857145</v>
      </c>
      <c r="D8" s="21">
        <f>MAX((D5+D6),0)</f>
        <v>7679.106098322598</v>
      </c>
      <c r="E8" s="21">
        <f>MAX((E5+E6),0)</f>
        <v>190.10293081721258</v>
      </c>
      <c r="F8" s="21">
        <f>MAX((F5+F6),0)</f>
        <v>26943.730571944816</v>
      </c>
      <c r="G8" s="21"/>
      <c r="H8" s="21"/>
      <c r="I8" s="21"/>
      <c r="J8" s="21">
        <f>MAX((J5+J6),0)</f>
        <v>937.01837984947963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0.18955350697639359</v>
      </c>
      <c r="C10" s="31">
        <f ca="1">'EF ele_warmte'!B22</f>
        <v>3.6382987432969022E-3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1225.958921815213</v>
      </c>
      <c r="C12" s="23">
        <f ca="1">C8*C10</f>
        <v>66.191049279837216</v>
      </c>
      <c r="D12" s="23">
        <f>D8*D10</f>
        <v>1551.1794318611649</v>
      </c>
      <c r="E12" s="23">
        <f>E8*E10</f>
        <v>43.153365295507257</v>
      </c>
      <c r="F12" s="23">
        <f>F8*F10</f>
        <v>7193.9760627092664</v>
      </c>
      <c r="G12" s="23"/>
      <c r="H12" s="23"/>
      <c r="I12" s="23"/>
      <c r="J12" s="23">
        <f>J8*J10</f>
        <v>331.70450646671577</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0.9177747228705202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1202.1161325577718</v>
      </c>
      <c r="C26" s="247">
        <f>B26*'GWP N2O_CH4'!B5</f>
        <v>25244.438783713209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667.68197458072757</v>
      </c>
      <c r="C27" s="247">
        <f>B27*'GWP N2O_CH4'!B5</f>
        <v>14021.321466195279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16.048967218002751</v>
      </c>
      <c r="C28" s="247">
        <f>B28*'GWP N2O_CH4'!B4</f>
        <v>4975.179837580853</v>
      </c>
      <c r="D28" s="50"/>
    </row>
    <row r="29" spans="1:4">
      <c r="A29" s="41" t="s">
        <v>276</v>
      </c>
      <c r="B29" s="247">
        <f>B34*'ha_N2O bodem landbouw'!B4</f>
        <v>32.292748214985302</v>
      </c>
      <c r="C29" s="247">
        <f>B29*'GWP N2O_CH4'!B4</f>
        <v>10010.751946645443</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7.3690938568985185E-3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6.1865227130164068E-4</v>
      </c>
      <c r="C5" s="437" t="s">
        <v>210</v>
      </c>
      <c r="D5" s="422">
        <f>SUM(D6:D11)</f>
        <v>1.6218590154554314E-3</v>
      </c>
      <c r="E5" s="422">
        <f>SUM(E6:E11)</f>
        <v>3.2208301244744837E-3</v>
      </c>
      <c r="F5" s="435" t="s">
        <v>210</v>
      </c>
      <c r="G5" s="422">
        <f>SUM(G6:G11)</f>
        <v>1.6345668859773561</v>
      </c>
      <c r="H5" s="422">
        <f>SUM(H6:H11)</f>
        <v>0.28275754703536576</v>
      </c>
      <c r="I5" s="437" t="s">
        <v>210</v>
      </c>
      <c r="J5" s="437" t="s">
        <v>210</v>
      </c>
      <c r="K5" s="437" t="s">
        <v>210</v>
      </c>
      <c r="L5" s="437" t="s">
        <v>210</v>
      </c>
      <c r="M5" s="422">
        <f>SUM(M6:M11)</f>
        <v>0.10382463380963516</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1.3257973090221E-4</v>
      </c>
      <c r="C6" s="423"/>
      <c r="D6" s="865">
        <f>vkm_GW_PW*SUMIFS(TableVerdeelsleutelVkm[CNG],TableVerdeelsleutelVkm[Voertuigtype],"Lichte voertuigen")*SUMIFS(TableECFTransport[EnergieConsumptieFactor (PJ per km)],TableECFTransport[Index],CONCATENATE($A6,"_CNG_CNG"))</f>
        <v>3.285649449662121E-4</v>
      </c>
      <c r="E6" s="865">
        <f>vkm_GW_PW*SUMIFS(TableVerdeelsleutelVkm[LPG],TableVerdeelsleutelVkm[Voertuigtype],"Lichte voertuigen")*SUMIFS(TableECFTransport[EnergieConsumptieFactor (PJ per km)],TableECFTransport[Index],CONCATENATE($A6,"_LPG_LPG"))</f>
        <v>5.6406396330079434E-4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0.17283738966861331</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5.5824556703606726E-2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1.1741624433669431E-2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0.1459670431053261</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2.4417631206200138E-6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8.5282056536326502E-3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5.21757320165605E-5</v>
      </c>
      <c r="C8" s="423"/>
      <c r="D8" s="425">
        <f>vkm_NGW_PW*SUMIFS(TableVerdeelsleutelVkm[CNG],TableVerdeelsleutelVkm[Voertuigtype],"Lichte voertuigen")*SUMIFS(TableECFTransport[EnergieConsumptieFactor (PJ per km)],TableECFTransport[Index],CONCATENATE($A8,"_CNG_CNG"))</f>
        <v>2.1855215825681982E-4</v>
      </c>
      <c r="E8" s="425">
        <f>vkm_NGW_PW*SUMIFS(TableVerdeelsleutelVkm[LPG],TableVerdeelsleutelVkm[Voertuigtype],"Lichte voertuigen")*SUMIFS(TableECFTransport[EnergieConsumptieFactor (PJ per km)],TableECFTransport[Index],CONCATENATE($A8,"_LPG_LPG"))</f>
        <v>3.5631081007009014E-4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0.10269723213747663</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3.6316202565548718E-2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7.069315485685965E-3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1.1155544146969582E-2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2.2988164919775918E-7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6.5177014341041481E-4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4.3389680838287021E-4</v>
      </c>
      <c r="C10" s="423"/>
      <c r="D10" s="425">
        <f>vkm_SW_PW*SUMIFS(TableVerdeelsleutelVkm[CNG],TableVerdeelsleutelVkm[Voertuigtype],"Lichte voertuigen")*SUMIFS(TableECFTransport[EnergieConsumptieFactor (PJ per km)],TableECFTransport[Index],CONCATENATE($A10,"_CNG_CNG"))</f>
        <v>1.0747419122323996E-3</v>
      </c>
      <c r="E10" s="425">
        <f>vkm_SW_PW*SUMIFS(TableVerdeelsleutelVkm[LPG],TableVerdeelsleutelVkm[Voertuigtype],"Lichte voertuigen")*SUMIFS(TableECFTransport[EnergieConsumptieFactor (PJ per km)],TableECFTransport[Index],CONCATENATE($A10,"_LPG_LPG"))</f>
        <v>2.3004553511035992E-3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0.63062068370856239</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0.190603935855128</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4.2455822657090712E-2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0.57128899321040816</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1.0180266312519494E-5</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3.3377895436145978E-2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171.84785313934464</v>
      </c>
      <c r="C14" s="21"/>
      <c r="D14" s="21">
        <f t="shared" ref="D14:M14" si="0">((D5)*10^9/3600)+D12</f>
        <v>450.51639318206429</v>
      </c>
      <c r="E14" s="21">
        <f t="shared" si="0"/>
        <v>894.67503457624548</v>
      </c>
      <c r="F14" s="21"/>
      <c r="G14" s="21">
        <f t="shared" si="0"/>
        <v>454046.35721593228</v>
      </c>
      <c r="H14" s="21">
        <f t="shared" si="0"/>
        <v>78543.763065379375</v>
      </c>
      <c r="I14" s="21"/>
      <c r="J14" s="21"/>
      <c r="K14" s="21"/>
      <c r="L14" s="21"/>
      <c r="M14" s="21">
        <f t="shared" si="0"/>
        <v>28840.176058231991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0.18955350697639359</v>
      </c>
      <c r="C16" s="56">
        <f ca="1">'EF ele_warmte'!B22</f>
        <v>3.6382987432969022E-3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32.574363228927027</v>
      </c>
      <c r="C18" s="23"/>
      <c r="D18" s="23">
        <f t="shared" ref="D18:M18" si="1">D14*D16</f>
        <v>91.004311422776993</v>
      </c>
      <c r="E18" s="23">
        <f t="shared" si="1"/>
        <v>203.09123284880772</v>
      </c>
      <c r="F18" s="23"/>
      <c r="G18" s="23">
        <f t="shared" si="1"/>
        <v>121230.37737665392</v>
      </c>
      <c r="H18" s="23">
        <f t="shared" si="1"/>
        <v>19557.397003279464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2.3199738288552526E-3</v>
      </c>
      <c r="H50" s="319">
        <f t="shared" si="2"/>
        <v>0</v>
      </c>
      <c r="I50" s="319">
        <f t="shared" si="2"/>
        <v>0</v>
      </c>
      <c r="J50" s="319">
        <f t="shared" si="2"/>
        <v>0</v>
      </c>
      <c r="K50" s="319">
        <f t="shared" si="2"/>
        <v>0</v>
      </c>
      <c r="L50" s="319">
        <f t="shared" si="2"/>
        <v>0</v>
      </c>
      <c r="M50" s="319">
        <f t="shared" si="2"/>
        <v>1.3175431841681989E-4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2.3199738288552526E-3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1.3175431841681989E-4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644.43717468201453</v>
      </c>
      <c r="H54" s="21">
        <f t="shared" si="3"/>
        <v>0</v>
      </c>
      <c r="I54" s="21">
        <f t="shared" si="3"/>
        <v>0</v>
      </c>
      <c r="J54" s="21">
        <f t="shared" si="3"/>
        <v>0</v>
      </c>
      <c r="K54" s="21">
        <f t="shared" si="3"/>
        <v>0</v>
      </c>
      <c r="L54" s="21">
        <f t="shared" si="3"/>
        <v>0</v>
      </c>
      <c r="M54" s="21">
        <f t="shared" si="3"/>
        <v>36.598421782449968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0.18955350697639359</v>
      </c>
      <c r="C56" s="56">
        <f ca="1">'EF ele_warmte'!B22</f>
        <v>3.6382987432969022E-3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172.06472564009789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30099.6353962131</v>
      </c>
      <c r="D10" s="979">
        <f ca="1">tertiair!C16</f>
        <v>282.85714285714289</v>
      </c>
      <c r="E10" s="979">
        <f ca="1">tertiair!D16</f>
        <v>25283.978878287864</v>
      </c>
      <c r="F10" s="979">
        <f>tertiair!E16</f>
        <v>434.27428845189274</v>
      </c>
      <c r="G10" s="979">
        <f ca="1">tertiair!F16</f>
        <v>4898.0102415204874</v>
      </c>
      <c r="H10" s="979">
        <f>tertiair!G16</f>
        <v>0</v>
      </c>
      <c r="I10" s="979">
        <f>tertiair!H16</f>
        <v>0</v>
      </c>
      <c r="J10" s="979">
        <f>tertiair!I16</f>
        <v>0</v>
      </c>
      <c r="K10" s="979">
        <f>tertiair!J16</f>
        <v>6.958407166083036E-2</v>
      </c>
      <c r="L10" s="979">
        <f>tertiair!K16</f>
        <v>0</v>
      </c>
      <c r="M10" s="979">
        <f ca="1">tertiair!L16</f>
        <v>0</v>
      </c>
      <c r="N10" s="979">
        <f>tertiair!M16</f>
        <v>0</v>
      </c>
      <c r="O10" s="979">
        <f ca="1">tertiair!N16</f>
        <v>2768.8550888624218</v>
      </c>
      <c r="P10" s="979">
        <f>tertiair!O16</f>
        <v>14.070000000000002</v>
      </c>
      <c r="Q10" s="980">
        <f>tertiair!P16</f>
        <v>171.6</v>
      </c>
      <c r="R10" s="674">
        <f ca="1">SUM(C10:Q10)</f>
        <v>63953.350620264566</v>
      </c>
      <c r="S10" s="67"/>
    </row>
    <row r="11" spans="1:19" s="447" customFormat="1">
      <c r="A11" s="783" t="s">
        <v>224</v>
      </c>
      <c r="B11" s="788"/>
      <c r="C11" s="979">
        <f>huishoudens!B8</f>
        <v>40296.508490762244</v>
      </c>
      <c r="D11" s="979">
        <f>huishoudens!C8</f>
        <v>0</v>
      </c>
      <c r="E11" s="979">
        <f>huishoudens!D8</f>
        <v>53697.047487405391</v>
      </c>
      <c r="F11" s="979">
        <f>huishoudens!E8</f>
        <v>26198.837149181025</v>
      </c>
      <c r="G11" s="979">
        <f>huishoudens!F8</f>
        <v>24616.333163452371</v>
      </c>
      <c r="H11" s="979">
        <f>huishoudens!G8</f>
        <v>0</v>
      </c>
      <c r="I11" s="979">
        <f>huishoudens!H8</f>
        <v>0</v>
      </c>
      <c r="J11" s="979">
        <f>huishoudens!I8</f>
        <v>0</v>
      </c>
      <c r="K11" s="979">
        <f>huishoudens!J8</f>
        <v>296.58931225578169</v>
      </c>
      <c r="L11" s="979">
        <f>huishoudens!K8</f>
        <v>0</v>
      </c>
      <c r="M11" s="979">
        <f>huishoudens!L8</f>
        <v>0</v>
      </c>
      <c r="N11" s="979">
        <f>huishoudens!M8</f>
        <v>0</v>
      </c>
      <c r="O11" s="979">
        <f>huishoudens!N8</f>
        <v>23868.81170166107</v>
      </c>
      <c r="P11" s="979">
        <f>huishoudens!O8</f>
        <v>578.43333333333339</v>
      </c>
      <c r="Q11" s="980">
        <f>huishoudens!P8</f>
        <v>2268.9333333333334</v>
      </c>
      <c r="R11" s="674">
        <f>SUM(C11:Q11)</f>
        <v>171821.49397138451</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85384.23048672179</v>
      </c>
      <c r="D13" s="979">
        <f>industrie!C18</f>
        <v>0</v>
      </c>
      <c r="E13" s="979">
        <f>industrie!D18</f>
        <v>185572.79968288049</v>
      </c>
      <c r="F13" s="979">
        <f>industrie!E18</f>
        <v>1472.6837502655126</v>
      </c>
      <c r="G13" s="979">
        <f>industrie!F18</f>
        <v>8633.9693278702307</v>
      </c>
      <c r="H13" s="979">
        <f>industrie!G18</f>
        <v>0</v>
      </c>
      <c r="I13" s="979">
        <f>industrie!H18</f>
        <v>0</v>
      </c>
      <c r="J13" s="979">
        <f>industrie!I18</f>
        <v>0</v>
      </c>
      <c r="K13" s="979">
        <f>industrie!J18</f>
        <v>34.355603507148714</v>
      </c>
      <c r="L13" s="979">
        <f>industrie!K18</f>
        <v>0</v>
      </c>
      <c r="M13" s="979">
        <f>industrie!L18</f>
        <v>0</v>
      </c>
      <c r="N13" s="979">
        <f>industrie!M18</f>
        <v>0</v>
      </c>
      <c r="O13" s="979">
        <f>industrie!N18</f>
        <v>8700.7262024550328</v>
      </c>
      <c r="P13" s="979">
        <f>industrie!O18</f>
        <v>0</v>
      </c>
      <c r="Q13" s="980">
        <f>industrie!P18</f>
        <v>0</v>
      </c>
      <c r="R13" s="674">
        <f>SUM(C13:Q13)</f>
        <v>289798.76505370019</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155780.37437369715</v>
      </c>
      <c r="D16" s="706">
        <f t="shared" ref="D16:R16" ca="1" si="0">SUM(D9:D15)</f>
        <v>282.85714285714289</v>
      </c>
      <c r="E16" s="706">
        <f t="shared" ca="1" si="0"/>
        <v>264553.82604857371</v>
      </c>
      <c r="F16" s="706">
        <f t="shared" si="0"/>
        <v>28105.795187898431</v>
      </c>
      <c r="G16" s="706">
        <f t="shared" ca="1" si="0"/>
        <v>38148.312732843093</v>
      </c>
      <c r="H16" s="706">
        <f t="shared" si="0"/>
        <v>0</v>
      </c>
      <c r="I16" s="706">
        <f t="shared" si="0"/>
        <v>0</v>
      </c>
      <c r="J16" s="706">
        <f t="shared" si="0"/>
        <v>0</v>
      </c>
      <c r="K16" s="706">
        <f t="shared" si="0"/>
        <v>331.01449983459122</v>
      </c>
      <c r="L16" s="706">
        <f t="shared" si="0"/>
        <v>0</v>
      </c>
      <c r="M16" s="706">
        <f t="shared" ca="1" si="0"/>
        <v>0</v>
      </c>
      <c r="N16" s="706">
        <f t="shared" si="0"/>
        <v>0</v>
      </c>
      <c r="O16" s="706">
        <f t="shared" ca="1" si="0"/>
        <v>35338.392992978523</v>
      </c>
      <c r="P16" s="706">
        <f t="shared" si="0"/>
        <v>592.50333333333344</v>
      </c>
      <c r="Q16" s="706">
        <f t="shared" si="0"/>
        <v>2440.5333333333333</v>
      </c>
      <c r="R16" s="706">
        <f t="shared" ca="1" si="0"/>
        <v>525573.60964534921</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644.43717468201453</v>
      </c>
      <c r="I19" s="979">
        <f>transport!H54</f>
        <v>0</v>
      </c>
      <c r="J19" s="979">
        <f>transport!I54</f>
        <v>0</v>
      </c>
      <c r="K19" s="979">
        <f>transport!J54</f>
        <v>0</v>
      </c>
      <c r="L19" s="979">
        <f>transport!K54</f>
        <v>0</v>
      </c>
      <c r="M19" s="979">
        <f>transport!L54</f>
        <v>0</v>
      </c>
      <c r="N19" s="979">
        <f>transport!M54</f>
        <v>36.598421782449968</v>
      </c>
      <c r="O19" s="979">
        <f>transport!N54</f>
        <v>0</v>
      </c>
      <c r="P19" s="979">
        <f>transport!O54</f>
        <v>0</v>
      </c>
      <c r="Q19" s="980">
        <f>transport!P54</f>
        <v>0</v>
      </c>
      <c r="R19" s="674">
        <f>SUM(C19:Q19)</f>
        <v>681.03559646446445</v>
      </c>
      <c r="S19" s="67"/>
    </row>
    <row r="20" spans="1:19" s="447" customFormat="1">
      <c r="A20" s="783" t="s">
        <v>306</v>
      </c>
      <c r="B20" s="788"/>
      <c r="C20" s="979">
        <f>transport!B14</f>
        <v>171.84785313934464</v>
      </c>
      <c r="D20" s="979">
        <f>transport!C14</f>
        <v>0</v>
      </c>
      <c r="E20" s="979">
        <f>transport!D14</f>
        <v>450.51639318206429</v>
      </c>
      <c r="F20" s="979">
        <f>transport!E14</f>
        <v>894.67503457624548</v>
      </c>
      <c r="G20" s="979">
        <f>transport!F14</f>
        <v>0</v>
      </c>
      <c r="H20" s="979">
        <f>transport!G14</f>
        <v>454046.35721593228</v>
      </c>
      <c r="I20" s="979">
        <f>transport!H14</f>
        <v>78543.763065379375</v>
      </c>
      <c r="J20" s="979">
        <f>transport!I14</f>
        <v>0</v>
      </c>
      <c r="K20" s="979">
        <f>transport!J14</f>
        <v>0</v>
      </c>
      <c r="L20" s="979">
        <f>transport!K14</f>
        <v>0</v>
      </c>
      <c r="M20" s="979">
        <f>transport!L14</f>
        <v>0</v>
      </c>
      <c r="N20" s="979">
        <f>transport!M14</f>
        <v>28840.176058231991</v>
      </c>
      <c r="O20" s="979">
        <f>transport!N14</f>
        <v>0</v>
      </c>
      <c r="P20" s="979">
        <f>transport!O14</f>
        <v>0</v>
      </c>
      <c r="Q20" s="980">
        <f>transport!P14</f>
        <v>0</v>
      </c>
      <c r="R20" s="674">
        <f>SUM(C20:Q20)</f>
        <v>562947.33562044124</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171.84785313934464</v>
      </c>
      <c r="D22" s="786">
        <f t="shared" ref="D22:R22" si="1">SUM(D18:D21)</f>
        <v>0</v>
      </c>
      <c r="E22" s="786">
        <f t="shared" si="1"/>
        <v>450.51639318206429</v>
      </c>
      <c r="F22" s="786">
        <f t="shared" si="1"/>
        <v>894.67503457624548</v>
      </c>
      <c r="G22" s="786">
        <f t="shared" si="1"/>
        <v>0</v>
      </c>
      <c r="H22" s="786">
        <f t="shared" si="1"/>
        <v>454690.79439061432</v>
      </c>
      <c r="I22" s="786">
        <f t="shared" si="1"/>
        <v>78543.763065379375</v>
      </c>
      <c r="J22" s="786">
        <f t="shared" si="1"/>
        <v>0</v>
      </c>
      <c r="K22" s="786">
        <f t="shared" si="1"/>
        <v>0</v>
      </c>
      <c r="L22" s="786">
        <f t="shared" si="1"/>
        <v>0</v>
      </c>
      <c r="M22" s="786">
        <f t="shared" si="1"/>
        <v>0</v>
      </c>
      <c r="N22" s="786">
        <f t="shared" si="1"/>
        <v>28876.774480014443</v>
      </c>
      <c r="O22" s="786">
        <f t="shared" si="1"/>
        <v>0</v>
      </c>
      <c r="P22" s="786">
        <f t="shared" si="1"/>
        <v>0</v>
      </c>
      <c r="Q22" s="786">
        <f t="shared" si="1"/>
        <v>0</v>
      </c>
      <c r="R22" s="786">
        <f t="shared" si="1"/>
        <v>563628.37121690565</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6467.6140334765223</v>
      </c>
      <c r="D24" s="979">
        <f>+landbouw!C8</f>
        <v>18192.857142857145</v>
      </c>
      <c r="E24" s="979">
        <f>+landbouw!D8</f>
        <v>7679.106098322598</v>
      </c>
      <c r="F24" s="979">
        <f>+landbouw!E8</f>
        <v>190.10293081721258</v>
      </c>
      <c r="G24" s="979">
        <f>+landbouw!F8</f>
        <v>26943.730571944816</v>
      </c>
      <c r="H24" s="979">
        <f>+landbouw!G8</f>
        <v>0</v>
      </c>
      <c r="I24" s="979">
        <f>+landbouw!H8</f>
        <v>0</v>
      </c>
      <c r="J24" s="979">
        <f>+landbouw!I8</f>
        <v>0</v>
      </c>
      <c r="K24" s="979">
        <f>+landbouw!J8</f>
        <v>937.01837984947963</v>
      </c>
      <c r="L24" s="979">
        <f>+landbouw!K8</f>
        <v>0</v>
      </c>
      <c r="M24" s="979">
        <f>+landbouw!L8</f>
        <v>0</v>
      </c>
      <c r="N24" s="979">
        <f>+landbouw!M8</f>
        <v>0</v>
      </c>
      <c r="O24" s="979">
        <f>+landbouw!N8</f>
        <v>0</v>
      </c>
      <c r="P24" s="979">
        <f>+landbouw!O8</f>
        <v>0</v>
      </c>
      <c r="Q24" s="980">
        <f>+landbouw!P8</f>
        <v>0</v>
      </c>
      <c r="R24" s="674">
        <f>SUM(C24:Q24)</f>
        <v>60410.429157267768</v>
      </c>
      <c r="S24" s="67"/>
    </row>
    <row r="25" spans="1:19" s="447" customFormat="1" ht="15" thickBot="1">
      <c r="A25" s="805" t="s">
        <v>823</v>
      </c>
      <c r="B25" s="982"/>
      <c r="C25" s="983">
        <f>IF(Onbekend_ele_kWh="---",0,Onbekend_ele_kWh)/1000+IF(REST_rest_ele_kWh="---",0,REST_rest_ele_kWh)/1000</f>
        <v>1409.7177077357499</v>
      </c>
      <c r="D25" s="983"/>
      <c r="E25" s="983">
        <f>IF(onbekend_gas_kWh="---",0,onbekend_gas_kWh)/1000+IF(REST_rest_gas_kWh="---",0,REST_rest_gas_kWh)/1000</f>
        <v>1400.25370940059</v>
      </c>
      <c r="F25" s="983"/>
      <c r="G25" s="983"/>
      <c r="H25" s="983"/>
      <c r="I25" s="983"/>
      <c r="J25" s="983"/>
      <c r="K25" s="983"/>
      <c r="L25" s="983"/>
      <c r="M25" s="983"/>
      <c r="N25" s="983"/>
      <c r="O25" s="983"/>
      <c r="P25" s="983"/>
      <c r="Q25" s="984"/>
      <c r="R25" s="674">
        <f>SUM(C25:Q25)</f>
        <v>2809.9714171363398</v>
      </c>
      <c r="S25" s="67"/>
    </row>
    <row r="26" spans="1:19" s="447" customFormat="1" ht="15.75" thickBot="1">
      <c r="A26" s="679" t="s">
        <v>824</v>
      </c>
      <c r="B26" s="791"/>
      <c r="C26" s="786">
        <f>SUM(C24:C25)</f>
        <v>7877.3317412122724</v>
      </c>
      <c r="D26" s="786">
        <f t="shared" ref="D26:R26" si="2">SUM(D24:D25)</f>
        <v>18192.857142857145</v>
      </c>
      <c r="E26" s="786">
        <f t="shared" si="2"/>
        <v>9079.3598077231873</v>
      </c>
      <c r="F26" s="786">
        <f t="shared" si="2"/>
        <v>190.10293081721258</v>
      </c>
      <c r="G26" s="786">
        <f t="shared" si="2"/>
        <v>26943.730571944816</v>
      </c>
      <c r="H26" s="786">
        <f t="shared" si="2"/>
        <v>0</v>
      </c>
      <c r="I26" s="786">
        <f t="shared" si="2"/>
        <v>0</v>
      </c>
      <c r="J26" s="786">
        <f t="shared" si="2"/>
        <v>0</v>
      </c>
      <c r="K26" s="786">
        <f t="shared" si="2"/>
        <v>937.01837984947963</v>
      </c>
      <c r="L26" s="786">
        <f t="shared" si="2"/>
        <v>0</v>
      </c>
      <c r="M26" s="786">
        <f t="shared" si="2"/>
        <v>0</v>
      </c>
      <c r="N26" s="786">
        <f t="shared" si="2"/>
        <v>0</v>
      </c>
      <c r="O26" s="786">
        <f t="shared" si="2"/>
        <v>0</v>
      </c>
      <c r="P26" s="786">
        <f t="shared" si="2"/>
        <v>0</v>
      </c>
      <c r="Q26" s="786">
        <f t="shared" si="2"/>
        <v>0</v>
      </c>
      <c r="R26" s="786">
        <f t="shared" si="2"/>
        <v>63220.400574404106</v>
      </c>
      <c r="S26" s="67"/>
    </row>
    <row r="27" spans="1:19" s="447" customFormat="1" ht="17.25" thickTop="1" thickBot="1">
      <c r="A27" s="680" t="s">
        <v>115</v>
      </c>
      <c r="B27" s="779"/>
      <c r="C27" s="681">
        <f ca="1">C22+C16+C26</f>
        <v>163829.55396804877</v>
      </c>
      <c r="D27" s="681">
        <f t="shared" ref="D27:R27" ca="1" si="3">D22+D16+D26</f>
        <v>18475.714285714286</v>
      </c>
      <c r="E27" s="681">
        <f t="shared" ca="1" si="3"/>
        <v>274083.70224947896</v>
      </c>
      <c r="F27" s="681">
        <f t="shared" si="3"/>
        <v>29190.573153291887</v>
      </c>
      <c r="G27" s="681">
        <f t="shared" ca="1" si="3"/>
        <v>65092.043304787905</v>
      </c>
      <c r="H27" s="681">
        <f t="shared" si="3"/>
        <v>454690.79439061432</v>
      </c>
      <c r="I27" s="681">
        <f t="shared" si="3"/>
        <v>78543.763065379375</v>
      </c>
      <c r="J27" s="681">
        <f t="shared" si="3"/>
        <v>0</v>
      </c>
      <c r="K27" s="681">
        <f t="shared" si="3"/>
        <v>1268.0328796840708</v>
      </c>
      <c r="L27" s="681">
        <f t="shared" si="3"/>
        <v>0</v>
      </c>
      <c r="M27" s="681">
        <f t="shared" ca="1" si="3"/>
        <v>0</v>
      </c>
      <c r="N27" s="681">
        <f t="shared" si="3"/>
        <v>28876.774480014443</v>
      </c>
      <c r="O27" s="681">
        <f t="shared" ca="1" si="3"/>
        <v>35338.392992978523</v>
      </c>
      <c r="P27" s="681">
        <f t="shared" si="3"/>
        <v>592.50333333333344</v>
      </c>
      <c r="Q27" s="681">
        <f t="shared" si="3"/>
        <v>2440.5333333333333</v>
      </c>
      <c r="R27" s="681">
        <f t="shared" ca="1" si="3"/>
        <v>1152422.3814366588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5705.4914480629832</v>
      </c>
      <c r="D40" s="979">
        <f ca="1">tertiair!C20</f>
        <v>1.0291187873896954</v>
      </c>
      <c r="E40" s="979">
        <f ca="1">tertiair!D20</f>
        <v>5107.3637334141486</v>
      </c>
      <c r="F40" s="979">
        <f>tertiair!E20</f>
        <v>98.580263478579653</v>
      </c>
      <c r="G40" s="979">
        <f ca="1">tertiair!F20</f>
        <v>1307.7687344859703</v>
      </c>
      <c r="H40" s="979">
        <f>tertiair!G20</f>
        <v>0</v>
      </c>
      <c r="I40" s="979">
        <f>tertiair!H20</f>
        <v>0</v>
      </c>
      <c r="J40" s="979">
        <f>tertiair!I20</f>
        <v>0</v>
      </c>
      <c r="K40" s="979">
        <f>tertiair!J20</f>
        <v>2.4632761367933947E-2</v>
      </c>
      <c r="L40" s="979">
        <f>tertiair!K20</f>
        <v>0</v>
      </c>
      <c r="M40" s="979">
        <f ca="1">tertiair!L20</f>
        <v>0</v>
      </c>
      <c r="N40" s="979">
        <f>tertiair!M20</f>
        <v>0</v>
      </c>
      <c r="O40" s="979">
        <f ca="1">tertiair!N20</f>
        <v>0</v>
      </c>
      <c r="P40" s="979">
        <f>tertiair!O20</f>
        <v>0</v>
      </c>
      <c r="Q40" s="748">
        <f>tertiair!P20</f>
        <v>0</v>
      </c>
      <c r="R40" s="824">
        <f t="shared" ca="1" si="4"/>
        <v>12220.257930990439</v>
      </c>
    </row>
    <row r="41" spans="1:18">
      <c r="A41" s="796" t="s">
        <v>224</v>
      </c>
      <c r="B41" s="803"/>
      <c r="C41" s="979">
        <f ca="1">huishoudens!B12</f>
        <v>7638.3445033280041</v>
      </c>
      <c r="D41" s="979">
        <f ca="1">huishoudens!C12</f>
        <v>0</v>
      </c>
      <c r="E41" s="979">
        <f>huishoudens!D12</f>
        <v>10846.80359245589</v>
      </c>
      <c r="F41" s="979">
        <f>huishoudens!E12</f>
        <v>5947.1360328640931</v>
      </c>
      <c r="G41" s="979">
        <f>huishoudens!F12</f>
        <v>6572.5609546417836</v>
      </c>
      <c r="H41" s="979">
        <f>huishoudens!G12</f>
        <v>0</v>
      </c>
      <c r="I41" s="979">
        <f>huishoudens!H12</f>
        <v>0</v>
      </c>
      <c r="J41" s="979">
        <f>huishoudens!I12</f>
        <v>0</v>
      </c>
      <c r="K41" s="979">
        <f>huishoudens!J12</f>
        <v>104.99261653854671</v>
      </c>
      <c r="L41" s="979">
        <f>huishoudens!K12</f>
        <v>0</v>
      </c>
      <c r="M41" s="979">
        <f>huishoudens!L12</f>
        <v>0</v>
      </c>
      <c r="N41" s="979">
        <f>huishoudens!M12</f>
        <v>0</v>
      </c>
      <c r="O41" s="979">
        <f>huishoudens!N12</f>
        <v>0</v>
      </c>
      <c r="P41" s="979">
        <f>huishoudens!O12</f>
        <v>0</v>
      </c>
      <c r="Q41" s="748">
        <f>huishoudens!P12</f>
        <v>0</v>
      </c>
      <c r="R41" s="824">
        <f t="shared" ca="1" si="4"/>
        <v>31109.83769982832</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16184.880329238817</v>
      </c>
      <c r="D43" s="979">
        <f ca="1">industrie!C22</f>
        <v>0</v>
      </c>
      <c r="E43" s="979">
        <f>industrie!D22</f>
        <v>37485.705535941859</v>
      </c>
      <c r="F43" s="979">
        <f>industrie!E22</f>
        <v>334.29921131027135</v>
      </c>
      <c r="G43" s="979">
        <f>industrie!F22</f>
        <v>2305.2698105413519</v>
      </c>
      <c r="H43" s="979">
        <f>industrie!G22</f>
        <v>0</v>
      </c>
      <c r="I43" s="979">
        <f>industrie!H22</f>
        <v>0</v>
      </c>
      <c r="J43" s="979">
        <f>industrie!I22</f>
        <v>0</v>
      </c>
      <c r="K43" s="979">
        <f>industrie!J22</f>
        <v>12.161883641530645</v>
      </c>
      <c r="L43" s="979">
        <f>industrie!K22</f>
        <v>0</v>
      </c>
      <c r="M43" s="979">
        <f>industrie!L22</f>
        <v>0</v>
      </c>
      <c r="N43" s="979">
        <f>industrie!M22</f>
        <v>0</v>
      </c>
      <c r="O43" s="979">
        <f>industrie!N22</f>
        <v>0</v>
      </c>
      <c r="P43" s="979">
        <f>industrie!O22</f>
        <v>0</v>
      </c>
      <c r="Q43" s="748">
        <f>industrie!P22</f>
        <v>0</v>
      </c>
      <c r="R43" s="823">
        <f t="shared" ca="1" si="4"/>
        <v>56322.316770673831</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29528.716280629804</v>
      </c>
      <c r="D46" s="706">
        <f t="shared" ref="D46:Q46" ca="1" si="5">SUM(D39:D45)</f>
        <v>1.0291187873896954</v>
      </c>
      <c r="E46" s="706">
        <f t="shared" ca="1" si="5"/>
        <v>53439.872861811898</v>
      </c>
      <c r="F46" s="706">
        <f t="shared" si="5"/>
        <v>6380.0155076529436</v>
      </c>
      <c r="G46" s="706">
        <f t="shared" ca="1" si="5"/>
        <v>10185.599499669106</v>
      </c>
      <c r="H46" s="706">
        <f t="shared" si="5"/>
        <v>0</v>
      </c>
      <c r="I46" s="706">
        <f t="shared" si="5"/>
        <v>0</v>
      </c>
      <c r="J46" s="706">
        <f t="shared" si="5"/>
        <v>0</v>
      </c>
      <c r="K46" s="706">
        <f t="shared" si="5"/>
        <v>117.1791329414453</v>
      </c>
      <c r="L46" s="706">
        <f t="shared" si="5"/>
        <v>0</v>
      </c>
      <c r="M46" s="706">
        <f t="shared" ca="1" si="5"/>
        <v>0</v>
      </c>
      <c r="N46" s="706">
        <f t="shared" si="5"/>
        <v>0</v>
      </c>
      <c r="O46" s="706">
        <f t="shared" ca="1" si="5"/>
        <v>0</v>
      </c>
      <c r="P46" s="706">
        <f t="shared" si="5"/>
        <v>0</v>
      </c>
      <c r="Q46" s="706">
        <f t="shared" si="5"/>
        <v>0</v>
      </c>
      <c r="R46" s="706">
        <f ca="1">SUM(R39:R45)</f>
        <v>99652.412401492591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172.06472564009789</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172.06472564009789</v>
      </c>
    </row>
    <row r="50" spans="1:18">
      <c r="A50" s="799" t="s">
        <v>306</v>
      </c>
      <c r="B50" s="809"/>
      <c r="C50" s="677">
        <f ca="1">transport!B18</f>
        <v>32.574363228927027</v>
      </c>
      <c r="D50" s="677">
        <f>transport!C18</f>
        <v>0</v>
      </c>
      <c r="E50" s="677">
        <f>transport!D18</f>
        <v>91.004311422776993</v>
      </c>
      <c r="F50" s="677">
        <f>transport!E18</f>
        <v>203.09123284880772</v>
      </c>
      <c r="G50" s="677">
        <f>transport!F18</f>
        <v>0</v>
      </c>
      <c r="H50" s="677">
        <f>transport!G18</f>
        <v>121230.37737665392</v>
      </c>
      <c r="I50" s="677">
        <f>transport!H18</f>
        <v>19557.397003279464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141114.4442874339</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32.574363228927027</v>
      </c>
      <c r="D52" s="706">
        <f t="shared" ref="D52:Q52" ca="1" si="6">SUM(D48:D51)</f>
        <v>0</v>
      </c>
      <c r="E52" s="706">
        <f t="shared" si="6"/>
        <v>91.004311422776993</v>
      </c>
      <c r="F52" s="706">
        <f t="shared" si="6"/>
        <v>203.09123284880772</v>
      </c>
      <c r="G52" s="706">
        <f t="shared" si="6"/>
        <v>0</v>
      </c>
      <c r="H52" s="706">
        <f t="shared" si="6"/>
        <v>121402.44210229402</v>
      </c>
      <c r="I52" s="706">
        <f t="shared" si="6"/>
        <v>19557.397003279464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141286.50901307398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1225.958921815213</v>
      </c>
      <c r="D54" s="677">
        <f ca="1">+landbouw!C12</f>
        <v>66.191049279837216</v>
      </c>
      <c r="E54" s="677">
        <f>+landbouw!D12</f>
        <v>1551.1794318611649</v>
      </c>
      <c r="F54" s="677">
        <f>+landbouw!E12</f>
        <v>43.153365295507257</v>
      </c>
      <c r="G54" s="677">
        <f>+landbouw!F12</f>
        <v>7193.9760627092664</v>
      </c>
      <c r="H54" s="677">
        <f>+landbouw!G12</f>
        <v>0</v>
      </c>
      <c r="I54" s="677">
        <f>+landbouw!H12</f>
        <v>0</v>
      </c>
      <c r="J54" s="677">
        <f>+landbouw!I12</f>
        <v>0</v>
      </c>
      <c r="K54" s="677">
        <f>+landbouw!J12</f>
        <v>331.70450646671577</v>
      </c>
      <c r="L54" s="677">
        <f>+landbouw!K12</f>
        <v>0</v>
      </c>
      <c r="M54" s="677">
        <f>+landbouw!L12</f>
        <v>0</v>
      </c>
      <c r="N54" s="677">
        <f>+landbouw!M12</f>
        <v>0</v>
      </c>
      <c r="O54" s="677">
        <f>+landbouw!N12</f>
        <v>0</v>
      </c>
      <c r="P54" s="677">
        <f>+landbouw!O12</f>
        <v>0</v>
      </c>
      <c r="Q54" s="678">
        <f>+landbouw!P12</f>
        <v>0</v>
      </c>
      <c r="R54" s="705">
        <f ca="1">SUM(C54:Q54)</f>
        <v>10412.163337427704</v>
      </c>
    </row>
    <row r="55" spans="1:18" ht="15" thickBot="1">
      <c r="A55" s="799" t="s">
        <v>823</v>
      </c>
      <c r="B55" s="809"/>
      <c r="C55" s="677">
        <f ca="1">C25*'EF ele_warmte'!B12</f>
        <v>267.21693534803404</v>
      </c>
      <c r="D55" s="677"/>
      <c r="E55" s="677">
        <f>E25*EF_CO2_aardgas</f>
        <v>282.85124929891919</v>
      </c>
      <c r="F55" s="677"/>
      <c r="G55" s="677"/>
      <c r="H55" s="677"/>
      <c r="I55" s="677"/>
      <c r="J55" s="677"/>
      <c r="K55" s="677"/>
      <c r="L55" s="677"/>
      <c r="M55" s="677"/>
      <c r="N55" s="677"/>
      <c r="O55" s="677"/>
      <c r="P55" s="677"/>
      <c r="Q55" s="678"/>
      <c r="R55" s="705">
        <f ca="1">SUM(C55:Q55)</f>
        <v>550.06818464695323</v>
      </c>
    </row>
    <row r="56" spans="1:18" ht="15.75" thickBot="1">
      <c r="A56" s="797" t="s">
        <v>824</v>
      </c>
      <c r="B56" s="810"/>
      <c r="C56" s="706">
        <f ca="1">SUM(C54:C55)</f>
        <v>1493.175857163247</v>
      </c>
      <c r="D56" s="706">
        <f t="shared" ref="D56:Q56" ca="1" si="7">SUM(D54:D55)</f>
        <v>66.191049279837216</v>
      </c>
      <c r="E56" s="706">
        <f t="shared" si="7"/>
        <v>1834.030681160084</v>
      </c>
      <c r="F56" s="706">
        <f t="shared" si="7"/>
        <v>43.153365295507257</v>
      </c>
      <c r="G56" s="706">
        <f t="shared" si="7"/>
        <v>7193.9760627092664</v>
      </c>
      <c r="H56" s="706">
        <f t="shared" si="7"/>
        <v>0</v>
      </c>
      <c r="I56" s="706">
        <f t="shared" si="7"/>
        <v>0</v>
      </c>
      <c r="J56" s="706">
        <f t="shared" si="7"/>
        <v>0</v>
      </c>
      <c r="K56" s="706">
        <f t="shared" si="7"/>
        <v>331.70450646671577</v>
      </c>
      <c r="L56" s="706">
        <f t="shared" si="7"/>
        <v>0</v>
      </c>
      <c r="M56" s="706">
        <f t="shared" si="7"/>
        <v>0</v>
      </c>
      <c r="N56" s="706">
        <f t="shared" si="7"/>
        <v>0</v>
      </c>
      <c r="O56" s="706">
        <f t="shared" si="7"/>
        <v>0</v>
      </c>
      <c r="P56" s="706">
        <f t="shared" si="7"/>
        <v>0</v>
      </c>
      <c r="Q56" s="707">
        <f t="shared" si="7"/>
        <v>0</v>
      </c>
      <c r="R56" s="708">
        <f ca="1">SUM(R54:R55)</f>
        <v>10962.231522074657</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31054.466501021976</v>
      </c>
      <c r="D61" s="714">
        <f t="shared" ref="D61:Q61" ca="1" si="8">D46+D52+D56</f>
        <v>67.220168067226908</v>
      </c>
      <c r="E61" s="714">
        <f t="shared" ca="1" si="8"/>
        <v>55364.907854394754</v>
      </c>
      <c r="F61" s="714">
        <f t="shared" si="8"/>
        <v>6626.2601057972588</v>
      </c>
      <c r="G61" s="714">
        <f t="shared" ca="1" si="8"/>
        <v>17379.575562378373</v>
      </c>
      <c r="H61" s="714">
        <f t="shared" si="8"/>
        <v>121402.44210229402</v>
      </c>
      <c r="I61" s="714">
        <f t="shared" si="8"/>
        <v>19557.397003279464</v>
      </c>
      <c r="J61" s="714">
        <f t="shared" si="8"/>
        <v>0</v>
      </c>
      <c r="K61" s="714">
        <f t="shared" si="8"/>
        <v>448.88363940816106</v>
      </c>
      <c r="L61" s="714">
        <f t="shared" si="8"/>
        <v>0</v>
      </c>
      <c r="M61" s="714">
        <f t="shared" ca="1" si="8"/>
        <v>0</v>
      </c>
      <c r="N61" s="714">
        <f t="shared" si="8"/>
        <v>0</v>
      </c>
      <c r="O61" s="714">
        <f t="shared" ca="1" si="8"/>
        <v>0</v>
      </c>
      <c r="P61" s="714">
        <f t="shared" si="8"/>
        <v>0</v>
      </c>
      <c r="Q61" s="714">
        <f t="shared" si="8"/>
        <v>0</v>
      </c>
      <c r="R61" s="714">
        <f ca="1">R46+R52+R56</f>
        <v>251901.15293664124</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0.18955350697639356</v>
      </c>
      <c r="D63" s="755">
        <f t="shared" ca="1" si="9"/>
        <v>3.6382987432969022E-3</v>
      </c>
      <c r="E63" s="990">
        <f t="shared" ca="1" si="9"/>
        <v>0.20200000000000001</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10591.520559112458</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12735</v>
      </c>
      <c r="C76" s="724">
        <f>'lokale energieproductie'!B8*IFERROR(SUM(D76:H76)/SUM(D76:O76),0)</f>
        <v>198</v>
      </c>
      <c r="D76" s="1000">
        <f>'lokale energieproductie'!C8</f>
        <v>232.94117647058826</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14982.352941176472</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47.054117647058831</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23326.520559112458</v>
      </c>
      <c r="C78" s="729">
        <f>SUM(C72:C77)</f>
        <v>198</v>
      </c>
      <c r="D78" s="730">
        <f t="shared" ref="D78:H78" si="10">SUM(D76:D77)</f>
        <v>232.94117647058826</v>
      </c>
      <c r="E78" s="730">
        <f t="shared" si="10"/>
        <v>0</v>
      </c>
      <c r="F78" s="730">
        <f t="shared" si="10"/>
        <v>0</v>
      </c>
      <c r="G78" s="730">
        <f t="shared" si="10"/>
        <v>0</v>
      </c>
      <c r="H78" s="730">
        <f t="shared" si="10"/>
        <v>0</v>
      </c>
      <c r="I78" s="730">
        <f>SUM(I76:I77)</f>
        <v>0</v>
      </c>
      <c r="J78" s="730">
        <f>SUM(J76:J77)</f>
        <v>14982.352941176472</v>
      </c>
      <c r="K78" s="730">
        <f t="shared" ref="K78:L78" si="11">SUM(K76:K77)</f>
        <v>0</v>
      </c>
      <c r="L78" s="730">
        <f t="shared" si="11"/>
        <v>0</v>
      </c>
      <c r="M78" s="730">
        <f>SUM(M76:M77)</f>
        <v>0</v>
      </c>
      <c r="N78" s="730">
        <f>SUM(N76:N77)</f>
        <v>0</v>
      </c>
      <c r="O78" s="834">
        <f>SUM(O76:O77)</f>
        <v>0</v>
      </c>
      <c r="P78" s="731">
        <v>0</v>
      </c>
      <c r="Q78" s="731">
        <f>SUM(Q76:Q77)</f>
        <v>47.054117647058831</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18192.857142857141</v>
      </c>
      <c r="C87" s="740">
        <f>'lokale energieproductie'!B17*IFERROR(SUM(D87:H87)/SUM(D87:O87),0)</f>
        <v>282.85714285714289</v>
      </c>
      <c r="D87" s="751">
        <f>'lokale energieproductie'!C17</f>
        <v>332.77310924369755</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21403.361344537818</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67.220168067226908</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18192.857142857141</v>
      </c>
      <c r="C90" s="729">
        <f>SUM(C87:C89)</f>
        <v>282.85714285714289</v>
      </c>
      <c r="D90" s="729">
        <f t="shared" ref="D90:H90" si="12">SUM(D87:D89)</f>
        <v>332.77310924369755</v>
      </c>
      <c r="E90" s="729">
        <f t="shared" si="12"/>
        <v>0</v>
      </c>
      <c r="F90" s="729">
        <f t="shared" si="12"/>
        <v>0</v>
      </c>
      <c r="G90" s="729">
        <f t="shared" si="12"/>
        <v>0</v>
      </c>
      <c r="H90" s="729">
        <f t="shared" si="12"/>
        <v>0</v>
      </c>
      <c r="I90" s="729">
        <f>SUM(I87:I89)</f>
        <v>0</v>
      </c>
      <c r="J90" s="729">
        <f>SUM(J87:J89)</f>
        <v>21403.361344537818</v>
      </c>
      <c r="K90" s="729">
        <f t="shared" ref="K90:L90" si="13">SUM(K87:K89)</f>
        <v>0</v>
      </c>
      <c r="L90" s="729">
        <f t="shared" si="13"/>
        <v>0</v>
      </c>
      <c r="M90" s="729">
        <f>SUM(M87:M89)</f>
        <v>0</v>
      </c>
      <c r="N90" s="729">
        <f>SUM(N87:N89)</f>
        <v>0</v>
      </c>
      <c r="O90" s="729">
        <f>SUM(O87:O89)</f>
        <v>0</v>
      </c>
      <c r="P90" s="729">
        <v>0</v>
      </c>
      <c r="Q90" s="729">
        <f>SUM(Q87:Q89)</f>
        <v>67.220168067226908</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316" zoomScaleNormal="100" workbookViewId="0">
      <selection activeCell="M30" sqref="M30"/>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10591.520559112458</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N31</f>
        <v>12933</v>
      </c>
      <c r="C8" s="544">
        <f>B50</f>
        <v>232.94117647058826</v>
      </c>
      <c r="D8" s="1010"/>
      <c r="E8" s="1010">
        <f>E50</f>
        <v>0</v>
      </c>
      <c r="F8" s="1011"/>
      <c r="G8" s="545"/>
      <c r="H8" s="1010">
        <f>I50</f>
        <v>0</v>
      </c>
      <c r="I8" s="1010">
        <f>G50+F50</f>
        <v>0</v>
      </c>
      <c r="J8" s="1010">
        <f>H50+D50+C50</f>
        <v>14982.352941176472</v>
      </c>
      <c r="K8" s="1010"/>
      <c r="L8" s="1010"/>
      <c r="M8" s="1010"/>
      <c r="N8" s="546"/>
      <c r="O8" s="547">
        <f>C8*$C$12+D8*$D$12+E8*$E$12+F8*$F$12+G8*$G$12+H8*$H$12+I8*$I$12+J8*$J$12</f>
        <v>47.054117647058831</v>
      </c>
      <c r="P8" s="1250"/>
      <c r="Q8" s="1251"/>
      <c r="S8" s="973"/>
      <c r="T8" s="1225"/>
      <c r="U8" s="1225"/>
    </row>
    <row r="9" spans="1:21" s="533" customFormat="1" ht="17.45" customHeight="1" thickBot="1">
      <c r="A9" s="548" t="s">
        <v>247</v>
      </c>
      <c r="B9" s="549">
        <f>N38+'Eigen informatie GS &amp; warmtenet'!B12</f>
        <v>0</v>
      </c>
      <c r="C9" s="550">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23524.520559112458</v>
      </c>
      <c r="C10" s="557">
        <f t="shared" ref="C10:L10" si="0">SUM(C8:C9)</f>
        <v>232.94117647058826</v>
      </c>
      <c r="D10" s="557">
        <f t="shared" si="0"/>
        <v>0</v>
      </c>
      <c r="E10" s="557">
        <f t="shared" si="0"/>
        <v>0</v>
      </c>
      <c r="F10" s="557">
        <f t="shared" si="0"/>
        <v>0</v>
      </c>
      <c r="G10" s="557">
        <f t="shared" si="0"/>
        <v>0</v>
      </c>
      <c r="H10" s="557">
        <f t="shared" si="0"/>
        <v>0</v>
      </c>
      <c r="I10" s="557">
        <f t="shared" si="0"/>
        <v>0</v>
      </c>
      <c r="J10" s="557">
        <f t="shared" si="0"/>
        <v>14982.352941176472</v>
      </c>
      <c r="K10" s="557">
        <f t="shared" si="0"/>
        <v>0</v>
      </c>
      <c r="L10" s="557">
        <f t="shared" si="0"/>
        <v>0</v>
      </c>
      <c r="M10" s="1013"/>
      <c r="N10" s="1013"/>
      <c r="O10" s="558">
        <f>SUM(O4:O9)</f>
        <v>47.054117647058831</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O31</f>
        <v>18475.714285714286</v>
      </c>
      <c r="C17" s="569">
        <f>B51</f>
        <v>332.77310924369755</v>
      </c>
      <c r="D17" s="570"/>
      <c r="E17" s="570">
        <f>E51</f>
        <v>0</v>
      </c>
      <c r="F17" s="1016"/>
      <c r="G17" s="571"/>
      <c r="H17" s="569">
        <f>I51</f>
        <v>0</v>
      </c>
      <c r="I17" s="570">
        <f>G51+F51</f>
        <v>0</v>
      </c>
      <c r="J17" s="570">
        <f>H51+D51+C51</f>
        <v>21403.361344537818</v>
      </c>
      <c r="K17" s="570"/>
      <c r="L17" s="570"/>
      <c r="M17" s="570"/>
      <c r="N17" s="1017"/>
      <c r="O17" s="572">
        <f>C17*$C$22+E17*$E$22+H17*$H$22+I17*$I$22+J17*$J$22+D17*$D$22+F17*$F$22+G17*$G$22+K17*$K$22+L17*$L$22</f>
        <v>67.220168067226908</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18475.714285714286</v>
      </c>
      <c r="C20" s="556">
        <f>SUM(C17:C19)</f>
        <v>332.77310924369755</v>
      </c>
      <c r="D20" s="556">
        <f t="shared" ref="D20:L20" si="1">SUM(D17:D19)</f>
        <v>0</v>
      </c>
      <c r="E20" s="556">
        <f t="shared" si="1"/>
        <v>0</v>
      </c>
      <c r="F20" s="556">
        <f t="shared" si="1"/>
        <v>0</v>
      </c>
      <c r="G20" s="556">
        <f t="shared" si="1"/>
        <v>0</v>
      </c>
      <c r="H20" s="556">
        <f t="shared" si="1"/>
        <v>0</v>
      </c>
      <c r="I20" s="556">
        <f t="shared" si="1"/>
        <v>0</v>
      </c>
      <c r="J20" s="556">
        <f t="shared" si="1"/>
        <v>21403.361344537818</v>
      </c>
      <c r="K20" s="556">
        <f t="shared" si="1"/>
        <v>0</v>
      </c>
      <c r="L20" s="556">
        <f t="shared" si="1"/>
        <v>0</v>
      </c>
      <c r="M20" s="556"/>
      <c r="N20" s="556"/>
      <c r="O20" s="575">
        <f>SUM(O17:O19)</f>
        <v>67.220168067226908</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44001</v>
      </c>
      <c r="C28" s="770">
        <v>9880</v>
      </c>
      <c r="D28" s="627" t="s">
        <v>887</v>
      </c>
      <c r="E28" s="626" t="s">
        <v>888</v>
      </c>
      <c r="F28" s="626" t="s">
        <v>889</v>
      </c>
      <c r="G28" s="626" t="s">
        <v>890</v>
      </c>
      <c r="H28" s="626" t="s">
        <v>891</v>
      </c>
      <c r="I28" s="626" t="s">
        <v>892</v>
      </c>
      <c r="J28" s="769">
        <v>41128</v>
      </c>
      <c r="K28" s="769">
        <v>41130</v>
      </c>
      <c r="L28" s="626" t="s">
        <v>893</v>
      </c>
      <c r="M28" s="626">
        <v>2830</v>
      </c>
      <c r="N28" s="626">
        <v>12735</v>
      </c>
      <c r="O28" s="626">
        <v>18192.857142857145</v>
      </c>
      <c r="P28" s="626">
        <v>0</v>
      </c>
      <c r="Q28" s="626">
        <v>36385.71428571429</v>
      </c>
      <c r="R28" s="626">
        <v>0</v>
      </c>
      <c r="S28" s="626">
        <v>0</v>
      </c>
      <c r="T28" s="626">
        <v>0</v>
      </c>
      <c r="U28" s="626">
        <v>0</v>
      </c>
      <c r="V28" s="626">
        <v>0</v>
      </c>
      <c r="W28" s="626">
        <v>0</v>
      </c>
      <c r="X28" s="626">
        <v>11</v>
      </c>
      <c r="Y28" s="626" t="s">
        <v>111</v>
      </c>
      <c r="Z28" s="628" t="s">
        <v>111</v>
      </c>
    </row>
    <row r="29" spans="1:26" s="580" customFormat="1" ht="25.5">
      <c r="A29" s="579"/>
      <c r="B29" s="770">
        <v>44001</v>
      </c>
      <c r="C29" s="770">
        <v>9880</v>
      </c>
      <c r="D29" s="627"/>
      <c r="E29" s="626"/>
      <c r="F29" s="626" t="s">
        <v>894</v>
      </c>
      <c r="G29" s="626" t="s">
        <v>890</v>
      </c>
      <c r="H29" s="626" t="s">
        <v>891</v>
      </c>
      <c r="I29" s="626" t="s">
        <v>895</v>
      </c>
      <c r="J29" s="769">
        <v>42298</v>
      </c>
      <c r="K29" s="769">
        <v>42298</v>
      </c>
      <c r="L29" s="626" t="s">
        <v>893</v>
      </c>
      <c r="M29" s="626">
        <v>9</v>
      </c>
      <c r="N29" s="626">
        <v>40.5</v>
      </c>
      <c r="O29" s="626">
        <v>57.857142857142861</v>
      </c>
      <c r="P29" s="626">
        <v>115.71428571428572</v>
      </c>
      <c r="Q29" s="626">
        <v>0</v>
      </c>
      <c r="R29" s="626">
        <v>0</v>
      </c>
      <c r="S29" s="626">
        <v>0</v>
      </c>
      <c r="T29" s="626">
        <v>0</v>
      </c>
      <c r="U29" s="626">
        <v>0</v>
      </c>
      <c r="V29" s="626">
        <v>0</v>
      </c>
      <c r="W29" s="626">
        <v>0</v>
      </c>
      <c r="X29" s="626">
        <v>1100</v>
      </c>
      <c r="Y29" s="626" t="s">
        <v>51</v>
      </c>
      <c r="Z29" s="628" t="s">
        <v>155</v>
      </c>
    </row>
    <row r="30" spans="1:26" s="580" customFormat="1" ht="51">
      <c r="A30" s="579"/>
      <c r="B30" s="770">
        <v>44001</v>
      </c>
      <c r="C30" s="770">
        <v>9880</v>
      </c>
      <c r="D30" s="627" t="s">
        <v>896</v>
      </c>
      <c r="E30" s="626"/>
      <c r="F30" s="626" t="s">
        <v>897</v>
      </c>
      <c r="G30" s="626" t="s">
        <v>890</v>
      </c>
      <c r="H30" s="626" t="s">
        <v>891</v>
      </c>
      <c r="I30" s="626" t="s">
        <v>898</v>
      </c>
      <c r="J30" s="769">
        <v>41831</v>
      </c>
      <c r="K30" s="769">
        <v>42614</v>
      </c>
      <c r="L30" s="626" t="s">
        <v>899</v>
      </c>
      <c r="M30" s="626">
        <v>140</v>
      </c>
      <c r="N30" s="626">
        <v>157.50000000000003</v>
      </c>
      <c r="O30" s="626">
        <v>225.00000000000006</v>
      </c>
      <c r="P30" s="626">
        <v>450.00000000000011</v>
      </c>
      <c r="Q30" s="626">
        <v>0</v>
      </c>
      <c r="R30" s="626">
        <v>0</v>
      </c>
      <c r="S30" s="626">
        <v>0</v>
      </c>
      <c r="T30" s="626">
        <v>0</v>
      </c>
      <c r="U30" s="626">
        <v>0</v>
      </c>
      <c r="V30" s="626">
        <v>0</v>
      </c>
      <c r="W30" s="626">
        <v>0</v>
      </c>
      <c r="X30" s="626">
        <v>1500</v>
      </c>
      <c r="Y30" s="626" t="s">
        <v>50</v>
      </c>
      <c r="Z30" s="628" t="s">
        <v>155</v>
      </c>
    </row>
    <row r="31" spans="1:26" s="564" customFormat="1">
      <c r="A31" s="582" t="s">
        <v>279</v>
      </c>
      <c r="B31" s="583"/>
      <c r="C31" s="583"/>
      <c r="D31" s="583"/>
      <c r="E31" s="583"/>
      <c r="F31" s="583"/>
      <c r="G31" s="583"/>
      <c r="H31" s="583"/>
      <c r="I31" s="583"/>
      <c r="J31" s="583"/>
      <c r="K31" s="583"/>
      <c r="L31" s="584"/>
      <c r="M31" s="584">
        <f>SUM(M28:M30)</f>
        <v>2979</v>
      </c>
      <c r="N31" s="584">
        <f>SUM(N28:N30)</f>
        <v>12933</v>
      </c>
      <c r="O31" s="584">
        <f>SUM(O28:O30)</f>
        <v>18475.714285714286</v>
      </c>
      <c r="P31" s="584">
        <f>SUM(P28:P30)</f>
        <v>565.71428571428578</v>
      </c>
      <c r="Q31" s="584">
        <f>SUM(Q28:Q30)</f>
        <v>36385.71428571429</v>
      </c>
      <c r="R31" s="584">
        <f>SUM(R28:R30)</f>
        <v>0</v>
      </c>
      <c r="S31" s="584">
        <f>SUM(S28:S30)</f>
        <v>0</v>
      </c>
      <c r="T31" s="584">
        <f>SUM(T28:T30)</f>
        <v>0</v>
      </c>
      <c r="U31" s="584">
        <f>SUM(U28:U30)</f>
        <v>0</v>
      </c>
      <c r="V31" s="584">
        <f>SUM(V28:V30)</f>
        <v>0</v>
      </c>
      <c r="W31" s="584">
        <f>SUM(W28:W30)</f>
        <v>0</v>
      </c>
      <c r="X31" s="585"/>
      <c r="Y31" s="585"/>
      <c r="Z31" s="586"/>
    </row>
    <row r="32" spans="1:26" s="564" customFormat="1">
      <c r="A32" s="582" t="s">
        <v>286</v>
      </c>
      <c r="B32" s="583"/>
      <c r="C32" s="583"/>
      <c r="D32" s="583"/>
      <c r="E32" s="583"/>
      <c r="F32" s="583"/>
      <c r="G32" s="583"/>
      <c r="H32" s="583"/>
      <c r="I32" s="583"/>
      <c r="J32" s="583"/>
      <c r="K32" s="583"/>
      <c r="L32" s="584"/>
      <c r="M32" s="584">
        <f>SUMIF($Z$28:$Z$30,"industrie",M28:M30)</f>
        <v>0</v>
      </c>
      <c r="N32" s="584">
        <f>SUMIF($Z$28:$Z$30,"industrie",N28:N30)</f>
        <v>0</v>
      </c>
      <c r="O32" s="584">
        <f>SUMIF($Z$28:$Z$30,"industrie",O28:O30)</f>
        <v>0</v>
      </c>
      <c r="P32" s="584">
        <f>SUMIF($Z$28:$Z$30,"industrie",P28:P30)</f>
        <v>0</v>
      </c>
      <c r="Q32" s="584">
        <f>SUMIF($Z$28:$Z$30,"industrie",Q28:Q30)</f>
        <v>0</v>
      </c>
      <c r="R32" s="584">
        <f>SUMIF($Z$28:$Z$30,"industrie",R28:R30)</f>
        <v>0</v>
      </c>
      <c r="S32" s="584">
        <f>SUMIF($Z$28:$Z$30,"industrie",S28:S30)</f>
        <v>0</v>
      </c>
      <c r="T32" s="584">
        <f>SUMIF($Z$28:$Z$30,"industrie",T28:T30)</f>
        <v>0</v>
      </c>
      <c r="U32" s="584">
        <f>SUMIF($Z$28:$Z$30,"industrie",U28:U30)</f>
        <v>0</v>
      </c>
      <c r="V32" s="584">
        <f>SUMIF($Z$28:$Z$30,"industrie",V28:V30)</f>
        <v>0</v>
      </c>
      <c r="W32" s="584">
        <f>SUMIF($Z$28:$Z$30,"industrie",W28:W30)</f>
        <v>0</v>
      </c>
      <c r="X32" s="585"/>
      <c r="Y32" s="585"/>
      <c r="Z32" s="586"/>
    </row>
    <row r="33" spans="1:27" s="564" customFormat="1">
      <c r="A33" s="582" t="s">
        <v>287</v>
      </c>
      <c r="B33" s="583"/>
      <c r="C33" s="583"/>
      <c r="D33" s="583"/>
      <c r="E33" s="583"/>
      <c r="F33" s="583"/>
      <c r="G33" s="583"/>
      <c r="H33" s="583"/>
      <c r="I33" s="583"/>
      <c r="J33" s="583"/>
      <c r="K33" s="583"/>
      <c r="L33" s="584"/>
      <c r="M33" s="584">
        <f ca="1">SUMIF($Z$28:AC30,"tertiair",M28:M30)</f>
        <v>149</v>
      </c>
      <c r="N33" s="584">
        <f ca="1">SUMIF($Z$28:AD30,"tertiair",N28:N30)</f>
        <v>198.00000000000003</v>
      </c>
      <c r="O33" s="584">
        <f ca="1">SUMIF($Z$28:AE30,"tertiair",O28:O30)</f>
        <v>282.85714285714289</v>
      </c>
      <c r="P33" s="584">
        <f ca="1">SUMIF($Z$28:AF30,"tertiair",P28:P30)</f>
        <v>565.71428571428578</v>
      </c>
      <c r="Q33" s="584">
        <f ca="1">SUMIF($Z$28:AG30,"tertiair",Q28:Q30)</f>
        <v>0</v>
      </c>
      <c r="R33" s="584">
        <f ca="1">SUMIF($Z$28:AH30,"tertiair",R28:R30)</f>
        <v>0</v>
      </c>
      <c r="S33" s="584">
        <f ca="1">SUMIF($Z$28:AI30,"tertiair",S28:S30)</f>
        <v>0</v>
      </c>
      <c r="T33" s="584">
        <f ca="1">SUMIF($Z$28:AJ30,"tertiair",T28:T30)</f>
        <v>0</v>
      </c>
      <c r="U33" s="584">
        <f ca="1">SUMIF($Z$28:AK30,"tertiair",U28:U30)</f>
        <v>0</v>
      </c>
      <c r="V33" s="584">
        <f ca="1">SUMIF($Z$28:AL30,"tertiair",V28:V30)</f>
        <v>0</v>
      </c>
      <c r="W33" s="584">
        <f ca="1">SUMIF($Z$28:AM30,"tertiair",W28:W30)</f>
        <v>0</v>
      </c>
      <c r="X33" s="585"/>
      <c r="Y33" s="585"/>
      <c r="Z33" s="586"/>
    </row>
    <row r="34" spans="1:27" s="564" customFormat="1" ht="15.75" thickBot="1">
      <c r="A34" s="587" t="s">
        <v>288</v>
      </c>
      <c r="B34" s="588"/>
      <c r="C34" s="588"/>
      <c r="D34" s="588"/>
      <c r="E34" s="588"/>
      <c r="F34" s="588"/>
      <c r="G34" s="588"/>
      <c r="H34" s="588"/>
      <c r="I34" s="588"/>
      <c r="J34" s="588"/>
      <c r="K34" s="588"/>
      <c r="L34" s="589"/>
      <c r="M34" s="589">
        <f>SUMIF($Z$28:$Z$30,"landbouw",M28:M30)</f>
        <v>2830</v>
      </c>
      <c r="N34" s="589">
        <f>SUMIF($Z$28:$Z$30,"landbouw",N28:N30)</f>
        <v>12735</v>
      </c>
      <c r="O34" s="589">
        <f>SUMIF($Z$28:$Z$30,"landbouw",O28:O30)</f>
        <v>18192.857142857145</v>
      </c>
      <c r="P34" s="589">
        <f>SUMIF($Z$28:$Z$30,"landbouw",P28:P30)</f>
        <v>0</v>
      </c>
      <c r="Q34" s="589">
        <f>SUMIF($Z$28:$Z$30,"landbouw",Q28:Q30)</f>
        <v>36385.71428571429</v>
      </c>
      <c r="R34" s="589">
        <f>SUMIF($Z$28:$Z$30,"landbouw",R28:R30)</f>
        <v>0</v>
      </c>
      <c r="S34" s="589">
        <f>SUMIF($Z$28:$Z$30,"landbouw",S28:S30)</f>
        <v>0</v>
      </c>
      <c r="T34" s="589">
        <f>SUMIF($Z$28:$Z$30,"landbouw",T28:T30)</f>
        <v>0</v>
      </c>
      <c r="U34" s="589">
        <f>SUMIF($Z$28:$Z$30,"landbouw",U28:U30)</f>
        <v>0</v>
      </c>
      <c r="V34" s="589">
        <f>SUMIF($Z$28:$Z$30,"landbouw",V28:V30)</f>
        <v>0</v>
      </c>
      <c r="W34" s="589">
        <f>SUMIF($Z$28:$Z$30,"landbouw",W28:W30)</f>
        <v>0</v>
      </c>
      <c r="X34" s="590"/>
      <c r="Y34" s="590"/>
      <c r="Z34" s="591"/>
    </row>
    <row r="35" spans="1:27" s="533" customFormat="1" ht="15.75" thickBot="1">
      <c r="A35" s="592"/>
      <c r="B35" s="593"/>
      <c r="C35" s="593"/>
      <c r="D35" s="593"/>
      <c r="E35" s="593"/>
      <c r="F35" s="593"/>
      <c r="G35" s="593"/>
      <c r="H35" s="593"/>
      <c r="I35" s="593"/>
      <c r="J35" s="593"/>
      <c r="K35" s="593"/>
      <c r="L35" s="576"/>
      <c r="M35" s="576"/>
      <c r="N35" s="576"/>
      <c r="O35" s="577"/>
      <c r="P35" s="577"/>
    </row>
    <row r="36" spans="1:27" s="533" customFormat="1" ht="45">
      <c r="A36" s="594" t="s">
        <v>280</v>
      </c>
      <c r="B36" s="623" t="s">
        <v>89</v>
      </c>
      <c r="C36" s="623" t="s">
        <v>90</v>
      </c>
      <c r="D36" s="623" t="s">
        <v>91</v>
      </c>
      <c r="E36" s="623" t="s">
        <v>92</v>
      </c>
      <c r="F36" s="623" t="s">
        <v>93</v>
      </c>
      <c r="G36" s="623" t="s">
        <v>94</v>
      </c>
      <c r="H36" s="623" t="s">
        <v>95</v>
      </c>
      <c r="I36" s="623" t="s">
        <v>96</v>
      </c>
      <c r="J36" s="623" t="s">
        <v>97</v>
      </c>
      <c r="K36" s="623" t="s">
        <v>98</v>
      </c>
      <c r="L36" s="623" t="s">
        <v>99</v>
      </c>
      <c r="M36" s="624" t="s">
        <v>297</v>
      </c>
      <c r="N36" s="624" t="s">
        <v>100</v>
      </c>
      <c r="O36" s="624" t="s">
        <v>101</v>
      </c>
      <c r="P36" s="624" t="s">
        <v>533</v>
      </c>
      <c r="Q36" s="624" t="s">
        <v>102</v>
      </c>
      <c r="R36" s="624" t="s">
        <v>103</v>
      </c>
      <c r="S36" s="624" t="s">
        <v>104</v>
      </c>
      <c r="T36" s="624" t="s">
        <v>105</v>
      </c>
      <c r="U36" s="624" t="s">
        <v>106</v>
      </c>
      <c r="V36" s="624" t="s">
        <v>107</v>
      </c>
      <c r="W36" s="623" t="s">
        <v>108</v>
      </c>
      <c r="X36" s="623" t="s">
        <v>298</v>
      </c>
      <c r="Y36" s="623" t="s">
        <v>109</v>
      </c>
      <c r="Z36" s="625" t="s">
        <v>299</v>
      </c>
    </row>
    <row r="37" spans="1:27" s="595" customFormat="1" ht="12.75">
      <c r="A37" s="581"/>
      <c r="B37" s="770"/>
      <c r="C37" s="770"/>
      <c r="D37" s="629"/>
      <c r="E37" s="629"/>
      <c r="F37" s="629"/>
      <c r="G37" s="629"/>
      <c r="H37" s="629"/>
      <c r="I37" s="629"/>
      <c r="J37" s="769"/>
      <c r="K37" s="769"/>
      <c r="L37" s="629"/>
      <c r="M37" s="629"/>
      <c r="N37" s="629"/>
      <c r="O37" s="629"/>
      <c r="P37" s="629"/>
      <c r="Q37" s="629"/>
      <c r="R37" s="629"/>
      <c r="S37" s="629"/>
      <c r="T37" s="629"/>
      <c r="U37" s="629"/>
      <c r="V37" s="629"/>
      <c r="W37" s="629"/>
      <c r="X37" s="629"/>
      <c r="Y37" s="629"/>
      <c r="Z37" s="630"/>
    </row>
    <row r="38" spans="1:27" s="564" customFormat="1">
      <c r="A38" s="582" t="s">
        <v>279</v>
      </c>
      <c r="B38" s="583"/>
      <c r="C38" s="583"/>
      <c r="D38" s="583"/>
      <c r="E38" s="583"/>
      <c r="F38" s="583"/>
      <c r="G38" s="583"/>
      <c r="H38" s="583"/>
      <c r="I38" s="583"/>
      <c r="J38" s="583"/>
      <c r="K38" s="583"/>
      <c r="L38" s="584"/>
      <c r="M38" s="584">
        <f>SUM(M37:M37)</f>
        <v>0</v>
      </c>
      <c r="N38" s="584">
        <f>SUM(N37:N37)</f>
        <v>0</v>
      </c>
      <c r="O38" s="584">
        <f>SUM(O37:O37)</f>
        <v>0</v>
      </c>
      <c r="P38" s="584">
        <f>SUM(P37:P37)</f>
        <v>0</v>
      </c>
      <c r="Q38" s="584">
        <f>SUM(Q37:Q37)</f>
        <v>0</v>
      </c>
      <c r="R38" s="584">
        <f>SUM(R37:R37)</f>
        <v>0</v>
      </c>
      <c r="S38" s="584">
        <f>SUM(S37:S37)</f>
        <v>0</v>
      </c>
      <c r="T38" s="584">
        <f>SUM(T37:T37)</f>
        <v>0</v>
      </c>
      <c r="U38" s="584">
        <f>SUM(U37:U37)</f>
        <v>0</v>
      </c>
      <c r="V38" s="584">
        <f>SUM(V37:V37)</f>
        <v>0</v>
      </c>
      <c r="W38" s="584">
        <f>SUM(W37:W37)</f>
        <v>0</v>
      </c>
      <c r="X38" s="585"/>
      <c r="Y38" s="585"/>
      <c r="Z38" s="586"/>
    </row>
    <row r="39" spans="1:27" s="564" customFormat="1">
      <c r="A39" s="582" t="s">
        <v>286</v>
      </c>
      <c r="B39" s="583"/>
      <c r="C39" s="583"/>
      <c r="D39" s="583"/>
      <c r="E39" s="583"/>
      <c r="F39" s="583"/>
      <c r="G39" s="583"/>
      <c r="H39" s="583"/>
      <c r="I39" s="583"/>
      <c r="J39" s="583"/>
      <c r="K39" s="583"/>
      <c r="L39" s="584"/>
      <c r="M39" s="584">
        <f>SUMIF($Z$37:$Z$37,"industrie",M37:M37)</f>
        <v>0</v>
      </c>
      <c r="N39" s="584">
        <f>SUMIF($Z$37:$Z$37,"industrie",N37:N37)</f>
        <v>0</v>
      </c>
      <c r="O39" s="584">
        <f>SUMIF($Z$37:$Z$37,"industrie",O37:O37)</f>
        <v>0</v>
      </c>
      <c r="P39" s="584">
        <f>SUMIF($Z$37:$Z$37,"industrie",P37:P37)</f>
        <v>0</v>
      </c>
      <c r="Q39" s="584">
        <f>SUMIF($Z$37:$Z$37,"industrie",Q37:Q37)</f>
        <v>0</v>
      </c>
      <c r="R39" s="584">
        <f>SUMIF($Z$37:$Z$37,"industrie",R37:R37)</f>
        <v>0</v>
      </c>
      <c r="S39" s="584">
        <f>SUMIF($Z$37:$Z$37,"industrie",S37:S37)</f>
        <v>0</v>
      </c>
      <c r="T39" s="584">
        <f>SUMIF($Z$37:$Z$37,"industrie",T37:T37)</f>
        <v>0</v>
      </c>
      <c r="U39" s="584">
        <f>SUMIF($Z$37:$Z$37,"industrie",U37:U37)</f>
        <v>0</v>
      </c>
      <c r="V39" s="584">
        <f>SUMIF($Z$37:$Z$37,"industrie",V37:V37)</f>
        <v>0</v>
      </c>
      <c r="W39" s="584">
        <f>SUMIF($Z$37:$Z$37,"industrie",W37:W37)</f>
        <v>0</v>
      </c>
      <c r="X39" s="585"/>
      <c r="Y39" s="585"/>
      <c r="Z39" s="586"/>
    </row>
    <row r="40" spans="1:27" s="564" customFormat="1">
      <c r="A40" s="582" t="s">
        <v>287</v>
      </c>
      <c r="B40" s="583"/>
      <c r="C40" s="583"/>
      <c r="D40" s="583"/>
      <c r="E40" s="583"/>
      <c r="F40" s="583"/>
      <c r="G40" s="583"/>
      <c r="H40" s="583"/>
      <c r="I40" s="583"/>
      <c r="J40" s="583"/>
      <c r="K40" s="583"/>
      <c r="L40" s="584"/>
      <c r="M40" s="584">
        <f>SUMIF($Z$37:$Z$38,"tertiair",M37:M38)</f>
        <v>0</v>
      </c>
      <c r="N40" s="584">
        <f>SUMIF($Z$37:$Z$38,"tertiair",N37:N38)</f>
        <v>0</v>
      </c>
      <c r="O40" s="584">
        <f>SUMIF($Z$37:$Z$38,"tertiair",O37:O38)</f>
        <v>0</v>
      </c>
      <c r="P40" s="584">
        <f>SUMIF($Z$37:$Z$38,"tertiair",P37:P38)</f>
        <v>0</v>
      </c>
      <c r="Q40" s="584">
        <f>SUMIF($Z$37:$Z$38,"tertiair",Q37:Q38)</f>
        <v>0</v>
      </c>
      <c r="R40" s="584">
        <f>SUMIF($Z$37:$Z$38,"tertiair",R37:R38)</f>
        <v>0</v>
      </c>
      <c r="S40" s="584">
        <f>SUMIF($Z$37:$Z$38,"tertiair",S37:S38)</f>
        <v>0</v>
      </c>
      <c r="T40" s="584">
        <f>SUMIF($Z$37:$Z$38,"tertiair",T37:T38)</f>
        <v>0</v>
      </c>
      <c r="U40" s="584">
        <f>SUMIF($Z$37:$Z$38,"tertiair",U37:U38)</f>
        <v>0</v>
      </c>
      <c r="V40" s="584">
        <f>SUMIF($Z$37:$Z$38,"tertiair",V37:V38)</f>
        <v>0</v>
      </c>
      <c r="W40" s="584">
        <f>SUMIF($Z$37:$Z$38,"tertiair",W37:W38)</f>
        <v>0</v>
      </c>
      <c r="X40" s="585"/>
      <c r="Y40" s="585"/>
      <c r="Z40" s="586"/>
    </row>
    <row r="41" spans="1:27" s="564" customFormat="1" ht="15.75" thickBot="1">
      <c r="A41" s="587" t="s">
        <v>288</v>
      </c>
      <c r="B41" s="588"/>
      <c r="C41" s="588"/>
      <c r="D41" s="588"/>
      <c r="E41" s="588"/>
      <c r="F41" s="588"/>
      <c r="G41" s="588"/>
      <c r="H41" s="588"/>
      <c r="I41" s="588"/>
      <c r="J41" s="588"/>
      <c r="K41" s="588"/>
      <c r="L41" s="589"/>
      <c r="M41" s="589">
        <f>SUMIF($Z$37:$Z$39,"landbouw",M37:M39)</f>
        <v>0</v>
      </c>
      <c r="N41" s="589">
        <f>SUMIF($Z$37:$Z$39,"landbouw",N37:N39)</f>
        <v>0</v>
      </c>
      <c r="O41" s="589">
        <f>SUMIF($Z$37:$Z$39,"landbouw",O37:O39)</f>
        <v>0</v>
      </c>
      <c r="P41" s="589">
        <f>SUMIF($Z$37:$Z$39,"landbouw",P37:P39)</f>
        <v>0</v>
      </c>
      <c r="Q41" s="589">
        <f>SUMIF($Z$37:$Z$39,"landbouw",Q37:Q39)</f>
        <v>0</v>
      </c>
      <c r="R41" s="589">
        <f>SUMIF($Z$37:$Z$39,"landbouw",R37:R39)</f>
        <v>0</v>
      </c>
      <c r="S41" s="589">
        <f>SUMIF($Z$37:$Z$39,"landbouw",S37:S39)</f>
        <v>0</v>
      </c>
      <c r="T41" s="589">
        <f>SUMIF($Z$37:$Z$39,"landbouw",T37:T39)</f>
        <v>0</v>
      </c>
      <c r="U41" s="589">
        <f>SUMIF($Z$37:$Z$39,"landbouw",U37:U39)</f>
        <v>0</v>
      </c>
      <c r="V41" s="589">
        <f>SUMIF($Z$37:$Z$39,"landbouw",V37:V39)</f>
        <v>0</v>
      </c>
      <c r="W41" s="589">
        <f>SUMIF($Z$37:$Z$39,"landbouw",W37:W39)</f>
        <v>0</v>
      </c>
      <c r="X41" s="590"/>
      <c r="Y41" s="590"/>
      <c r="Z41" s="591"/>
    </row>
    <row r="42" spans="1:27" s="596" customForma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row>
    <row r="43" spans="1:27" s="596" customFormat="1" ht="15.75" thickBo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c r="Z43" s="576"/>
      <c r="AA43" s="576"/>
    </row>
    <row r="44" spans="1:27">
      <c r="A44" s="597" t="s">
        <v>281</v>
      </c>
      <c r="B44" s="598"/>
      <c r="C44" s="598"/>
      <c r="D44" s="598"/>
      <c r="E44" s="598"/>
      <c r="F44" s="598"/>
      <c r="G44" s="598"/>
      <c r="H44" s="598"/>
      <c r="I44" s="599"/>
      <c r="J44" s="600"/>
      <c r="K44" s="600"/>
      <c r="L44" s="601"/>
      <c r="M44" s="601"/>
      <c r="N44" s="601"/>
      <c r="O44" s="601"/>
      <c r="P44" s="601"/>
    </row>
    <row r="45" spans="1:27">
      <c r="A45" s="603"/>
      <c r="B45" s="593"/>
      <c r="C45" s="593"/>
      <c r="D45" s="593"/>
      <c r="E45" s="593"/>
      <c r="F45" s="593"/>
      <c r="G45" s="593"/>
      <c r="H45" s="593"/>
      <c r="I45" s="604"/>
      <c r="J45" s="593"/>
      <c r="K45" s="593"/>
      <c r="L45" s="601"/>
      <c r="M45" s="601"/>
      <c r="N45" s="601"/>
      <c r="O45" s="601"/>
      <c r="P45" s="601"/>
    </row>
    <row r="46" spans="1:27">
      <c r="A46" s="605"/>
      <c r="B46" s="606" t="s">
        <v>282</v>
      </c>
      <c r="C46" s="606" t="s">
        <v>283</v>
      </c>
      <c r="D46" s="606"/>
      <c r="E46" s="606"/>
      <c r="F46" s="606"/>
      <c r="G46" s="606"/>
      <c r="H46" s="606"/>
      <c r="I46" s="607"/>
      <c r="J46" s="606"/>
      <c r="K46" s="606"/>
      <c r="L46" s="606"/>
      <c r="M46" s="606"/>
      <c r="N46" s="606"/>
      <c r="O46" s="606"/>
      <c r="P46" s="601"/>
    </row>
    <row r="47" spans="1:27">
      <c r="A47" s="603" t="s">
        <v>279</v>
      </c>
      <c r="B47" s="608">
        <f>IF(ISERROR(O31/(O31+N31)),0,O31/(O31+N31))</f>
        <v>0.58823529411764708</v>
      </c>
      <c r="C47" s="609">
        <f>IF(ISERROR(N31/(O31+N31)),0,N31/(N31+O31))</f>
        <v>0.41176470588235292</v>
      </c>
      <c r="D47" s="576"/>
      <c r="E47" s="576"/>
      <c r="F47" s="576"/>
      <c r="G47" s="576"/>
      <c r="H47" s="576"/>
      <c r="I47" s="610"/>
      <c r="J47" s="576"/>
      <c r="K47" s="576"/>
      <c r="L47" s="611"/>
      <c r="M47" s="611"/>
      <c r="N47" s="611"/>
      <c r="O47" s="611"/>
      <c r="P47" s="601"/>
    </row>
    <row r="48" spans="1:27">
      <c r="A48" s="603"/>
      <c r="B48" s="612"/>
      <c r="C48" s="612"/>
      <c r="D48" s="612"/>
      <c r="E48" s="612"/>
      <c r="F48" s="612"/>
      <c r="G48" s="612"/>
      <c r="H48" s="612"/>
      <c r="I48" s="613"/>
      <c r="J48" s="612"/>
      <c r="K48" s="612"/>
      <c r="L48" s="614"/>
      <c r="M48" s="614"/>
      <c r="N48" s="614"/>
      <c r="O48" s="614"/>
      <c r="P48" s="601"/>
    </row>
    <row r="49" spans="1:16" ht="30">
      <c r="A49" s="615"/>
      <c r="B49" s="616" t="s">
        <v>533</v>
      </c>
      <c r="C49" s="616" t="s">
        <v>102</v>
      </c>
      <c r="D49" s="616" t="s">
        <v>103</v>
      </c>
      <c r="E49" s="616" t="s">
        <v>104</v>
      </c>
      <c r="F49" s="616" t="s">
        <v>105</v>
      </c>
      <c r="G49" s="616" t="s">
        <v>106</v>
      </c>
      <c r="H49" s="616" t="s">
        <v>107</v>
      </c>
      <c r="I49" s="617" t="s">
        <v>108</v>
      </c>
      <c r="J49" s="606"/>
      <c r="K49" s="606"/>
      <c r="L49" s="614"/>
      <c r="M49" s="614"/>
      <c r="N49" s="614"/>
      <c r="O49" s="601"/>
      <c r="P49" s="601"/>
    </row>
    <row r="50" spans="1:16">
      <c r="A50" s="605" t="s">
        <v>284</v>
      </c>
      <c r="B50" s="618">
        <f t="shared" ref="B50:I50" si="2">$C$47*P31</f>
        <v>232.94117647058826</v>
      </c>
      <c r="C50" s="618">
        <f t="shared" si="2"/>
        <v>14982.352941176472</v>
      </c>
      <c r="D50" s="618">
        <f t="shared" si="2"/>
        <v>0</v>
      </c>
      <c r="E50" s="618">
        <f t="shared" si="2"/>
        <v>0</v>
      </c>
      <c r="F50" s="618">
        <f t="shared" si="2"/>
        <v>0</v>
      </c>
      <c r="G50" s="618">
        <f t="shared" si="2"/>
        <v>0</v>
      </c>
      <c r="H50" s="618">
        <f t="shared" si="2"/>
        <v>0</v>
      </c>
      <c r="I50" s="619">
        <f t="shared" si="2"/>
        <v>0</v>
      </c>
      <c r="J50" s="576"/>
      <c r="K50" s="576"/>
      <c r="L50" s="614"/>
      <c r="M50" s="614"/>
      <c r="N50" s="614"/>
      <c r="O50" s="601"/>
      <c r="P50" s="601"/>
    </row>
    <row r="51" spans="1:16" ht="15.75" thickBot="1">
      <c r="A51" s="620" t="s">
        <v>285</v>
      </c>
      <c r="B51" s="621">
        <f t="shared" ref="B51:I51" si="3">$B$47*P31</f>
        <v>332.77310924369755</v>
      </c>
      <c r="C51" s="621">
        <f t="shared" si="3"/>
        <v>21403.361344537818</v>
      </c>
      <c r="D51" s="621">
        <f t="shared" si="3"/>
        <v>0</v>
      </c>
      <c r="E51" s="621">
        <f t="shared" si="3"/>
        <v>0</v>
      </c>
      <c r="F51" s="621">
        <f t="shared" si="3"/>
        <v>0</v>
      </c>
      <c r="G51" s="621">
        <f t="shared" si="3"/>
        <v>0</v>
      </c>
      <c r="H51" s="621">
        <f t="shared" si="3"/>
        <v>0</v>
      </c>
      <c r="I51" s="622">
        <f t="shared" si="3"/>
        <v>0</v>
      </c>
      <c r="J51" s="576"/>
      <c r="K51" s="576"/>
      <c r="L51" s="614"/>
      <c r="M51" s="614"/>
      <c r="N51" s="614"/>
      <c r="O51" s="601"/>
      <c r="P51" s="601"/>
    </row>
    <row r="52" spans="1:16">
      <c r="J52" s="562"/>
      <c r="K52" s="562"/>
      <c r="L52" s="562"/>
      <c r="M52" s="562"/>
      <c r="N52" s="562"/>
    </row>
    <row r="53" spans="1:16">
      <c r="J53" s="562"/>
      <c r="K53" s="562"/>
      <c r="L53" s="562"/>
      <c r="M53" s="562"/>
      <c r="N53"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40296.508490762244</v>
      </c>
      <c r="C4" s="451">
        <f>huishoudens!C8</f>
        <v>0</v>
      </c>
      <c r="D4" s="451">
        <f>huishoudens!D8</f>
        <v>53697.047487405391</v>
      </c>
      <c r="E4" s="451">
        <f>huishoudens!E8</f>
        <v>26198.837149181025</v>
      </c>
      <c r="F4" s="451">
        <f>huishoudens!F8</f>
        <v>24616.333163452371</v>
      </c>
      <c r="G4" s="451">
        <f>huishoudens!G8</f>
        <v>0</v>
      </c>
      <c r="H4" s="451">
        <f>huishoudens!H8</f>
        <v>0</v>
      </c>
      <c r="I4" s="451">
        <f>huishoudens!I8</f>
        <v>0</v>
      </c>
      <c r="J4" s="451">
        <f>huishoudens!J8</f>
        <v>296.58931225578169</v>
      </c>
      <c r="K4" s="451">
        <f>huishoudens!K8</f>
        <v>0</v>
      </c>
      <c r="L4" s="451">
        <f>huishoudens!L8</f>
        <v>0</v>
      </c>
      <c r="M4" s="451">
        <f>huishoudens!M8</f>
        <v>0</v>
      </c>
      <c r="N4" s="451">
        <f>huishoudens!N8</f>
        <v>23868.81170166107</v>
      </c>
      <c r="O4" s="451">
        <f>huishoudens!O8</f>
        <v>578.43333333333339</v>
      </c>
      <c r="P4" s="452">
        <f>huishoudens!P8</f>
        <v>2268.9333333333334</v>
      </c>
      <c r="Q4" s="453">
        <f>SUM(B4:P4)</f>
        <v>171821.49397138451</v>
      </c>
    </row>
    <row r="5" spans="1:17">
      <c r="A5" s="450" t="s">
        <v>155</v>
      </c>
      <c r="B5" s="451">
        <f ca="1">tertiair!B16</f>
        <v>28020.6893962131</v>
      </c>
      <c r="C5" s="451">
        <f ca="1">tertiair!C16</f>
        <v>282.85714285714289</v>
      </c>
      <c r="D5" s="451">
        <f ca="1">tertiair!D16</f>
        <v>25283.978878287864</v>
      </c>
      <c r="E5" s="451">
        <f>tertiair!E16</f>
        <v>434.27428845189274</v>
      </c>
      <c r="F5" s="451">
        <f ca="1">tertiair!F16</f>
        <v>4898.0102415204874</v>
      </c>
      <c r="G5" s="451">
        <f>tertiair!G16</f>
        <v>0</v>
      </c>
      <c r="H5" s="451">
        <f>tertiair!H16</f>
        <v>0</v>
      </c>
      <c r="I5" s="451">
        <f>tertiair!I16</f>
        <v>0</v>
      </c>
      <c r="J5" s="451">
        <f>tertiair!J16</f>
        <v>6.958407166083036E-2</v>
      </c>
      <c r="K5" s="451">
        <f>tertiair!K16</f>
        <v>0</v>
      </c>
      <c r="L5" s="451">
        <f ca="1">tertiair!L16</f>
        <v>0</v>
      </c>
      <c r="M5" s="451">
        <f>tertiair!M16</f>
        <v>0</v>
      </c>
      <c r="N5" s="451">
        <f ca="1">tertiair!N16</f>
        <v>2768.8550888624218</v>
      </c>
      <c r="O5" s="451">
        <f>tertiair!O16</f>
        <v>14.070000000000002</v>
      </c>
      <c r="P5" s="452">
        <f>tertiair!P16</f>
        <v>171.6</v>
      </c>
      <c r="Q5" s="450">
        <f t="shared" ref="Q5:Q14" ca="1" si="0">SUM(B5:P5)</f>
        <v>61874.40462026457</v>
      </c>
    </row>
    <row r="6" spans="1:17">
      <c r="A6" s="450" t="s">
        <v>193</v>
      </c>
      <c r="B6" s="451">
        <f>'openbare verlichting'!B8</f>
        <v>2078.9459999999999</v>
      </c>
      <c r="C6" s="451"/>
      <c r="D6" s="451"/>
      <c r="E6" s="451"/>
      <c r="F6" s="451"/>
      <c r="G6" s="451"/>
      <c r="H6" s="451"/>
      <c r="I6" s="451"/>
      <c r="J6" s="451"/>
      <c r="K6" s="451"/>
      <c r="L6" s="451"/>
      <c r="M6" s="451"/>
      <c r="N6" s="451"/>
      <c r="O6" s="451"/>
      <c r="P6" s="452"/>
      <c r="Q6" s="450">
        <f t="shared" si="0"/>
        <v>2078.9459999999999</v>
      </c>
    </row>
    <row r="7" spans="1:17">
      <c r="A7" s="450" t="s">
        <v>111</v>
      </c>
      <c r="B7" s="451">
        <f>landbouw!B8</f>
        <v>6467.6140334765223</v>
      </c>
      <c r="C7" s="451">
        <f>landbouw!C8</f>
        <v>18192.857142857145</v>
      </c>
      <c r="D7" s="451">
        <f>landbouw!D8</f>
        <v>7679.106098322598</v>
      </c>
      <c r="E7" s="451">
        <f>landbouw!E8</f>
        <v>190.10293081721258</v>
      </c>
      <c r="F7" s="451">
        <f>landbouw!F8</f>
        <v>26943.730571944816</v>
      </c>
      <c r="G7" s="451">
        <f>landbouw!G8</f>
        <v>0</v>
      </c>
      <c r="H7" s="451">
        <f>landbouw!H8</f>
        <v>0</v>
      </c>
      <c r="I7" s="451">
        <f>landbouw!I8</f>
        <v>0</v>
      </c>
      <c r="J7" s="451">
        <f>landbouw!J8</f>
        <v>937.01837984947963</v>
      </c>
      <c r="K7" s="451">
        <f>landbouw!K8</f>
        <v>0</v>
      </c>
      <c r="L7" s="451">
        <f>landbouw!L8</f>
        <v>0</v>
      </c>
      <c r="M7" s="451">
        <f>landbouw!M8</f>
        <v>0</v>
      </c>
      <c r="N7" s="451">
        <f>landbouw!N8</f>
        <v>0</v>
      </c>
      <c r="O7" s="451">
        <f>landbouw!O8</f>
        <v>0</v>
      </c>
      <c r="P7" s="452">
        <f>landbouw!P8</f>
        <v>0</v>
      </c>
      <c r="Q7" s="450">
        <f t="shared" si="0"/>
        <v>60410.429157267768</v>
      </c>
    </row>
    <row r="8" spans="1:17">
      <c r="A8" s="450" t="s">
        <v>634</v>
      </c>
      <c r="B8" s="451">
        <f>industrie!B18</f>
        <v>85384.23048672179</v>
      </c>
      <c r="C8" s="451">
        <f>industrie!C18</f>
        <v>0</v>
      </c>
      <c r="D8" s="451">
        <f>industrie!D18</f>
        <v>185572.79968288049</v>
      </c>
      <c r="E8" s="451">
        <f>industrie!E18</f>
        <v>1472.6837502655126</v>
      </c>
      <c r="F8" s="451">
        <f>industrie!F18</f>
        <v>8633.9693278702307</v>
      </c>
      <c r="G8" s="451">
        <f>industrie!G18</f>
        <v>0</v>
      </c>
      <c r="H8" s="451">
        <f>industrie!H18</f>
        <v>0</v>
      </c>
      <c r="I8" s="451">
        <f>industrie!I18</f>
        <v>0</v>
      </c>
      <c r="J8" s="451">
        <f>industrie!J18</f>
        <v>34.355603507148714</v>
      </c>
      <c r="K8" s="451">
        <f>industrie!K18</f>
        <v>0</v>
      </c>
      <c r="L8" s="451">
        <f>industrie!L18</f>
        <v>0</v>
      </c>
      <c r="M8" s="451">
        <f>industrie!M18</f>
        <v>0</v>
      </c>
      <c r="N8" s="451">
        <f>industrie!N18</f>
        <v>8700.7262024550328</v>
      </c>
      <c r="O8" s="451">
        <f>industrie!O18</f>
        <v>0</v>
      </c>
      <c r="P8" s="452">
        <f>industrie!P18</f>
        <v>0</v>
      </c>
      <c r="Q8" s="450">
        <f t="shared" si="0"/>
        <v>289798.76505370019</v>
      </c>
    </row>
    <row r="9" spans="1:17" s="456" customFormat="1">
      <c r="A9" s="454" t="s">
        <v>560</v>
      </c>
      <c r="B9" s="455">
        <f>transport!B14</f>
        <v>171.84785313934464</v>
      </c>
      <c r="C9" s="455">
        <f>transport!C14</f>
        <v>0</v>
      </c>
      <c r="D9" s="455">
        <f>transport!D14</f>
        <v>450.51639318206429</v>
      </c>
      <c r="E9" s="455">
        <f>transport!E14</f>
        <v>894.67503457624548</v>
      </c>
      <c r="F9" s="455">
        <f>transport!F14</f>
        <v>0</v>
      </c>
      <c r="G9" s="455">
        <f>transport!G14</f>
        <v>454046.35721593228</v>
      </c>
      <c r="H9" s="455">
        <f>transport!H14</f>
        <v>78543.763065379375</v>
      </c>
      <c r="I9" s="455">
        <f>transport!I14</f>
        <v>0</v>
      </c>
      <c r="J9" s="455">
        <f>transport!J14</f>
        <v>0</v>
      </c>
      <c r="K9" s="455">
        <f>transport!K14</f>
        <v>0</v>
      </c>
      <c r="L9" s="455">
        <f>transport!L14</f>
        <v>0</v>
      </c>
      <c r="M9" s="455">
        <f>transport!M14</f>
        <v>28840.176058231991</v>
      </c>
      <c r="N9" s="455">
        <f>transport!N14</f>
        <v>0</v>
      </c>
      <c r="O9" s="455">
        <f>transport!O14</f>
        <v>0</v>
      </c>
      <c r="P9" s="455">
        <f>transport!P14</f>
        <v>0</v>
      </c>
      <c r="Q9" s="454">
        <f>SUM(B9:P9)</f>
        <v>562947.33562044124</v>
      </c>
    </row>
    <row r="10" spans="1:17">
      <c r="A10" s="450" t="s">
        <v>550</v>
      </c>
      <c r="B10" s="451">
        <f>transport!B54</f>
        <v>0</v>
      </c>
      <c r="C10" s="451">
        <f>transport!C54</f>
        <v>0</v>
      </c>
      <c r="D10" s="451">
        <f>transport!D54</f>
        <v>0</v>
      </c>
      <c r="E10" s="451">
        <f>transport!E54</f>
        <v>0</v>
      </c>
      <c r="F10" s="451">
        <f>transport!F54</f>
        <v>0</v>
      </c>
      <c r="G10" s="451">
        <f>transport!G54</f>
        <v>644.43717468201453</v>
      </c>
      <c r="H10" s="451">
        <f>transport!H54</f>
        <v>0</v>
      </c>
      <c r="I10" s="451">
        <f>transport!I54</f>
        <v>0</v>
      </c>
      <c r="J10" s="451">
        <f>transport!J54</f>
        <v>0</v>
      </c>
      <c r="K10" s="451">
        <f>transport!K54</f>
        <v>0</v>
      </c>
      <c r="L10" s="451">
        <f>transport!L54</f>
        <v>0</v>
      </c>
      <c r="M10" s="451">
        <f>transport!M54</f>
        <v>36.598421782449968</v>
      </c>
      <c r="N10" s="451">
        <f>transport!N54</f>
        <v>0</v>
      </c>
      <c r="O10" s="451">
        <f>transport!O54</f>
        <v>0</v>
      </c>
      <c r="P10" s="452">
        <f>transport!P54</f>
        <v>0</v>
      </c>
      <c r="Q10" s="450">
        <f t="shared" si="0"/>
        <v>681.03559646446445</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1409.7177077357499</v>
      </c>
      <c r="C14" s="458"/>
      <c r="D14" s="458">
        <f>'SEAP template'!E25</f>
        <v>1400.25370940059</v>
      </c>
      <c r="E14" s="458"/>
      <c r="F14" s="458"/>
      <c r="G14" s="458"/>
      <c r="H14" s="458"/>
      <c r="I14" s="458"/>
      <c r="J14" s="458"/>
      <c r="K14" s="458"/>
      <c r="L14" s="458"/>
      <c r="M14" s="458"/>
      <c r="N14" s="458"/>
      <c r="O14" s="458"/>
      <c r="P14" s="459"/>
      <c r="Q14" s="450">
        <f t="shared" si="0"/>
        <v>2809.9714171363398</v>
      </c>
    </row>
    <row r="15" spans="1:17" s="460" customFormat="1">
      <c r="A15" s="1005" t="s">
        <v>554</v>
      </c>
      <c r="B15" s="953">
        <f ca="1">SUM(B4:B14)</f>
        <v>163829.55396804874</v>
      </c>
      <c r="C15" s="953">
        <f t="shared" ref="C15:Q15" ca="1" si="1">SUM(C4:C14)</f>
        <v>18475.714285714286</v>
      </c>
      <c r="D15" s="953">
        <f t="shared" ca="1" si="1"/>
        <v>274083.70224947901</v>
      </c>
      <c r="E15" s="953">
        <f t="shared" si="1"/>
        <v>29190.573153291884</v>
      </c>
      <c r="F15" s="953">
        <f t="shared" ca="1" si="1"/>
        <v>65092.043304787905</v>
      </c>
      <c r="G15" s="953">
        <f t="shared" si="1"/>
        <v>454690.79439061432</v>
      </c>
      <c r="H15" s="953">
        <f t="shared" si="1"/>
        <v>78543.763065379375</v>
      </c>
      <c r="I15" s="953">
        <f t="shared" si="1"/>
        <v>0</v>
      </c>
      <c r="J15" s="953">
        <f t="shared" si="1"/>
        <v>1268.0328796840708</v>
      </c>
      <c r="K15" s="953">
        <f t="shared" si="1"/>
        <v>0</v>
      </c>
      <c r="L15" s="953">
        <f t="shared" ca="1" si="1"/>
        <v>0</v>
      </c>
      <c r="M15" s="953">
        <f t="shared" si="1"/>
        <v>28876.774480014443</v>
      </c>
      <c r="N15" s="953">
        <f t="shared" ca="1" si="1"/>
        <v>35338.392992978523</v>
      </c>
      <c r="O15" s="953">
        <f t="shared" si="1"/>
        <v>592.50333333333344</v>
      </c>
      <c r="P15" s="953">
        <f t="shared" si="1"/>
        <v>2440.5333333333333</v>
      </c>
      <c r="Q15" s="953">
        <f t="shared" ca="1" si="1"/>
        <v>1152422.381436659</v>
      </c>
    </row>
    <row r="17" spans="1:17">
      <c r="A17" s="461" t="s">
        <v>555</v>
      </c>
      <c r="B17" s="760">
        <f ca="1">huishoudens!B10</f>
        <v>0.18955350697639359</v>
      </c>
      <c r="C17" s="760">
        <f ca="1">huishoudens!C10</f>
        <v>3.6382987432969022E-3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7638.3445033280041</v>
      </c>
      <c r="C22" s="451">
        <f t="shared" ref="C22:C32" ca="1" si="3">C4*$C$17</f>
        <v>0</v>
      </c>
      <c r="D22" s="451">
        <f t="shared" ref="D22:D32" si="4">D4*$D$17</f>
        <v>10846.80359245589</v>
      </c>
      <c r="E22" s="451">
        <f t="shared" ref="E22:E32" si="5">E4*$E$17</f>
        <v>5947.1360328640931</v>
      </c>
      <c r="F22" s="451">
        <f t="shared" ref="F22:F32" si="6">F4*$F$17</f>
        <v>6572.5609546417836</v>
      </c>
      <c r="G22" s="451">
        <f t="shared" ref="G22:G32" si="7">G4*$G$17</f>
        <v>0</v>
      </c>
      <c r="H22" s="451">
        <f t="shared" ref="H22:H32" si="8">H4*$H$17</f>
        <v>0</v>
      </c>
      <c r="I22" s="451">
        <f t="shared" ref="I22:I32" si="9">I4*$I$17</f>
        <v>0</v>
      </c>
      <c r="J22" s="451">
        <f t="shared" ref="J22:J32" si="10">J4*$J$17</f>
        <v>104.99261653854671</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31109.83769982832</v>
      </c>
    </row>
    <row r="23" spans="1:17">
      <c r="A23" s="450" t="s">
        <v>155</v>
      </c>
      <c r="B23" s="451">
        <f t="shared" ca="1" si="2"/>
        <v>5311.4199429484379</v>
      </c>
      <c r="C23" s="451">
        <f t="shared" ca="1" si="3"/>
        <v>1.0291187873896954</v>
      </c>
      <c r="D23" s="451">
        <f t="shared" ca="1" si="4"/>
        <v>5107.3637334141486</v>
      </c>
      <c r="E23" s="451">
        <f t="shared" si="5"/>
        <v>98.580263478579653</v>
      </c>
      <c r="F23" s="451">
        <f t="shared" ca="1" si="6"/>
        <v>1307.7687344859703</v>
      </c>
      <c r="G23" s="451">
        <f t="shared" si="7"/>
        <v>0</v>
      </c>
      <c r="H23" s="451">
        <f t="shared" si="8"/>
        <v>0</v>
      </c>
      <c r="I23" s="451">
        <f t="shared" si="9"/>
        <v>0</v>
      </c>
      <c r="J23" s="451">
        <f t="shared" si="10"/>
        <v>2.4632761367933947E-2</v>
      </c>
      <c r="K23" s="451">
        <f t="shared" si="11"/>
        <v>0</v>
      </c>
      <c r="L23" s="451">
        <f t="shared" ca="1" si="12"/>
        <v>0</v>
      </c>
      <c r="M23" s="451">
        <f t="shared" si="13"/>
        <v>0</v>
      </c>
      <c r="N23" s="451">
        <f t="shared" ca="1" si="14"/>
        <v>0</v>
      </c>
      <c r="O23" s="451">
        <f t="shared" si="15"/>
        <v>0</v>
      </c>
      <c r="P23" s="452">
        <f t="shared" si="16"/>
        <v>0</v>
      </c>
      <c r="Q23" s="450">
        <f t="shared" ref="Q23:Q32" ca="1" si="17">SUM(B23:P23)</f>
        <v>11826.186425875894</v>
      </c>
    </row>
    <row r="24" spans="1:17">
      <c r="A24" s="450" t="s">
        <v>193</v>
      </c>
      <c r="B24" s="451">
        <f t="shared" ca="1" si="2"/>
        <v>394.07150511454552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394.07150511454552</v>
      </c>
    </row>
    <row r="25" spans="1:17">
      <c r="A25" s="450" t="s">
        <v>111</v>
      </c>
      <c r="B25" s="451">
        <f t="shared" ca="1" si="2"/>
        <v>1225.958921815213</v>
      </c>
      <c r="C25" s="451">
        <f t="shared" ca="1" si="3"/>
        <v>66.191049279837216</v>
      </c>
      <c r="D25" s="451">
        <f t="shared" si="4"/>
        <v>1551.1794318611649</v>
      </c>
      <c r="E25" s="451">
        <f t="shared" si="5"/>
        <v>43.153365295507257</v>
      </c>
      <c r="F25" s="451">
        <f t="shared" si="6"/>
        <v>7193.9760627092664</v>
      </c>
      <c r="G25" s="451">
        <f t="shared" si="7"/>
        <v>0</v>
      </c>
      <c r="H25" s="451">
        <f t="shared" si="8"/>
        <v>0</v>
      </c>
      <c r="I25" s="451">
        <f t="shared" si="9"/>
        <v>0</v>
      </c>
      <c r="J25" s="451">
        <f t="shared" si="10"/>
        <v>331.70450646671577</v>
      </c>
      <c r="K25" s="451">
        <f t="shared" si="11"/>
        <v>0</v>
      </c>
      <c r="L25" s="451">
        <f t="shared" si="12"/>
        <v>0</v>
      </c>
      <c r="M25" s="451">
        <f t="shared" si="13"/>
        <v>0</v>
      </c>
      <c r="N25" s="451">
        <f t="shared" si="14"/>
        <v>0</v>
      </c>
      <c r="O25" s="451">
        <f t="shared" si="15"/>
        <v>0</v>
      </c>
      <c r="P25" s="452">
        <f t="shared" si="16"/>
        <v>0</v>
      </c>
      <c r="Q25" s="450">
        <f t="shared" ca="1" si="17"/>
        <v>10412.163337427704</v>
      </c>
    </row>
    <row r="26" spans="1:17">
      <c r="A26" s="450" t="s">
        <v>634</v>
      </c>
      <c r="B26" s="451">
        <f t="shared" ca="1" si="2"/>
        <v>16184.880329238817</v>
      </c>
      <c r="C26" s="451">
        <f t="shared" ca="1" si="3"/>
        <v>0</v>
      </c>
      <c r="D26" s="451">
        <f t="shared" si="4"/>
        <v>37485.705535941859</v>
      </c>
      <c r="E26" s="451">
        <f t="shared" si="5"/>
        <v>334.29921131027135</v>
      </c>
      <c r="F26" s="451">
        <f t="shared" si="6"/>
        <v>2305.2698105413519</v>
      </c>
      <c r="G26" s="451">
        <f t="shared" si="7"/>
        <v>0</v>
      </c>
      <c r="H26" s="451">
        <f t="shared" si="8"/>
        <v>0</v>
      </c>
      <c r="I26" s="451">
        <f t="shared" si="9"/>
        <v>0</v>
      </c>
      <c r="J26" s="451">
        <f t="shared" si="10"/>
        <v>12.161883641530645</v>
      </c>
      <c r="K26" s="451">
        <f t="shared" si="11"/>
        <v>0</v>
      </c>
      <c r="L26" s="451">
        <f t="shared" si="12"/>
        <v>0</v>
      </c>
      <c r="M26" s="451">
        <f t="shared" si="13"/>
        <v>0</v>
      </c>
      <c r="N26" s="451">
        <f t="shared" si="14"/>
        <v>0</v>
      </c>
      <c r="O26" s="451">
        <f t="shared" si="15"/>
        <v>0</v>
      </c>
      <c r="P26" s="452">
        <f t="shared" si="16"/>
        <v>0</v>
      </c>
      <c r="Q26" s="450">
        <f t="shared" ca="1" si="17"/>
        <v>56322.316770673831</v>
      </c>
    </row>
    <row r="27" spans="1:17" s="456" customFormat="1">
      <c r="A27" s="454" t="s">
        <v>560</v>
      </c>
      <c r="B27" s="754">
        <f t="shared" ca="1" si="2"/>
        <v>32.574363228927027</v>
      </c>
      <c r="C27" s="455">
        <f t="shared" ca="1" si="3"/>
        <v>0</v>
      </c>
      <c r="D27" s="455">
        <f t="shared" si="4"/>
        <v>91.004311422776993</v>
      </c>
      <c r="E27" s="455">
        <f t="shared" si="5"/>
        <v>203.09123284880772</v>
      </c>
      <c r="F27" s="455">
        <f t="shared" si="6"/>
        <v>0</v>
      </c>
      <c r="G27" s="455">
        <f t="shared" si="7"/>
        <v>121230.37737665392</v>
      </c>
      <c r="H27" s="455">
        <f t="shared" si="8"/>
        <v>19557.397003279464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141114.4442874339</v>
      </c>
    </row>
    <row r="28" spans="1:17">
      <c r="A28" s="450" t="s">
        <v>550</v>
      </c>
      <c r="B28" s="451">
        <f t="shared" ca="1" si="2"/>
        <v>0</v>
      </c>
      <c r="C28" s="451">
        <f t="shared" ca="1" si="3"/>
        <v>0</v>
      </c>
      <c r="D28" s="451">
        <f t="shared" si="4"/>
        <v>0</v>
      </c>
      <c r="E28" s="451">
        <f t="shared" si="5"/>
        <v>0</v>
      </c>
      <c r="F28" s="451">
        <f t="shared" si="6"/>
        <v>0</v>
      </c>
      <c r="G28" s="451">
        <f t="shared" si="7"/>
        <v>172.06472564009789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172.06472564009789</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267.21693534803404</v>
      </c>
      <c r="C32" s="451">
        <f t="shared" ca="1" si="3"/>
        <v>0</v>
      </c>
      <c r="D32" s="451">
        <f t="shared" si="4"/>
        <v>282.85124929891919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550.06818464695323</v>
      </c>
    </row>
    <row r="33" spans="1:17" s="460" customFormat="1">
      <c r="A33" s="1005" t="s">
        <v>554</v>
      </c>
      <c r="B33" s="953">
        <f ca="1">SUM(B22:B32)</f>
        <v>31054.46650102198</v>
      </c>
      <c r="C33" s="953">
        <f t="shared" ref="C33:Q33" ca="1" si="18">SUM(C22:C32)</f>
        <v>67.220168067226908</v>
      </c>
      <c r="D33" s="953">
        <f t="shared" ca="1" si="18"/>
        <v>55364.907854394754</v>
      </c>
      <c r="E33" s="953">
        <f t="shared" si="18"/>
        <v>6626.2601057972588</v>
      </c>
      <c r="F33" s="953">
        <f t="shared" ca="1" si="18"/>
        <v>17379.575562378373</v>
      </c>
      <c r="G33" s="953">
        <f t="shared" si="18"/>
        <v>121402.44210229402</v>
      </c>
      <c r="H33" s="953">
        <f t="shared" si="18"/>
        <v>19557.397003279464</v>
      </c>
      <c r="I33" s="953">
        <f t="shared" si="18"/>
        <v>0</v>
      </c>
      <c r="J33" s="953">
        <f t="shared" si="18"/>
        <v>448.88363940816106</v>
      </c>
      <c r="K33" s="953">
        <f t="shared" si="18"/>
        <v>0</v>
      </c>
      <c r="L33" s="953">
        <f t="shared" ca="1" si="18"/>
        <v>0</v>
      </c>
      <c r="M33" s="953">
        <f t="shared" si="18"/>
        <v>0</v>
      </c>
      <c r="N33" s="953">
        <f t="shared" ca="1" si="18"/>
        <v>0</v>
      </c>
      <c r="O33" s="953">
        <f t="shared" si="18"/>
        <v>0</v>
      </c>
      <c r="P33" s="953">
        <f t="shared" si="18"/>
        <v>0</v>
      </c>
      <c r="Q33" s="953">
        <f t="shared" ca="1" si="18"/>
        <v>251901.15293664121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10591.520559112458</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12735</v>
      </c>
      <c r="C8" s="1022">
        <f>'SEAP template'!C76</f>
        <v>198</v>
      </c>
      <c r="D8" s="1022">
        <f>'SEAP template'!D76</f>
        <v>232.94117647058826</v>
      </c>
      <c r="E8" s="1022">
        <f>'SEAP template'!E76</f>
        <v>0</v>
      </c>
      <c r="F8" s="1022">
        <f>'SEAP template'!F76</f>
        <v>0</v>
      </c>
      <c r="G8" s="1022">
        <f>'SEAP template'!G76</f>
        <v>0</v>
      </c>
      <c r="H8" s="1022">
        <f>'SEAP template'!H76</f>
        <v>0</v>
      </c>
      <c r="I8" s="1022">
        <f>'SEAP template'!I76</f>
        <v>0</v>
      </c>
      <c r="J8" s="1022">
        <f>'SEAP template'!J76</f>
        <v>14982.352941176472</v>
      </c>
      <c r="K8" s="1022">
        <f>'SEAP template'!K76</f>
        <v>0</v>
      </c>
      <c r="L8" s="1022">
        <f>'SEAP template'!L76</f>
        <v>0</v>
      </c>
      <c r="M8" s="1022">
        <f>'SEAP template'!M76</f>
        <v>0</v>
      </c>
      <c r="N8" s="1022">
        <f>'SEAP template'!N76</f>
        <v>0</v>
      </c>
      <c r="O8" s="1022">
        <f>'SEAP template'!O76</f>
        <v>0</v>
      </c>
      <c r="P8" s="1023">
        <f>'SEAP template'!Q76</f>
        <v>47.054117647058831</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23326.520559112458</v>
      </c>
      <c r="C10" s="1026">
        <f>SUM(C4:C9)</f>
        <v>198</v>
      </c>
      <c r="D10" s="1026">
        <f t="shared" ref="D10:H10" si="0">SUM(D8:D9)</f>
        <v>232.94117647058826</v>
      </c>
      <c r="E10" s="1026">
        <f t="shared" si="0"/>
        <v>0</v>
      </c>
      <c r="F10" s="1026">
        <f t="shared" si="0"/>
        <v>0</v>
      </c>
      <c r="G10" s="1026">
        <f t="shared" si="0"/>
        <v>0</v>
      </c>
      <c r="H10" s="1026">
        <f t="shared" si="0"/>
        <v>0</v>
      </c>
      <c r="I10" s="1026">
        <f>SUM(I8:I9)</f>
        <v>0</v>
      </c>
      <c r="J10" s="1026">
        <f>SUM(J8:J9)</f>
        <v>14982.352941176472</v>
      </c>
      <c r="K10" s="1026">
        <f t="shared" ref="K10:L10" si="1">SUM(K8:K9)</f>
        <v>0</v>
      </c>
      <c r="L10" s="1026">
        <f t="shared" si="1"/>
        <v>0</v>
      </c>
      <c r="M10" s="1026">
        <f>SUM(M8:M9)</f>
        <v>0</v>
      </c>
      <c r="N10" s="1026">
        <f>SUM(N8:N9)</f>
        <v>0</v>
      </c>
      <c r="O10" s="1026">
        <f>SUM(O8:O9)</f>
        <v>0</v>
      </c>
      <c r="P10" s="1026">
        <f>SUM(P8:P9)</f>
        <v>47.054117647058831</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0.18955350697639359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18192.857142857141</v>
      </c>
      <c r="C17" s="1028">
        <f>'SEAP template'!C87</f>
        <v>282.85714285714289</v>
      </c>
      <c r="D17" s="1023">
        <f>'SEAP template'!D87</f>
        <v>332.77310924369755</v>
      </c>
      <c r="E17" s="1023">
        <f>'SEAP template'!E87</f>
        <v>0</v>
      </c>
      <c r="F17" s="1023">
        <f>'SEAP template'!F87</f>
        <v>0</v>
      </c>
      <c r="G17" s="1023">
        <f>'SEAP template'!G87</f>
        <v>0</v>
      </c>
      <c r="H17" s="1023">
        <f>'SEAP template'!H87</f>
        <v>0</v>
      </c>
      <c r="I17" s="1023">
        <f>'SEAP template'!I87</f>
        <v>0</v>
      </c>
      <c r="J17" s="1023">
        <f>'SEAP template'!J87</f>
        <v>21403.361344537818</v>
      </c>
      <c r="K17" s="1023">
        <f>'SEAP template'!K87</f>
        <v>0</v>
      </c>
      <c r="L17" s="1023">
        <f>'SEAP template'!L87</f>
        <v>0</v>
      </c>
      <c r="M17" s="1023">
        <f>'SEAP template'!M87</f>
        <v>0</v>
      </c>
      <c r="N17" s="1023">
        <f>'SEAP template'!N87</f>
        <v>0</v>
      </c>
      <c r="O17" s="1023">
        <f>'SEAP template'!O87</f>
        <v>0</v>
      </c>
      <c r="P17" s="1023">
        <f>'SEAP template'!Q87</f>
        <v>67.220168067226908</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18192.857142857141</v>
      </c>
      <c r="C20" s="1026">
        <f>SUM(C17:C19)</f>
        <v>282.85714285714289</v>
      </c>
      <c r="D20" s="1026">
        <f t="shared" ref="D20:H20" si="2">SUM(D17:D19)</f>
        <v>332.77310924369755</v>
      </c>
      <c r="E20" s="1026">
        <f t="shared" si="2"/>
        <v>0</v>
      </c>
      <c r="F20" s="1026">
        <f t="shared" si="2"/>
        <v>0</v>
      </c>
      <c r="G20" s="1026">
        <f t="shared" si="2"/>
        <v>0</v>
      </c>
      <c r="H20" s="1026">
        <f t="shared" si="2"/>
        <v>0</v>
      </c>
      <c r="I20" s="1026">
        <f>SUM(I17:I19)</f>
        <v>0</v>
      </c>
      <c r="J20" s="1026">
        <f>SUM(J17:J19)</f>
        <v>21403.361344537818</v>
      </c>
      <c r="K20" s="1026">
        <f t="shared" ref="K20:L20" si="3">SUM(K17:K19)</f>
        <v>0</v>
      </c>
      <c r="L20" s="1026">
        <f t="shared" si="3"/>
        <v>0</v>
      </c>
      <c r="M20" s="1026">
        <f>SUM(M17:M19)</f>
        <v>0</v>
      </c>
      <c r="N20" s="1026">
        <f>SUM(N17:N19)</f>
        <v>0</v>
      </c>
      <c r="O20" s="1026">
        <f>SUM(O17:O19)</f>
        <v>0</v>
      </c>
      <c r="P20" s="1026">
        <f>SUM(P17:P19)</f>
        <v>67.220168067226908</v>
      </c>
    </row>
    <row r="22" spans="1:16">
      <c r="A22" s="461" t="s">
        <v>848</v>
      </c>
      <c r="B22" s="760" t="s">
        <v>842</v>
      </c>
      <c r="C22" s="760">
        <f ca="1">'EF ele_warmte'!B22</f>
        <v>3.6382987432969022E-3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0.18955350697639359</v>
      </c>
      <c r="C17" s="498">
        <f ca="1">'EF ele_warmte'!B22</f>
        <v>3.6382987432969022E-3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2</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3.1266666666666669</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2020-06-20T15:46:34Z</dcterms:modified>
</cp:coreProperties>
</file>