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48" i="18"/>
  <c r="H8" i="18" s="1"/>
  <c r="M76" i="14" s="1"/>
  <c r="B48" i="18"/>
  <c r="C8" i="18" s="1"/>
  <c r="O8" i="18" s="1"/>
  <c r="O10" i="18" s="1"/>
  <c r="G48" i="18"/>
  <c r="I8" i="18" s="1"/>
  <c r="O9" i="18"/>
  <c r="H78" i="14"/>
  <c r="H9" i="61"/>
  <c r="H10" i="61" s="1"/>
  <c r="O90" i="14"/>
  <c r="O18" i="61"/>
  <c r="O20" i="61" s="1"/>
  <c r="B88" i="14"/>
  <c r="B18" i="61" s="1"/>
  <c r="B77" i="14"/>
  <c r="B9" i="61" s="1"/>
  <c r="Q77" i="14"/>
  <c r="P9" i="61" s="1"/>
  <c r="J17" i="18"/>
  <c r="H20" i="18"/>
  <c r="M87" i="14"/>
  <c r="J8" i="18"/>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Q63" i="14"/>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F10" i="14"/>
  <c r="K10" i="14"/>
  <c r="J5" i="48"/>
  <c r="J23" i="48"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J26" i="48" s="1"/>
  <c r="J33" i="48" s="1"/>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<sst xmlns="http://schemas.openxmlformats.org/spreadsheetml/2006/main" count="2407" uniqueCount="893">
  <si>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</si>
  <si>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</si>
  <si>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</si>
  <si>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</si>
  <si>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</si>
  <si>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</si>
  <si>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</si>
  <si>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</si>
  <si>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</si>
  <si>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</si>
  <si>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</si>
  <si>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</si>
  <si>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</si>
  <si>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</si>
  <si>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</si>
  <si>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</si>
  <si>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</si>
  <si>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</si>
  <si>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</si>
  <si>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</si>
  <si>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</si>
  <si>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</si>
  <si>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</si>
  <si>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</si>
  <si>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</si>
  <si>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</si>
  <si>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</si>
  <si>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</si>
  <si>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</si>
  <si>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</si>
  <si>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</si>
  <si>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</si>
  <si>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</si>
  <si>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</si>
  <si>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</si>
  <si>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</si>
  <si>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</si>
  <si>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</si>
  <si>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</si>
  <si>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</si>
  <si>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</si>
  <si>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</si>
  <si>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</si>
  <si>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</si>
  <si>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</si>
  <si>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</si>
  <si>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</si>
  <si>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</si>
  <si>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</si>
  <si>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</si>
  <si>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</si>
  <si>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</si>
  <si>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</si>
  <si>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</si>
  <si>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</si>
  <si>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</si>
  <si>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</si>
  <si>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</si>
  <si>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</si>
  <si>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</si>
  <si>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</si>
  <si>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</si>
  <si>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</si>
  <si>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</si>
  <si>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</si>
  <si>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</si>
  <si>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</si>
  <si>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</si>
  <si>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</si>
  <si>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</si>
  <si>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</si>
  <si>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</si>
  <si>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</si>
  <si>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</si>
  <si>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</si>
  <si>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</si>
  <si>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</si>
  <si>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</si>
  <si>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</si>
  <si>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</si>
  <si>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</si>
  <si>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</si>
  <si>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</si>
  <si>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</si>
  <si>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</si>
  <si>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</si>
  <si>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</si>
  <si>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</si>
  <si>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</si>
  <si>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</si>
  <si>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</si>
  <si>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</si>
  <si>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</si>
  <si>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</si>
  <si>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</si>
  <si>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</si>
  <si>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</si>
  <si>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</si>
  <si>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</si>
  <si>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</si>
  <si>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</si>
  <si>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</si>
  <si>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</si>
  <si>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</si>
  <si>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</si>
  <si>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</si>
  <si>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</si>
  <si>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</si>
  <si>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</si>
  <si>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</si>
  <si>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</si>
  <si>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</si>
  <si>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</si>
  <si>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</si>
  <si>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</si>
  <si>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</si>
  <si>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</si>
  <si>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</si>
  <si>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</si>
  <si>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</si>
  <si>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</si>
  <si>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</si>
  <si>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</si>
  <si>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</si>
  <si>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</si>
  <si>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</si>
  <si>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</si>
  <si>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</si>
  <si>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</si>
  <si>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</si>
  <si>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</si>
  <si>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</si>
  <si>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</si>
  <si>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</si>
  <si>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</si>
  <si>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</si>
  <si>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</si>
  <si>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</si>
  <si>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</si>
  <si>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</si>
  <si>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</si>
  <si>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</si>
  <si>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</si>
  <si>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</si>
  <si>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</si>
  <si>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</si>
  <si>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</si>
  <si>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</si>
  <si>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</si>
  <si>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</si>
  <si>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</si>
  <si>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</si>
  <si>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</si>
  <si>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</si>
  <si>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</si>
  <si>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</si>
  <si>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</si>
  <si>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</si>
  <si>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</si>
  <si>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</si>
  <si>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</si>
  <si>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</si>
  <si>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</si>
  <si>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</si>
  <si>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</si>
  <si>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</si>
  <si>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</si>
  <si>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</si>
  <si>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</si>
  <si>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</si>
  <si>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</si>
  <si>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</si>
  <si>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</si>
  <si>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</si>
  <si>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</si>
  <si>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</si>
  <si>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</si>
  <si>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</si>
  <si>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</si>
  <si>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</si>
  <si>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</si>
  <si>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</si>
  <si>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</si>
  <si>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</si>
  <si>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</si>
  <si>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</si>
  <si>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</si>
  <si>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</si>
  <si>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</si>
  <si>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</si>
  <si>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</si>
  <si>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</si>
  <si>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</si>
  <si>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</si>
  <si>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</si>
  <si>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</si>
  <si>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</si>
  <si>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</si>
  <si>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</si>
  <si>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</si>
  <si>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</si>
  <si>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</si>
  <si>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</si>
  <si>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</si>
  <si>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</si>
  <si>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</si>
  <si>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</si>
  <si>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</si>
  <si>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</si>
  <si>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</si>
  <si>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</si>
  <si>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</si>
  <si>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</si>
  <si>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</si>
  <si>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</si>
  <si>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</si>
  <si>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</si>
  <si>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</si>
  <si>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</si>
  <si>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</si>
  <si>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</si>
  <si>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</si>
  <si>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</si>
  <si>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</si>
  <si>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</si>
  <si>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</si>
  <si>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</si>
  <si>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</si>
  <si>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</si>
  <si>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</si>
  <si>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</si>
  <si>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</si>
  <si>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</si>
  <si>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</si>
  <si>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</si>
  <si>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</si>
  <si>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</si>
  <si>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</si>
  <si>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</si>
  <si>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</si>
  <si>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</si>
  <si>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</si>
  <si>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</si>
  <si>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</si>
  <si>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</si>
  <si>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</si>
  <si>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</si>
  <si>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</si>
  <si>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</si>
  <si>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</si>
  <si>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</si>
  <si>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</si>
  <si>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</si>
  <si>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</si>
  <si>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</si>
  <si>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</si>
  <si>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</si>
  <si>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</si>
  <si>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</si>
  <si>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</si>
  <si>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</si>
  <si>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</si>
  <si>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</si>
  <si>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</si>
  <si>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</si>
  <si>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</si>
  <si>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</si>
  <si>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</si>
  <si>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</si>
  <si>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</si>
  <si>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</si>
  <si>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</si>
  <si>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</si>
  <si>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</si>
  <si>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</si>
  <si>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</si>
  <si>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</si>
  <si>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</si>
  <si>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</si>
  <si>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</si>
  <si>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</si>
  <si>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</si>
  <si>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</si>
  <si>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</si>
  <si>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</si>
  <si>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</si>
  <si>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</si>
  <si>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</si>
  <si>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</si>
  <si>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</si>
  <si>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</si>
  <si>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</si>
  <si>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</si>
  <si>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</si>
  <si>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</si>
  <si>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</si>
  <si>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</si>
  <si>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</si>
  <si>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</si>
  <si>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</si>
  <si>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</si>
  <si>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</si>
  <si>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</si>
  <si>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</si>
  <si>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</si>
  <si>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</si>
  <si>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</si>
  <si>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</si>
  <si>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</si>
  <si>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</si>
  <si>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</si>
  <si>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</si>
  <si>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</si>
  <si>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</si>
  <si>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</si>
  <si>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</si>
  <si>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</si>
  <si>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</si>
  <si>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</si>
  <si>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</si>
  <si>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</si>
  <si>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</si>
  <si>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</si>
  <si>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</si>
  <si>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</si>
  <si>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</si>
  <si>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</si>
  <si>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</si>
  <si>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</si>
  <si>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</si>
  <si>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</si>
  <si>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</si>
  <si>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</si>
  <si>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</si>
  <si>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</si>
  <si>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</si>
  <si>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</si>
  <si>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</si>
  <si>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</si>
  <si>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</si>
  <si>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</si>
  <si>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</si>
  <si>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</si>
  <si>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</si>
  <si>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</si>
  <si>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</si>
  <si>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</si>
  <si>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</si>
  <si>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</si>
  <si>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</si>
  <si>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</si>
  <si>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</si>
  <si>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</si>
  <si>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</si>
  <si>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</si>
  <si>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</si>
  <si>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</si>
  <si>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</si>
  <si>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</si>
  <si>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</si>
  <si>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</si>
  <si>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</si>
  <si>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</si>
  <si>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</si>
  <si>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</si>
  <si>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</si>
  <si>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</si>
  <si>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</si>
  <si>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</si>
  <si>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</si>
  <si>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</si>
  <si>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</si>
  <si>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</si>
  <si>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</si>
  <si>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</si>
  <si>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</si>
  <si>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</si>
  <si>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</si>
  <si>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</si>
  <si>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</si>
  <si>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</si>
  <si>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</si>
  <si>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</si>
  <si>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</si>
  <si>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</si>
  <si>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</si>
  <si>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</si>
  <si>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</si>
  <si>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</si>
  <si>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</si>
  <si>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</si>
  <si>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</si>
  <si>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</si>
  <si>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</si>
  <si>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</si>
  <si>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</si>
  <si>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</si>
  <si>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</si>
  <si>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</si>
  <si>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</si>
  <si>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</si>
  <si>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</si>
  <si>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</si>
  <si>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</si>
  <si>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</si>
  <si>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</si>
  <si>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</si>
  <si>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</si>
  <si>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</si>
  <si>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</si>
  <si>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</si>
  <si>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</si>
  <si>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</si>
  <si>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</si>
  <si>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</si>
  <si>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</si>
  <si>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</si>
  <si>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</si>
  <si>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</si>
  <si>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</si>
  <si>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</si>
  <si>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</si>
  <si>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</si>
  <si>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</si>
  <si>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</si>
  <si>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</si>
  <si>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</si>
  <si>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</si>
  <si>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</si>
  <si>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</si>
  <si>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</si>
  <si>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</si>
  <si>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</si>
  <si>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</si>
  <si>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</si>
  <si>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</si>
  <si>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</si>
  <si>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</si>
  <si>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</si>
  <si>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</si>
  <si>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</si>
  <si>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</si>
  <si>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</si>
  <si>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</si>
  <si>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</si>
  <si>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</si>
  <si>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</si>
  <si>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</si>
  <si>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</si>
  <si>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</si>
  <si>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</si>
  <si>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</si>
  <si>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</si>
  <si>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</si>
  <si>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</si>
  <si>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</si>
  <si>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</si>
  <si>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</si>
  <si>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</si>
  <si>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</si>
  <si>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</si>
  <si>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</si>
  <si>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</si>
  <si>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</si>
  <si>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</si>
  <si>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</si>
  <si>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</si>
  <si>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</si>
  <si>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</si>
  <si>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</si>
  <si>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</si>
  <si>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</si>
  <si>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</si>
  <si>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</si>
  <si>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</si>
  <si>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</si>
  <si>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</si>
  <si>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</si>
  <si>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</si>
  <si>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</si>
  <si>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</si>
  <si>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</si>
  <si>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</si>
  <si>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</si>
  <si>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</si>
  <si>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</si>
  <si>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</si>
  <si>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</si>
  <si>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</si>
  <si>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</si>
  <si>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</si>
  <si>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</si>
  <si>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</si>
  <si>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</si>
  <si>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</si>
  <si>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</si>
  <si>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</si>
  <si>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</si>
  <si>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</si>
  <si>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</si>
  <si>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</si>
  <si>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</si>
  <si>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</si>
  <si>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</si>
  <si>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</si>
  <si>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</si>
  <si>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</si>
  <si>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</si>
  <si>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</si>
  <si>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</si>
  <si>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</si>
  <si>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</si>
  <si>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</si>
  <si>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</si>
  <si>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</si>
  <si>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</si>
  <si>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</si>
  <si>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</si>
  <si>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</si>
  <si>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</si>
  <si>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</si>
  <si>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</si>
  <si>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</si>
  <si>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</si>
  <si>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</si>
  <si>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</si>
  <si>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</si>
  <si>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</si>
  <si>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</si>
  <si>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</si>
  <si>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</si>
  <si>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</si>
  <si>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</si>
  <si>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</si>
  <si>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</si>
  <si>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</si>
  <si>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</si>
  <si>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</si>
  <si>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</si>
  <si>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</si>
  <si>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</si>
  <si>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</si>
  <si>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</si>
  <si>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</si>
  <si>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</si>
  <si>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</si>
  <si>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</si>
  <si>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</si>
  <si>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</si>
  <si>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</si>
  <si>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</si>
  <si>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</si>
  <si>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</si>
  <si>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</si>
  <si>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</si>
  <si>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</si>
  <si>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</si>
  <si>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</si>
  <si>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</si>
  <si>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</si>
  <si>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</si>
  <si>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</si>
  <si>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</si>
  <si>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</si>
  <si>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</si>
  <si>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</si>
  <si>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</si>
  <si>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</si>
  <si>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</si>
  <si>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</si>
  <si>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</si>
  <si>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</si>
  <si>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</si>
  <si>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</si>
  <si>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</si>
  <si>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</si>
  <si>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</si>
  <si>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</si>
  <si>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</si>
  <si>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</si>
  <si>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</si>
  <si>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</si>
  <si>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</si>
  <si>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</si>
  <si>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</si>
  <si>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</si>
  <si>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</si>
  <si>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</si>
  <si>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</si>
  <si>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</si>
  <si>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</si>
  <si>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</si>
  <si>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</si>
  <si>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</si>
  <si>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</si>
  <si>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</si>
  <si>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</si>
  <si>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</si>
  <si>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</si>
  <si>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</si>
  <si>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</si>
  <si>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</si>
  <si>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</si>
  <si>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</si>
  <si>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</si>
  <si>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</si>
  <si>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</si>
  <si>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</si>
  <si>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</si>
  <si>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</si>
  <si>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</si>
  <si>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</si>
  <si>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</si>
  <si>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</si>
  <si>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</si>
  <si>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</si>
  <si>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</si>
  <si>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</si>
  <si>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</si>
  <si>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</si>
  <si>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</si>
  <si>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</si>
  <si>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</si>
  <si>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</si>
  <si>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</si>
  <si>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</si>
  <si>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</si>
  <si>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</si>
  <si>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</si>
  <si>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</si>
  <si>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</si>
  <si>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</si>
  <si>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</si>
  <si>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</si>
  <si>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</si>
  <si>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</si>
  <si>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</si>
  <si>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</si>
  <si>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</si>
  <si>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</si>
  <si>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</si>
  <si>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</si>
  <si>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</si>
  <si>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</si>
  <si>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</si>
  <si>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</si>
  <si>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</si>
  <si>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</si>
  <si>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</si>
  <si>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</si>
  <si>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</si>
  <si>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</si>
  <si>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</si>
  <si>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</si>
  <si>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</si>
  <si>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</si>
  <si>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</si>
  <si>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</si>
  <si>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</si>
  <si>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</si>
  <si>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</si>
  <si>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</si>
  <si>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</si>
  <si>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</si>
  <si>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</si>
  <si>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</si>
  <si>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</si>
  <si>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</si>
  <si>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</si>
  <si>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</si>
  <si>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</si>
  <si>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</si>
  <si>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</si>
  <si>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</si>
  <si>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</si>
  <si>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</si>
  <si>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</si>
  <si>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</si>
  <si>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</si>
  <si>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</si>
  <si>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</si>
  <si>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</si>
  <si>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</si>
  <si>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</si>
  <si>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</si>
  <si>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</si>
  <si>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</si>
  <si>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</si>
  <si>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</si>
  <si>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</si>
  <si>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</si>
  <si>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</si>
  <si>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</si>
  <si>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</si>
  <si>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</si>
  <si>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</si>
  <si>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</si>
  <si>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</si>
  <si>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</si>
  <si>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</si>
  <si>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</si>
  <si>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</si>
  <si>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</si>
  <si>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</si>
  <si>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</si>
  <si>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</si>
  <si>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</si>
  <si>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</si>
  <si>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</si>
  <si>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</si>
  <si>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</si>
  <si>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</si>
  <si>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</si>
  <si>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</si>
  <si>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</si>
  <si>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</si>
  <si>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</si>
  <si>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</si>
  <si>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</si>
  <si>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</si>
  <si>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</si>
  <si>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</si>
  <si>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</si>
  <si>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</si>
  <si>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</si>
  <si>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</si>
  <si>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</si>
  <si>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</si>
  <si>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</si>
  <si>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</si>
  <si>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</si>
  <si>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</si>
  <si>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</si>
  <si>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</si>
  <si>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</si>
  <si>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</si>
  <si>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</si>
  <si>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</si>
  <si>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</si>
  <si>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</si>
  <si>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</si>
  <si>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</si>
  <si>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</si>
  <si>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</si>
  <si>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</si>
  <si>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</si>
  <si>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</si>
  <si>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</si>
  <si>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</si>
  <si>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</si>
  <si>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</si>
  <si>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</si>
  <si>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</si>
  <si>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</si>
  <si>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</si>
  <si>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</si>
  <si>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</si>
  <si>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</si>
  <si>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</si>
  <si>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</si>
  <si>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</si>
  <si>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</si>
  <si>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</si>
  <si>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</si>
  <si>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</si>
  <si>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</si>
  <si>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</si>
  <si>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</si>
  <si>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</si>
  <si>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</si>
  <si>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</si>
  <si>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</si>
  <si>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</si>
  <si>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</si>
  <si>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</si>
  <si>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</si>
  <si>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</si>
  <si>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</si>
  <si>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</si>
  <si>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</si>
  <si>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</si>
  <si>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</si>
  <si>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</si>
  <si>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</si>
  <si>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</si>
  <si>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</si>
  <si>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</si>
  <si>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</si>
  <si>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</si>
  <si>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</si>
  <si>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</si>
  <si>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</si>
  <si>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</si>
  <si>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</si>
  <si>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</si>
  <si>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</si>
  <si>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</si>
  <si>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</si>
  <si>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</si>
  <si>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</si>
  <si>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</si>
  <si>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</si>
  <si>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</si>
  <si>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</si>
  <si>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</si>
  <si>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</si>
  <si>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</si>
  <si>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</si>
  <si>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</si>
  <si>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</si>
  <si>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</si>
  <si>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</si>
  <si>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</si>
  <si>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</si>
  <si>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</si>
  <si>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</si>
  <si>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</si>
  <si>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</si>
  <si>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</si>
  <si>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</si>
  <si>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</si>
  <si>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</si>
  <si>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</si>
  <si>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</si>
  <si>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</si>
  <si>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</si>
  <si>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</si>
  <si>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</si>
  <si>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</si>
  <si>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</si>
  <si>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</si>
  <si>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</si>
  <si>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</si>
  <si>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</si>
  <si>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</si>
  <si>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</si>
  <si>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</si>
  <si>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</si>
  <si>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</si>
  <si>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</si>
  <si>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</si>
  <si>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</si>
  <si>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</si>
  <si>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</si>
  <si>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</si>
  <si>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</si>
  <si>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</si>
  <si>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</si>
  <si>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</si>
  <si>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</si>
  <si>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</si>
  <si>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</si>
  <si>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</si>
  <si>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</si>
  <si>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</si>
  <si>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</si>
  <si>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</si>
  <si>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</si>
  <si>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</si>
  <si>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</si>
  <si>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</si>
  <si>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</si>
  <si>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</si>
  <si>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</si>
  <si>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</si>
  <si>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</si>
  <si>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</si>
  <si>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</si>
  <si>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</si>
  <si>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</si>
  <si>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</si>
  <si>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</si>
  <si>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</si>
  <si>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</si>
  <si>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</si>
  <si>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</si>
  <si>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</si>
  <si>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</si>
  <si>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</si>
  <si>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</si>
  <si>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</si>
  <si>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</si>
  <si>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</si>
  <si>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43010</t>
  </si>
  <si>
    <t>MALDEGEM</t>
  </si>
  <si>
    <t>Fluvius</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</si>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</sst>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217841.50537580013</c:v>
                </c:pt>
                <c:pt idx="1">
                  <c:v>57862.237684050408</c:v>
                </c:pt>
                <c:pt idx="2">
                  <c:v>1542.9860000000001</c:v>
                </c:pt>
                <c:pt idx="3">
                  <c:v>27849.230776685818</c:v>
                </c:pt>
                <c:pt idx="4">
                  <c:v>72702.050989478012</c:v>
                </c:pt>
                <c:pt idx="5">
                  <c:v>230048.15973736584</c:v>
                </c:pt>
                <c:pt idx="6">
                  <c:v>1482.8455630804474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217841.50537580013</c:v>
                </c:pt>
                <c:pt idx="1">
                  <c:v>57862.237684050408</c:v>
                </c:pt>
                <c:pt idx="2">
                  <c:v>1542.9860000000001</c:v>
                </c:pt>
                <c:pt idx="3">
                  <c:v>27849.230776685818</c:v>
                </c:pt>
                <c:pt idx="4">
                  <c:v>72702.050989478012</c:v>
                </c:pt>
                <c:pt idx="5">
                  <c:v>230048.15973736584</c:v>
                </c:pt>
                <c:pt idx="6">
                  <c:v>1482.8455630804474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35456.401423195428</c:v>
                </c:pt>
                <c:pt idx="2">
                  <c:v>10312.689481992409</c:v>
                </c:pt>
                <c:pt idx="3">
                  <c:v>233.74630152785352</c:v>
                </c:pt>
                <c:pt idx="4">
                  <c:v>6864.9177879899416</c:v>
                </c:pt>
                <c:pt idx="5">
                  <c:v>12910.799081595866</c:v>
                </c:pt>
                <c:pt idx="6">
                  <c:v>57601.115868109075</c:v>
                </c:pt>
                <c:pt idx="7">
                  <c:v>374.64328781437899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35456.401423195428</c:v>
                </c:pt>
                <c:pt idx="2">
                  <c:v>10312.689481992409</c:v>
                </c:pt>
                <c:pt idx="3">
                  <c:v>233.74630152785352</c:v>
                </c:pt>
                <c:pt idx="4">
                  <c:v>6864.9177879899416</c:v>
                </c:pt>
                <c:pt idx="5">
                  <c:v>12910.799081595866</c:v>
                </c:pt>
                <c:pt idx="6">
                  <c:v>57601.115868109075</c:v>
                </c:pt>
                <c:pt idx="7">
                  <c:v>374.64328781437899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43010</v>
      </c>
      <c r="B6" s="390"/>
      <c r="C6" s="391"/>
    </row>
    <row r="7" spans="1:7" s="388" customFormat="1" ht="15.75" customHeight="1">
      <c r="A7" s="392" t="str">
        <f>txtMunicipality</f>
        <v>MALDEGEM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0.15148958028644038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0.15148958028644038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9930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6477.95999999999</v>
      </c>
      <c r="C14" s="330"/>
      <c r="D14" s="330"/>
      <c r="E14" s="330"/>
      <c r="F14" s="330"/>
    </row>
    <row r="15" spans="1:6">
      <c r="A15" s="1293" t="s">
        <v>183</v>
      </c>
      <c r="B15" s="1294">
        <v>381</v>
      </c>
      <c r="C15" s="330"/>
      <c r="D15" s="330"/>
      <c r="E15" s="330"/>
      <c r="F15" s="330"/>
    </row>
    <row r="16" spans="1:6">
      <c r="A16" s="1293" t="s">
        <v>6</v>
      </c>
      <c r="B16" s="1294">
        <v>4250</v>
      </c>
      <c r="C16" s="330"/>
      <c r="D16" s="330"/>
      <c r="E16" s="330"/>
      <c r="F16" s="330"/>
    </row>
    <row r="17" spans="1:6">
      <c r="A17" s="1293" t="s">
        <v>7</v>
      </c>
      <c r="B17" s="1294">
        <v>2199</v>
      </c>
      <c r="C17" s="330"/>
      <c r="D17" s="330"/>
      <c r="E17" s="330"/>
      <c r="F17" s="330"/>
    </row>
    <row r="18" spans="1:6">
      <c r="A18" s="1293" t="s">
        <v>8</v>
      </c>
      <c r="B18" s="1294">
        <v>4265</v>
      </c>
      <c r="C18" s="330"/>
      <c r="D18" s="330"/>
      <c r="E18" s="330"/>
      <c r="F18" s="330"/>
    </row>
    <row r="19" spans="1:6">
      <c r="A19" s="1293" t="s">
        <v>9</v>
      </c>
      <c r="B19" s="1294">
        <v>3896</v>
      </c>
      <c r="C19" s="330"/>
      <c r="D19" s="330"/>
      <c r="E19" s="330"/>
      <c r="F19" s="330"/>
    </row>
    <row r="20" spans="1:6">
      <c r="A20" s="1293" t="s">
        <v>10</v>
      </c>
      <c r="B20" s="1294">
        <v>2132</v>
      </c>
      <c r="C20" s="330"/>
      <c r="D20" s="330"/>
      <c r="E20" s="330"/>
      <c r="F20" s="330"/>
    </row>
    <row r="21" spans="1:6">
      <c r="A21" s="1293" t="s">
        <v>11</v>
      </c>
      <c r="B21" s="1294">
        <v>14666</v>
      </c>
      <c r="C21" s="330"/>
      <c r="D21" s="330"/>
      <c r="E21" s="330"/>
      <c r="F21" s="330"/>
    </row>
    <row r="22" spans="1:6">
      <c r="A22" s="1293" t="s">
        <v>12</v>
      </c>
      <c r="B22" s="1294">
        <v>28495</v>
      </c>
      <c r="C22" s="330"/>
      <c r="D22" s="330"/>
      <c r="E22" s="330"/>
      <c r="F22" s="330"/>
    </row>
    <row r="23" spans="1:6">
      <c r="A23" s="1293" t="s">
        <v>13</v>
      </c>
      <c r="B23" s="1294">
        <v>893</v>
      </c>
      <c r="C23" s="330"/>
      <c r="D23" s="330"/>
      <c r="E23" s="330"/>
      <c r="F23" s="330"/>
    </row>
    <row r="24" spans="1:6">
      <c r="A24" s="1293" t="s">
        <v>14</v>
      </c>
      <c r="B24" s="1294">
        <v>28</v>
      </c>
      <c r="C24" s="330"/>
      <c r="D24" s="330"/>
      <c r="E24" s="330"/>
      <c r="F24" s="330"/>
    </row>
    <row r="25" spans="1:6">
      <c r="A25" s="1293" t="s">
        <v>15</v>
      </c>
      <c r="B25" s="1294">
        <v>4075</v>
      </c>
      <c r="C25" s="330"/>
      <c r="D25" s="330"/>
      <c r="E25" s="330"/>
      <c r="F25" s="330"/>
    </row>
    <row r="26" spans="1:6">
      <c r="A26" s="1293" t="s">
        <v>16</v>
      </c>
      <c r="B26" s="1294">
        <v>604</v>
      </c>
      <c r="C26" s="330"/>
      <c r="D26" s="330"/>
      <c r="E26" s="330"/>
      <c r="F26" s="330"/>
    </row>
    <row r="27" spans="1:6">
      <c r="A27" s="1293" t="s">
        <v>17</v>
      </c>
      <c r="B27" s="1294">
        <v>608</v>
      </c>
      <c r="C27" s="330"/>
      <c r="D27" s="330"/>
      <c r="E27" s="330"/>
      <c r="F27" s="330"/>
    </row>
    <row r="28" spans="1:6" s="43" customFormat="1">
      <c r="A28" s="1295" t="s">
        <v>18</v>
      </c>
      <c r="B28" s="1296">
        <v>63644</v>
      </c>
      <c r="C28" s="336"/>
      <c r="D28" s="336"/>
      <c r="E28" s="336"/>
      <c r="F28" s="336"/>
    </row>
    <row r="29" spans="1:6">
      <c r="A29" s="1295" t="s">
        <v>734</v>
      </c>
      <c r="B29" s="1296">
        <v>496</v>
      </c>
      <c r="C29" s="336"/>
      <c r="D29" s="336"/>
      <c r="E29" s="336"/>
      <c r="F29" s="336"/>
    </row>
    <row r="30" spans="1:6">
      <c r="A30" s="1288" t="s">
        <v>735</v>
      </c>
      <c r="B30" s="1297">
        <v>218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4455665.6821765797</v>
      </c>
      <c r="E38" s="1294">
        <v>11</v>
      </c>
      <c r="F38" s="1294">
        <v>501044.26421724499</v>
      </c>
    </row>
    <row r="39" spans="1:6">
      <c r="A39" s="1293" t="s">
        <v>29</v>
      </c>
      <c r="B39" s="1293" t="s">
        <v>30</v>
      </c>
      <c r="C39" s="1294">
        <v>6276</v>
      </c>
      <c r="D39" s="1294">
        <v>100574362.049555</v>
      </c>
      <c r="E39" s="1294">
        <v>9308</v>
      </c>
      <c r="F39" s="1294">
        <v>38470859.877285101</v>
      </c>
    </row>
    <row r="40" spans="1:6">
      <c r="A40" s="1293" t="s">
        <v>29</v>
      </c>
      <c r="B40" s="1293" t="s">
        <v>28</v>
      </c>
      <c r="C40" s="1294">
        <v>0</v>
      </c>
      <c r="D40" s="1294">
        <v>0</v>
      </c>
      <c r="E40" s="1294">
        <v>0</v>
      </c>
      <c r="F40" s="1294">
        <v>0</v>
      </c>
    </row>
    <row r="41" spans="1:6">
      <c r="A41" s="1293" t="s">
        <v>31</v>
      </c>
      <c r="B41" s="1293" t="s">
        <v>32</v>
      </c>
      <c r="C41" s="1294">
        <v>141</v>
      </c>
      <c r="D41" s="1294">
        <v>4915873.27751718</v>
      </c>
      <c r="E41" s="1294">
        <v>321</v>
      </c>
      <c r="F41" s="1294">
        <v>4737723.9603698598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48770.184493606903</v>
      </c>
      <c r="E44" s="1294">
        <v>40</v>
      </c>
      <c r="F44" s="1294">
        <v>888147.27150131401</v>
      </c>
    </row>
    <row r="45" spans="1:6">
      <c r="A45" s="1293" t="s">
        <v>31</v>
      </c>
      <c r="B45" s="1293" t="s">
        <v>36</v>
      </c>
      <c r="C45" s="1294">
        <v>0</v>
      </c>
      <c r="D45" s="1294">
        <v>0</v>
      </c>
      <c r="E45" s="1294">
        <v>3</v>
      </c>
      <c r="F45" s="1294">
        <v>297120.79281375703</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62</v>
      </c>
      <c r="D48" s="1294">
        <v>12048281.0700671</v>
      </c>
      <c r="E48" s="1294">
        <v>89</v>
      </c>
      <c r="F48" s="1294">
        <v>32203909.728615601</v>
      </c>
    </row>
    <row r="49" spans="1:6">
      <c r="A49" s="1293" t="s">
        <v>31</v>
      </c>
      <c r="B49" s="1293" t="s">
        <v>39</v>
      </c>
      <c r="C49" s="1294">
        <v>0</v>
      </c>
      <c r="D49" s="1294">
        <v>0</v>
      </c>
      <c r="E49" s="1294">
        <v>0</v>
      </c>
      <c r="F49" s="1294">
        <v>0</v>
      </c>
    </row>
    <row r="50" spans="1:6">
      <c r="A50" s="1293" t="s">
        <v>31</v>
      </c>
      <c r="B50" s="1293" t="s">
        <v>40</v>
      </c>
      <c r="C50" s="1294">
        <v>15</v>
      </c>
      <c r="D50" s="1294">
        <v>1638137.7489968201</v>
      </c>
      <c r="E50" s="1294">
        <v>29</v>
      </c>
      <c r="F50" s="1294">
        <v>1211924.24921277</v>
      </c>
    </row>
    <row r="51" spans="1:6">
      <c r="A51" s="1293" t="s">
        <v>41</v>
      </c>
      <c r="B51" s="1293" t="s">
        <v>42</v>
      </c>
      <c r="C51" s="1294">
        <v>12</v>
      </c>
      <c r="D51" s="1294">
        <v>131309.44055145301</v>
      </c>
      <c r="E51" s="1294">
        <v>236</v>
      </c>
      <c r="F51" s="1294">
        <v>4834947.2638582904</v>
      </c>
    </row>
    <row r="52" spans="1:6">
      <c r="A52" s="1293" t="s">
        <v>41</v>
      </c>
      <c r="B52" s="1293" t="s">
        <v>28</v>
      </c>
      <c r="C52" s="1294">
        <v>10</v>
      </c>
      <c r="D52" s="1294">
        <v>175799.340350891</v>
      </c>
      <c r="E52" s="1294">
        <v>22</v>
      </c>
      <c r="F52" s="1294">
        <v>316502.334849537</v>
      </c>
    </row>
    <row r="53" spans="1:6">
      <c r="A53" s="1293" t="s">
        <v>43</v>
      </c>
      <c r="B53" s="1293" t="s">
        <v>44</v>
      </c>
      <c r="C53" s="1294">
        <v>172</v>
      </c>
      <c r="D53" s="1294">
        <v>2539679.75604648</v>
      </c>
      <c r="E53" s="1294">
        <v>374</v>
      </c>
      <c r="F53" s="1294">
        <v>2052965.0158891301</v>
      </c>
    </row>
    <row r="54" spans="1:6">
      <c r="A54" s="1293" t="s">
        <v>45</v>
      </c>
      <c r="B54" s="1293" t="s">
        <v>46</v>
      </c>
      <c r="C54" s="1294">
        <v>0</v>
      </c>
      <c r="D54" s="1294">
        <v>0</v>
      </c>
      <c r="E54" s="1294">
        <v>3</v>
      </c>
      <c r="F54" s="1294">
        <v>1542986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51</v>
      </c>
      <c r="D57" s="1294">
        <v>2516473.9063856099</v>
      </c>
      <c r="E57" s="1294">
        <v>95</v>
      </c>
      <c r="F57" s="1294">
        <v>2543507.54195263</v>
      </c>
    </row>
    <row r="58" spans="1:6">
      <c r="A58" s="1293" t="s">
        <v>48</v>
      </c>
      <c r="B58" s="1293" t="s">
        <v>50</v>
      </c>
      <c r="C58" s="1294">
        <v>50</v>
      </c>
      <c r="D58" s="1294">
        <v>3883651.64681077</v>
      </c>
      <c r="E58" s="1294">
        <v>93</v>
      </c>
      <c r="F58" s="1294">
        <v>1893438.83020774</v>
      </c>
    </row>
    <row r="59" spans="1:6">
      <c r="A59" s="1293" t="s">
        <v>48</v>
      </c>
      <c r="B59" s="1293" t="s">
        <v>51</v>
      </c>
      <c r="C59" s="1294">
        <v>172</v>
      </c>
      <c r="D59" s="1294">
        <v>7447166.4160200097</v>
      </c>
      <c r="E59" s="1294">
        <v>396</v>
      </c>
      <c r="F59" s="1294">
        <v>8260543.2143370695</v>
      </c>
    </row>
    <row r="60" spans="1:6">
      <c r="A60" s="1293" t="s">
        <v>48</v>
      </c>
      <c r="B60" s="1293" t="s">
        <v>52</v>
      </c>
      <c r="C60" s="1294">
        <v>88</v>
      </c>
      <c r="D60" s="1294">
        <v>3308150.0289770798</v>
      </c>
      <c r="E60" s="1294">
        <v>140</v>
      </c>
      <c r="F60" s="1294">
        <v>2919794.6804244402</v>
      </c>
    </row>
    <row r="61" spans="1:6">
      <c r="A61" s="1293" t="s">
        <v>48</v>
      </c>
      <c r="B61" s="1293" t="s">
        <v>53</v>
      </c>
      <c r="C61" s="1294">
        <v>150</v>
      </c>
      <c r="D61" s="1294">
        <v>3672543.2582359998</v>
      </c>
      <c r="E61" s="1294">
        <v>344</v>
      </c>
      <c r="F61" s="1294">
        <v>3339287.3457415001</v>
      </c>
    </row>
    <row r="62" spans="1:6">
      <c r="A62" s="1293" t="s">
        <v>48</v>
      </c>
      <c r="B62" s="1293" t="s">
        <v>54</v>
      </c>
      <c r="C62" s="1294">
        <v>8</v>
      </c>
      <c r="D62" s="1294">
        <v>542848.86324842798</v>
      </c>
      <c r="E62" s="1294">
        <v>18</v>
      </c>
      <c r="F62" s="1294">
        <v>345622.41729016701</v>
      </c>
    </row>
    <row r="63" spans="1:6">
      <c r="A63" s="1293" t="s">
        <v>48</v>
      </c>
      <c r="B63" s="1293" t="s">
        <v>28</v>
      </c>
      <c r="C63" s="1294">
        <v>169</v>
      </c>
      <c r="D63" s="1294">
        <v>10516239.2220082</v>
      </c>
      <c r="E63" s="1294">
        <v>193</v>
      </c>
      <c r="F63" s="1294">
        <v>2856925.7743919799</v>
      </c>
    </row>
    <row r="64" spans="1:6">
      <c r="A64" s="1293" t="s">
        <v>55</v>
      </c>
      <c r="B64" s="1293" t="s">
        <v>56</v>
      </c>
      <c r="C64" s="1294">
        <v>0</v>
      </c>
      <c r="D64" s="1294">
        <v>0</v>
      </c>
      <c r="E64" s="1294">
        <v>0</v>
      </c>
      <c r="F64" s="1294">
        <v>0</v>
      </c>
    </row>
    <row r="65" spans="1:6">
      <c r="A65" s="1293" t="s">
        <v>55</v>
      </c>
      <c r="B65" s="1293" t="s">
        <v>28</v>
      </c>
      <c r="C65" s="1294">
        <v>4</v>
      </c>
      <c r="D65" s="1294">
        <v>136979.290545511</v>
      </c>
      <c r="E65" s="1294">
        <v>4</v>
      </c>
      <c r="F65" s="1294">
        <v>40887.129120602403</v>
      </c>
    </row>
    <row r="66" spans="1:6">
      <c r="A66" s="1293" t="s">
        <v>55</v>
      </c>
      <c r="B66" s="1293" t="s">
        <v>57</v>
      </c>
      <c r="C66" s="1294">
        <v>0</v>
      </c>
      <c r="D66" s="1294">
        <v>0</v>
      </c>
      <c r="E66" s="1294">
        <v>22</v>
      </c>
      <c r="F66" s="1294">
        <v>876977.57010107196</v>
      </c>
    </row>
    <row r="67" spans="1:6">
      <c r="A67" s="1295" t="s">
        <v>55</v>
      </c>
      <c r="B67" s="1295" t="s">
        <v>58</v>
      </c>
      <c r="C67" s="1294">
        <v>26</v>
      </c>
      <c r="D67" s="1294">
        <v>2235435.4913786598</v>
      </c>
      <c r="E67" s="1294">
        <v>81</v>
      </c>
      <c r="F67" s="1294">
        <v>880468.50265521102</v>
      </c>
    </row>
    <row r="68" spans="1:6">
      <c r="A68" s="1288" t="s">
        <v>55</v>
      </c>
      <c r="B68" s="1288" t="s">
        <v>59</v>
      </c>
      <c r="C68" s="1297">
        <v>10</v>
      </c>
      <c r="D68" s="1297">
        <v>306974.39880115702</v>
      </c>
      <c r="E68" s="1297">
        <v>26</v>
      </c>
      <c r="F68" s="1297">
        <v>210318.973856695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178551360</v>
      </c>
      <c r="E73" s="449"/>
      <c r="F73" s="330"/>
    </row>
    <row r="74" spans="1:6">
      <c r="A74" s="1293" t="s">
        <v>63</v>
      </c>
      <c r="B74" s="1293" t="s">
        <v>656</v>
      </c>
      <c r="C74" s="1307" t="s">
        <v>658</v>
      </c>
      <c r="D74" s="1308">
        <v>20183709.5</v>
      </c>
      <c r="E74" s="449"/>
      <c r="F74" s="330"/>
    </row>
    <row r="75" spans="1:6">
      <c r="A75" s="1293" t="s">
        <v>64</v>
      </c>
      <c r="B75" s="1293" t="s">
        <v>655</v>
      </c>
      <c r="C75" s="1307" t="s">
        <v>659</v>
      </c>
      <c r="D75" s="1308">
        <v>46173523</v>
      </c>
      <c r="E75" s="449"/>
      <c r="F75" s="330"/>
    </row>
    <row r="76" spans="1:6">
      <c r="A76" s="1293" t="s">
        <v>64</v>
      </c>
      <c r="B76" s="1293" t="s">
        <v>656</v>
      </c>
      <c r="C76" s="1307" t="s">
        <v>660</v>
      </c>
      <c r="D76" s="1308">
        <v>2437841.5</v>
      </c>
      <c r="E76" s="449"/>
      <c r="F76" s="330"/>
    </row>
    <row r="77" spans="1:6">
      <c r="A77" s="1293" t="s">
        <v>65</v>
      </c>
      <c r="B77" s="1293" t="s">
        <v>655</v>
      </c>
      <c r="C77" s="1307" t="s">
        <v>661</v>
      </c>
      <c r="D77" s="1308">
        <v>11955116</v>
      </c>
      <c r="E77" s="449"/>
      <c r="F77" s="330"/>
    </row>
    <row r="78" spans="1:6">
      <c r="A78" s="1288" t="s">
        <v>65</v>
      </c>
      <c r="B78" s="1288" t="s">
        <v>656</v>
      </c>
      <c r="C78" s="1288" t="s">
        <v>662</v>
      </c>
      <c r="D78" s="1309">
        <v>2081414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404419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27731.414816599579</v>
      </c>
      <c r="C90" s="330"/>
      <c r="D90" s="330"/>
      <c r="E90" s="330"/>
      <c r="F90" s="330"/>
    </row>
    <row r="91" spans="1:6">
      <c r="A91" s="1293" t="s">
        <v>67</v>
      </c>
      <c r="B91" s="1294">
        <v>4626.5253834721789</v>
      </c>
      <c r="C91" s="330"/>
      <c r="D91" s="330"/>
      <c r="E91" s="330"/>
      <c r="F91" s="330"/>
    </row>
    <row r="92" spans="1:6">
      <c r="A92" s="1288" t="s">
        <v>68</v>
      </c>
      <c r="B92" s="1289">
        <v>3272.6310531971553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3634</v>
      </c>
      <c r="C97" s="330"/>
      <c r="D97" s="330"/>
      <c r="E97" s="330"/>
      <c r="F97" s="330"/>
    </row>
    <row r="98" spans="1:6">
      <c r="A98" s="1293" t="s">
        <v>71</v>
      </c>
      <c r="B98" s="1294">
        <v>2</v>
      </c>
      <c r="C98" s="330"/>
      <c r="D98" s="330"/>
      <c r="E98" s="330"/>
      <c r="F98" s="330"/>
    </row>
    <row r="99" spans="1:6">
      <c r="A99" s="1293" t="s">
        <v>72</v>
      </c>
      <c r="B99" s="1294">
        <v>273</v>
      </c>
      <c r="C99" s="330"/>
      <c r="D99" s="330"/>
      <c r="E99" s="330"/>
      <c r="F99" s="330"/>
    </row>
    <row r="100" spans="1:6">
      <c r="A100" s="1293" t="s">
        <v>73</v>
      </c>
      <c r="B100" s="1294">
        <v>857</v>
      </c>
      <c r="C100" s="330"/>
      <c r="D100" s="330"/>
      <c r="E100" s="330"/>
      <c r="F100" s="330"/>
    </row>
    <row r="101" spans="1:6">
      <c r="A101" s="1293" t="s">
        <v>74</v>
      </c>
      <c r="B101" s="1294">
        <v>251</v>
      </c>
      <c r="C101" s="330"/>
      <c r="D101" s="330"/>
      <c r="E101" s="330"/>
      <c r="F101" s="330"/>
    </row>
    <row r="102" spans="1:6">
      <c r="A102" s="1293" t="s">
        <v>75</v>
      </c>
      <c r="B102" s="1294">
        <v>175</v>
      </c>
      <c r="C102" s="330"/>
      <c r="D102" s="330"/>
      <c r="E102" s="330"/>
      <c r="F102" s="330"/>
    </row>
    <row r="103" spans="1:6">
      <c r="A103" s="1293" t="s">
        <v>76</v>
      </c>
      <c r="B103" s="1294">
        <v>357</v>
      </c>
      <c r="C103" s="330"/>
      <c r="D103" s="330"/>
      <c r="E103" s="330"/>
      <c r="F103" s="330"/>
    </row>
    <row r="104" spans="1:6">
      <c r="A104" s="1293" t="s">
        <v>77</v>
      </c>
      <c r="B104" s="1294">
        <v>2984</v>
      </c>
      <c r="C104" s="330"/>
      <c r="D104" s="330"/>
      <c r="E104" s="330"/>
      <c r="F104" s="330"/>
    </row>
    <row r="105" spans="1:6">
      <c r="A105" s="1288" t="s">
        <v>78</v>
      </c>
      <c r="B105" s="1297">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58</v>
      </c>
      <c r="C123" s="1294">
        <v>67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280</v>
      </c>
      <c r="C129" s="330"/>
      <c r="D129" s="330"/>
      <c r="E129" s="330"/>
      <c r="F129" s="330"/>
    </row>
    <row r="130" spans="1:6">
      <c r="A130" s="1293" t="s">
        <v>294</v>
      </c>
      <c r="B130" s="1294">
        <v>9</v>
      </c>
      <c r="C130" s="330"/>
      <c r="D130" s="330"/>
      <c r="E130" s="330"/>
      <c r="F130" s="330"/>
    </row>
    <row r="131" spans="1:6">
      <c r="A131" s="1293" t="s">
        <v>295</v>
      </c>
      <c r="B131" s="1294">
        <v>5</v>
      </c>
      <c r="C131" s="330"/>
      <c r="D131" s="330"/>
      <c r="E131" s="330"/>
      <c r="F131" s="330"/>
    </row>
    <row r="132" spans="1:6">
      <c r="A132" s="1288" t="s">
        <v>296</v>
      </c>
      <c r="B132" s="1289">
        <v>38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113421.88594833751</v>
      </c>
      <c r="C3" s="43" t="s">
        <v>169</v>
      </c>
      <c r="D3" s="43"/>
      <c r="E3" s="154"/>
      <c r="F3" s="43"/>
      <c r="G3" s="43"/>
      <c r="H3" s="43"/>
      <c r="I3" s="43"/>
      <c r="J3" s="43"/>
      <c r="K3" s="96"/>
    </row>
    <row r="4" spans="1:11">
      <c r="A4" s="358" t="s">
        <v>170</v>
      </c>
      <c r="B4" s="49">
        <f>IF(ISERROR('SEAP template'!B78+'SEAP template'!C78),0,'SEAP template'!B78+'SEAP template'!C78)</f>
        <v>35674.221253268915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0.15148958028644038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1542.9860000000001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1542.9860000000001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0.15148958028644038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233.74630152785352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38470.859877285104</v>
      </c>
      <c r="C5" s="17">
        <f>IF(ISERROR('Eigen informatie GS &amp; warmtenet'!B57),0,'Eigen informatie GS &amp; warmtenet'!B57)</f>
        <v>0</v>
      </c>
      <c r="D5" s="30">
        <f>(SUM(HH_hh_gas_kWh,HH_rest_gas_kWh)/1000)*0.902</f>
        <v>90718.074568698605</v>
      </c>
      <c r="E5" s="17">
        <f>B46*B57</f>
        <v>29874.085971795557</v>
      </c>
      <c r="F5" s="17">
        <f>B51*B62</f>
        <v>12645.048016002733</v>
      </c>
      <c r="G5" s="18"/>
      <c r="H5" s="17"/>
      <c r="I5" s="17"/>
      <c r="J5" s="17">
        <f>B50*B61+C50*C61</f>
        <v>1256.7802820701631</v>
      </c>
      <c r="K5" s="17"/>
      <c r="L5" s="17"/>
      <c r="M5" s="17"/>
      <c r="N5" s="17">
        <f>B48*B59+C48*C59</f>
        <v>37856.624609809136</v>
      </c>
      <c r="O5" s="17">
        <f>B69*B70*B71</f>
        <v>544.04000000000008</v>
      </c>
      <c r="P5" s="17">
        <f>B77*B78*B79/1000-B77*B78*B79/1000/B80</f>
        <v>1849.4666666666667</v>
      </c>
    </row>
    <row r="6" spans="1:16">
      <c r="A6" s="16" t="s">
        <v>620</v>
      </c>
      <c r="B6" s="762">
        <f>kWh_PV_kleiner_dan_10kW</f>
        <v>4626.5253834721789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43097.385260757284</v>
      </c>
      <c r="C8" s="21">
        <f>C5</f>
        <v>0</v>
      </c>
      <c r="D8" s="21">
        <f>D5</f>
        <v>90718.074568698605</v>
      </c>
      <c r="E8" s="21">
        <f>E5</f>
        <v>29874.085971795557</v>
      </c>
      <c r="F8" s="21">
        <f>F5</f>
        <v>12645.048016002733</v>
      </c>
      <c r="G8" s="21"/>
      <c r="H8" s="21"/>
      <c r="I8" s="21"/>
      <c r="J8" s="21">
        <f>J5</f>
        <v>1256.7802820701631</v>
      </c>
      <c r="K8" s="21"/>
      <c r="L8" s="21">
        <f>L5</f>
        <v>0</v>
      </c>
      <c r="M8" s="21">
        <f>M5</f>
        <v>0</v>
      </c>
      <c r="N8" s="21">
        <f>N5</f>
        <v>37856.624609809136</v>
      </c>
      <c r="O8" s="21">
        <f>O5</f>
        <v>544.04000000000008</v>
      </c>
      <c r="P8" s="21">
        <f>P5</f>
        <v>1849.4666666666667</v>
      </c>
    </row>
    <row r="9" spans="1:16">
      <c r="B9" s="19"/>
      <c r="C9" s="19"/>
      <c r="D9" s="258"/>
      <c r="E9" s="19"/>
      <c r="F9" s="19"/>
      <c r="G9" s="19"/>
      <c r="H9" s="19"/>
      <c r="I9" s="19"/>
      <c r="J9" s="19"/>
      <c r="K9" s="19"/>
      <c r="L9" s="19"/>
      <c r="M9" s="19"/>
      <c r="N9" s="19"/>
      <c r="O9" s="19"/>
      <c r="P9" s="19"/>
    </row>
    <row r="10" spans="1:16">
      <c r="A10" s="24" t="s">
        <v>213</v>
      </c>
      <c r="B10" s="25">
        <f ca="1">'EF ele_warmte'!B12</f>
        <v>0.15148958028644038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6528.8048045951427</v>
      </c>
      <c r="C12" s="23">
        <f ca="1">C10*C8</f>
        <v>0</v>
      </c>
      <c r="D12" s="23">
        <f>D8*D10</f>
        <v>18325.051062877119</v>
      </c>
      <c r="E12" s="23">
        <f>E10*E8</f>
        <v>6781.4175155975918</v>
      </c>
      <c r="F12" s="23">
        <f>F10*F8</f>
        <v>3376.2278202727298</v>
      </c>
      <c r="G12" s="23"/>
      <c r="H12" s="23"/>
      <c r="I12" s="23"/>
      <c r="J12" s="23">
        <f>J10*J8</f>
        <v>444.90021985283772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780</v>
      </c>
      <c r="B28" s="37">
        <f>aantalHuishoudens</f>
        <v>9930</v>
      </c>
      <c r="C28" s="36"/>
      <c r="D28" s="228"/>
    </row>
    <row r="29" spans="1:7" s="15" customFormat="1">
      <c r="A29" s="230" t="s">
        <v>781</v>
      </c>
      <c r="B29" s="37">
        <f>SUM(HH_hh_gas_aantal,HH_rest_gas_aantal)</f>
        <v>6276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6276</v>
      </c>
      <c r="C32" s="167">
        <f>IF(ISERROR(B32/SUM($B$32,$B$34,$B$35,$B$36,$B$38,$B$39)*100),0,B32/SUM($B$32,$B$34,$B$35,$B$36,$B$38,$B$39)*100)</f>
        <v>63.825892403132315</v>
      </c>
      <c r="D32" s="233"/>
      <c r="G32" s="15"/>
    </row>
    <row r="33" spans="1:7">
      <c r="A33" s="171" t="s">
        <v>71</v>
      </c>
      <c r="B33" s="34" t="s">
        <v>110</v>
      </c>
      <c r="C33" s="167"/>
      <c r="D33" s="233"/>
      <c r="G33" s="15"/>
    </row>
    <row r="34" spans="1:7">
      <c r="A34" s="171" t="s">
        <v>72</v>
      </c>
      <c r="B34" s="33">
        <f>IF((($B$28-$B$32-$B$39-$B$77-$B$38)*C20/100)&lt;0,0,($B$28-$B$32-$B$39-$B$77-$B$38)*C20/100)</f>
        <v>564.97755249818965</v>
      </c>
      <c r="C34" s="167">
        <f>IF(ISERROR(B34/SUM($B$32,$B$34,$B$35,$B$36,$B$38,$B$39)*100),0,B34/SUM($B$32,$B$34,$B$35,$B$36,$B$38,$B$39)*100)</f>
        <v>5.7457292026664257</v>
      </c>
      <c r="D34" s="233"/>
      <c r="G34" s="15"/>
    </row>
    <row r="35" spans="1:7">
      <c r="A35" s="171" t="s">
        <v>73</v>
      </c>
      <c r="B35" s="33">
        <f>IF((($B$28-$B$32-$B$39-$B$77-$B$38)*C21/100)&lt;0,0,($B$28-$B$32-$B$39-$B$77-$B$38)*C21/100)</f>
        <v>1773.5742215785663</v>
      </c>
      <c r="C35" s="167">
        <f>IF(ISERROR(B35/SUM($B$32,$B$34,$B$35,$B$36,$B$38,$B$39)*100),0,B35/SUM($B$32,$B$34,$B$35,$B$36,$B$38,$B$39)*100)</f>
        <v>18.03695943840706</v>
      </c>
      <c r="D35" s="233"/>
      <c r="G35" s="15"/>
    </row>
    <row r="36" spans="1:7">
      <c r="A36" s="171" t="s">
        <v>74</v>
      </c>
      <c r="B36" s="33">
        <f>IF((($B$28-$B$32-$B$39-$B$77-$B$38)*C22/100)&lt;0,0,($B$28-$B$32-$B$39-$B$77-$B$38)*C22/100)</f>
        <v>519.44822592324408</v>
      </c>
      <c r="C36" s="167">
        <f>IF(ISERROR(B36/SUM($B$32,$B$34,$B$35,$B$36,$B$38,$B$39)*100),0,B36/SUM($B$32,$B$34,$B$35,$B$36,$B$38,$B$39)*100)</f>
        <v>5.2827034061145541</v>
      </c>
      <c r="D36" s="233"/>
      <c r="G36" s="15"/>
    </row>
    <row r="37" spans="1:7">
      <c r="A37" s="171" t="s">
        <v>75</v>
      </c>
      <c r="B37" s="34" t="s">
        <v>110</v>
      </c>
      <c r="C37" s="167"/>
      <c r="D37" s="173"/>
      <c r="G37" s="15"/>
    </row>
    <row r="38" spans="1:7">
      <c r="A38" s="171" t="s">
        <v>76</v>
      </c>
      <c r="B38" s="33">
        <f>IF((B24-(B29-B18)*0.1)&lt;0,0,B24-(B29-B18)*0.1)</f>
        <v>92.800000000000011</v>
      </c>
      <c r="C38" s="167">
        <f>IF(ISERROR(B38/SUM($B$32,$B$34,$B$35,$B$36,$B$38,$B$39)*100),0,B38/SUM($B$32,$B$34,$B$35,$B$36,$B$38,$B$39)*100)</f>
        <v>0.94376080545103236</v>
      </c>
      <c r="D38" s="234"/>
      <c r="G38" s="15"/>
    </row>
    <row r="39" spans="1:7">
      <c r="A39" s="171" t="s">
        <v>77</v>
      </c>
      <c r="B39" s="33">
        <f>IF((B25-(B29-B18))&lt;0,0,B25-(B29-B18)*0.9)</f>
        <v>606.19999999999982</v>
      </c>
      <c r="C39" s="167">
        <f>IF(ISERROR(B39/SUM($B$32,$B$34,$B$35,$B$36,$B$38,$B$39)*100),0,B39/SUM($B$32,$B$34,$B$35,$B$36,$B$38,$B$39)*100)</f>
        <v>6.1649547442286154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6276</v>
      </c>
      <c r="C44" s="34" t="s">
        <v>110</v>
      </c>
      <c r="D44" s="174"/>
    </row>
    <row r="45" spans="1:7">
      <c r="A45" s="171" t="s">
        <v>71</v>
      </c>
      <c r="B45" s="33" t="str">
        <f t="shared" si="0"/>
        <v>-</v>
      </c>
      <c r="C45" s="34" t="s">
        <v>110</v>
      </c>
      <c r="D45" s="174"/>
    </row>
    <row r="46" spans="1:7">
      <c r="A46" s="171" t="s">
        <v>72</v>
      </c>
      <c r="B46" s="33">
        <f t="shared" si="0"/>
        <v>564.97755249818965</v>
      </c>
      <c r="C46" s="34" t="s">
        <v>110</v>
      </c>
      <c r="D46" s="174"/>
    </row>
    <row r="47" spans="1:7">
      <c r="A47" s="171" t="s">
        <v>73</v>
      </c>
      <c r="B47" s="33">
        <f t="shared" si="0"/>
        <v>1773.5742215785663</v>
      </c>
      <c r="C47" s="34" t="s">
        <v>110</v>
      </c>
      <c r="D47" s="174"/>
    </row>
    <row r="48" spans="1:7">
      <c r="A48" s="171" t="s">
        <v>74</v>
      </c>
      <c r="B48" s="33">
        <f t="shared" si="0"/>
        <v>519.44822592324408</v>
      </c>
      <c r="C48" s="33">
        <f>B48*10</f>
        <v>5194.4822592324408</v>
      </c>
      <c r="D48" s="234"/>
    </row>
    <row r="49" spans="1:6">
      <c r="A49" s="171" t="s">
        <v>75</v>
      </c>
      <c r="B49" s="33" t="str">
        <f t="shared" si="0"/>
        <v>-</v>
      </c>
      <c r="C49" s="34" t="s">
        <v>110</v>
      </c>
      <c r="D49" s="234"/>
    </row>
    <row r="50" spans="1:6">
      <c r="A50" s="171" t="s">
        <v>76</v>
      </c>
      <c r="B50" s="33">
        <f t="shared" si="0"/>
        <v>92.800000000000011</v>
      </c>
      <c r="C50" s="33">
        <f>B50*2</f>
        <v>185.60000000000002</v>
      </c>
      <c r="D50" s="234"/>
    </row>
    <row r="51" spans="1:6">
      <c r="A51" s="171" t="s">
        <v>77</v>
      </c>
      <c r="B51" s="33">
        <f t="shared" si="0"/>
        <v>606.19999999999982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22159.119804345526</v>
      </c>
      <c r="C5" s="17">
        <f>IF(ISERROR('Eigen informatie GS &amp; warmtenet'!B58),0,'Eigen informatie GS &amp; warmtenet'!B58)</f>
        <v>0</v>
      </c>
      <c r="D5" s="30">
        <f>SUM(D6:D12)</f>
        <v>28762.140154200861</v>
      </c>
      <c r="E5" s="17">
        <f>SUM(E6:E12)</f>
        <v>385.28324430460606</v>
      </c>
      <c r="F5" s="17">
        <f>SUM(F6:F12)</f>
        <v>3963.9704962731757</v>
      </c>
      <c r="G5" s="18"/>
      <c r="H5" s="17"/>
      <c r="I5" s="17"/>
      <c r="J5" s="17">
        <f>SUM(J6:J12)</f>
        <v>6.2127696323075243E-2</v>
      </c>
      <c r="K5" s="17"/>
      <c r="L5" s="17"/>
      <c r="M5" s="17"/>
      <c r="N5" s="17">
        <f>SUM(N6:N12)</f>
        <v>2482.258523896578</v>
      </c>
      <c r="O5" s="17">
        <f>B38*B39*B40</f>
        <v>14.070000000000002</v>
      </c>
      <c r="P5" s="17">
        <f>B46*B47*B48/1000-B46*B47*B48/1000/B49</f>
        <v>95.333333333333343</v>
      </c>
      <c r="R5" s="32"/>
    </row>
    <row r="6" spans="1:18">
      <c r="A6" s="32" t="s">
        <v>53</v>
      </c>
      <c r="B6" s="37">
        <f>B26</f>
        <v>3339.2873457415003</v>
      </c>
      <c r="C6" s="33"/>
      <c r="D6" s="37">
        <f>IF(ISERROR(TER_kantoor_gas_kWh/1000),0,TER_kantoor_gas_kWh/1000)*0.902</f>
        <v>3312.6340189288721</v>
      </c>
      <c r="E6" s="33">
        <f>$C$26*'E Balans VL '!I12/100/3.6*1000000</f>
        <v>2.0929542453536107E-2</v>
      </c>
      <c r="F6" s="33">
        <f>$C$26*('E Balans VL '!L12+'E Balans VL '!N12)/100/3.6*1000000</f>
        <v>501.80157947731624</v>
      </c>
      <c r="G6" s="34"/>
      <c r="H6" s="33"/>
      <c r="I6" s="33"/>
      <c r="J6" s="33">
        <f>$C$26*('E Balans VL '!D12+'E Balans VL '!E12)/100/3.6*1000000</f>
        <v>0</v>
      </c>
      <c r="K6" s="33"/>
      <c r="L6" s="33"/>
      <c r="M6" s="33"/>
      <c r="N6" s="33">
        <f>$C$26*'E Balans VL '!Y12/100/3.6*1000000</f>
        <v>3.1935332425179976</v>
      </c>
      <c r="O6" s="33"/>
      <c r="P6" s="33"/>
      <c r="R6" s="32"/>
    </row>
    <row r="7" spans="1:18">
      <c r="A7" s="32" t="s">
        <v>52</v>
      </c>
      <c r="B7" s="37">
        <f t="shared" ref="B7:B12" si="0">B27</f>
        <v>2919.7946804244402</v>
      </c>
      <c r="C7" s="33"/>
      <c r="D7" s="37">
        <f>IF(ISERROR(TER_horeca_gas_kWh/1000),0,TER_horeca_gas_kWh/1000)*0.902</f>
        <v>2983.9513261373259</v>
      </c>
      <c r="E7" s="33">
        <f>$C$27*'E Balans VL '!I9/100/3.6*1000000</f>
        <v>41.810973478726559</v>
      </c>
      <c r="F7" s="33">
        <f>$C$27*('E Balans VL '!L9+'E Balans VL '!N9)/100/3.6*1000000</f>
        <v>369.74230508027898</v>
      </c>
      <c r="G7" s="34"/>
      <c r="H7" s="33"/>
      <c r="I7" s="33"/>
      <c r="J7" s="33">
        <f>$C$27*('E Balans VL '!D9+'E Balans VL '!E9)/100/3.6*1000000</f>
        <v>0</v>
      </c>
      <c r="K7" s="33"/>
      <c r="L7" s="33"/>
      <c r="M7" s="33"/>
      <c r="N7" s="33">
        <f>$C$27*'E Balans VL '!Y9/100/3.6*1000000</f>
        <v>0.8393765946753331</v>
      </c>
      <c r="O7" s="33"/>
      <c r="P7" s="33"/>
      <c r="R7" s="32"/>
    </row>
    <row r="8" spans="1:18">
      <c r="A8" s="6" t="s">
        <v>51</v>
      </c>
      <c r="B8" s="37">
        <f t="shared" si="0"/>
        <v>8260.543214337069</v>
      </c>
      <c r="C8" s="33"/>
      <c r="D8" s="37">
        <f>IF(ISERROR(TER_handel_gas_kWh/1000),0,TER_handel_gas_kWh/1000)*0.902</f>
        <v>6717.3441072500491</v>
      </c>
      <c r="E8" s="33">
        <f>$C$28*'E Balans VL '!I13/100/3.6*1000000</f>
        <v>299.60888373945312</v>
      </c>
      <c r="F8" s="33">
        <f>$C$28*('E Balans VL '!L13+'E Balans VL '!N13)/100/3.6*1000000</f>
        <v>1591.0642663992405</v>
      </c>
      <c r="G8" s="34"/>
      <c r="H8" s="33"/>
      <c r="I8" s="33"/>
      <c r="J8" s="33">
        <f>$C$28*('E Balans VL '!D13+'E Balans VL '!E13)/100/3.6*1000000</f>
        <v>0</v>
      </c>
      <c r="K8" s="33"/>
      <c r="L8" s="33"/>
      <c r="M8" s="33"/>
      <c r="N8" s="33">
        <f>$C$28*'E Balans VL '!Y13/100/3.6*1000000</f>
        <v>11.442753018083284</v>
      </c>
      <c r="O8" s="33"/>
      <c r="P8" s="33"/>
      <c r="R8" s="32"/>
    </row>
    <row r="9" spans="1:18">
      <c r="A9" s="32" t="s">
        <v>50</v>
      </c>
      <c r="B9" s="37">
        <f t="shared" si="0"/>
        <v>1893.43883020774</v>
      </c>
      <c r="C9" s="33"/>
      <c r="D9" s="37">
        <f>IF(ISERROR(TER_gezond_gas_kWh/1000),0,TER_gezond_gas_kWh/1000)*0.902</f>
        <v>3503.0537854233148</v>
      </c>
      <c r="E9" s="33">
        <f>$C$29*'E Balans VL '!I10/100/3.6*1000000</f>
        <v>0.11854796510212663</v>
      </c>
      <c r="F9" s="33">
        <f>$C$29*('E Balans VL '!L10+'E Balans VL '!N10)/100/3.6*1000000</f>
        <v>281.27610319957091</v>
      </c>
      <c r="G9" s="34"/>
      <c r="H9" s="33"/>
      <c r="I9" s="33"/>
      <c r="J9" s="33">
        <f>$C$29*('E Balans VL '!D10+'E Balans VL '!E10)/100/3.6*1000000</f>
        <v>0</v>
      </c>
      <c r="K9" s="33"/>
      <c r="L9" s="33"/>
      <c r="M9" s="33"/>
      <c r="N9" s="33">
        <f>$C$29*'E Balans VL '!Y10/100/3.6*1000000</f>
        <v>29.287894526883107</v>
      </c>
      <c r="O9" s="33"/>
      <c r="P9" s="33"/>
      <c r="R9" s="32"/>
    </row>
    <row r="10" spans="1:18">
      <c r="A10" s="32" t="s">
        <v>49</v>
      </c>
      <c r="B10" s="37">
        <f t="shared" si="0"/>
        <v>2543.5075419526302</v>
      </c>
      <c r="C10" s="33"/>
      <c r="D10" s="37">
        <f>IF(ISERROR(TER_ander_gas_kWh/1000),0,TER_ander_gas_kWh/1000)*0.902</f>
        <v>2269.8594635598201</v>
      </c>
      <c r="E10" s="33">
        <f>$C$30*'E Balans VL '!I14/100/3.6*1000000</f>
        <v>3.0317701004056299</v>
      </c>
      <c r="F10" s="33">
        <f>$C$30*('E Balans VL '!L14+'E Balans VL '!N14)/100/3.6*1000000</f>
        <v>665.49464843882106</v>
      </c>
      <c r="G10" s="34"/>
      <c r="H10" s="33"/>
      <c r="I10" s="33"/>
      <c r="J10" s="33">
        <f>$C$30*('E Balans VL '!D14+'E Balans VL '!E14)/100/3.6*1000000</f>
        <v>5.5209578461525952E-2</v>
      </c>
      <c r="K10" s="33"/>
      <c r="L10" s="33"/>
      <c r="M10" s="33"/>
      <c r="N10" s="33">
        <f>$C$30*'E Balans VL '!Y14/100/3.6*1000000</f>
        <v>2159.8843658726951</v>
      </c>
      <c r="O10" s="33"/>
      <c r="P10" s="33"/>
      <c r="R10" s="32"/>
    </row>
    <row r="11" spans="1:18">
      <c r="A11" s="32" t="s">
        <v>54</v>
      </c>
      <c r="B11" s="37">
        <f t="shared" si="0"/>
        <v>345.62241729016699</v>
      </c>
      <c r="C11" s="33"/>
      <c r="D11" s="37">
        <f>IF(ISERROR(TER_onderwijs_gas_kWh/1000),0,TER_onderwijs_gas_kWh/1000)*0.902</f>
        <v>489.64967465008203</v>
      </c>
      <c r="E11" s="33">
        <f>$C$31*'E Balans VL '!I11/100/3.6*1000000</f>
        <v>5.2148855990712484</v>
      </c>
      <c r="F11" s="33">
        <f>$C$31*('E Balans VL '!L11+'E Balans VL '!N11)/100/3.6*1000000</f>
        <v>60.558568991615715</v>
      </c>
      <c r="G11" s="34"/>
      <c r="H11" s="33"/>
      <c r="I11" s="33"/>
      <c r="J11" s="33">
        <f>$C$31*('E Balans VL '!D11+'E Balans VL '!E11)/100/3.6*1000000</f>
        <v>0</v>
      </c>
      <c r="K11" s="33"/>
      <c r="L11" s="33"/>
      <c r="M11" s="33"/>
      <c r="N11" s="33">
        <f>$C$31*'E Balans VL '!Y11/100/3.6*1000000</f>
        <v>0.97260775747130168</v>
      </c>
      <c r="O11" s="33"/>
      <c r="P11" s="33"/>
      <c r="R11" s="32"/>
    </row>
    <row r="12" spans="1:18">
      <c r="A12" s="32" t="s">
        <v>259</v>
      </c>
      <c r="B12" s="37">
        <f t="shared" si="0"/>
        <v>2856.9257743919798</v>
      </c>
      <c r="C12" s="33"/>
      <c r="D12" s="37">
        <f>IF(ISERROR(TER_rest_gas_kWh/1000),0,TER_rest_gas_kWh/1000)*0.902</f>
        <v>9485.6477782513975</v>
      </c>
      <c r="E12" s="33">
        <f>$C$32*'E Balans VL '!I8/100/3.6*1000000</f>
        <v>35.4772538793938</v>
      </c>
      <c r="F12" s="33">
        <f>$C$32*('E Balans VL '!L8+'E Balans VL '!N8)/100/3.6*1000000</f>
        <v>494.03302468633206</v>
      </c>
      <c r="G12" s="34"/>
      <c r="H12" s="33"/>
      <c r="I12" s="33"/>
      <c r="J12" s="33">
        <f>$C$32*('E Balans VL '!D8+'E Balans VL '!E8)/100/3.6*1000000</f>
        <v>6.9181178615492908E-3</v>
      </c>
      <c r="K12" s="33"/>
      <c r="L12" s="33"/>
      <c r="M12" s="33"/>
      <c r="N12" s="33">
        <f>$C$32*'E Balans VL '!Y8/100/3.6*1000000</f>
        <v>276.63799288425167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22159.119804345526</v>
      </c>
      <c r="C16" s="21">
        <f t="shared" ca="1" si="1"/>
        <v>0</v>
      </c>
      <c r="D16" s="21">
        <f t="shared" ca="1" si="1"/>
        <v>28762.140154200861</v>
      </c>
      <c r="E16" s="21">
        <f t="shared" si="1"/>
        <v>385.28324430460606</v>
      </c>
      <c r="F16" s="21">
        <f t="shared" ca="1" si="1"/>
        <v>3963.9704962731757</v>
      </c>
      <c r="G16" s="21">
        <f t="shared" si="1"/>
        <v>0</v>
      </c>
      <c r="H16" s="21">
        <f t="shared" si="1"/>
        <v>0</v>
      </c>
      <c r="I16" s="21">
        <f t="shared" si="1"/>
        <v>0</v>
      </c>
      <c r="J16" s="21">
        <f t="shared" si="1"/>
        <v>6.2127696323075243E-2</v>
      </c>
      <c r="K16" s="21">
        <f t="shared" si="1"/>
        <v>0</v>
      </c>
      <c r="L16" s="21">
        <f t="shared" ca="1" si="1"/>
        <v>0</v>
      </c>
      <c r="M16" s="21">
        <f t="shared" si="1"/>
        <v>0</v>
      </c>
      <c r="N16" s="21">
        <f t="shared" ca="1" si="1"/>
        <v>2482.258523896578</v>
      </c>
      <c r="O16" s="21">
        <f>O5</f>
        <v>14.070000000000002</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0.15148958028644038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3356.8757586772526</v>
      </c>
      <c r="C20" s="23">
        <f t="shared" ref="C20:P20" ca="1" si="2">C16*C18</f>
        <v>0</v>
      </c>
      <c r="D20" s="23">
        <f t="shared" ca="1" si="2"/>
        <v>5809.9523111485742</v>
      </c>
      <c r="E20" s="23">
        <f t="shared" si="2"/>
        <v>87.459296457145584</v>
      </c>
      <c r="F20" s="23">
        <f t="shared" ca="1" si="2"/>
        <v>1058.3801225049381</v>
      </c>
      <c r="G20" s="23">
        <f t="shared" si="2"/>
        <v>0</v>
      </c>
      <c r="H20" s="23">
        <f t="shared" si="2"/>
        <v>0</v>
      </c>
      <c r="I20" s="23">
        <f t="shared" si="2"/>
        <v>0</v>
      </c>
      <c r="J20" s="23">
        <f t="shared" si="2"/>
        <v>2.1993204498368633E-2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3339.2873457415003</v>
      </c>
      <c r="C26" s="39">
        <f>IF(ISERROR(B26*3.6/1000000/'E Balans VL '!Z12*100),0,B26*3.6/1000000/'E Balans VL '!Z12*100)</f>
        <v>7.0587244630530968E-2</v>
      </c>
      <c r="D26" s="237" t="s">
        <v>744</v>
      </c>
      <c r="F26" s="6"/>
    </row>
    <row r="27" spans="1:18">
      <c r="A27" s="231" t="s">
        <v>52</v>
      </c>
      <c r="B27" s="33">
        <f>IF(ISERROR(TER_horeca_ele_kWh/1000),0,TER_horeca_ele_kWh/1000)</f>
        <v>2919.7946804244402</v>
      </c>
      <c r="C27" s="39">
        <f>IF(ISERROR(B27*3.6/1000000/'E Balans VL '!Z9*100),0,B27*3.6/1000000/'E Balans VL '!Z9*100)</f>
        <v>0.23016632639482343</v>
      </c>
      <c r="D27" s="237" t="s">
        <v>744</v>
      </c>
      <c r="F27" s="6"/>
    </row>
    <row r="28" spans="1:18">
      <c r="A28" s="171" t="s">
        <v>51</v>
      </c>
      <c r="B28" s="33">
        <f>IF(ISERROR(TER_handel_ele_kWh/1000),0,TER_handel_ele_kWh/1000)</f>
        <v>8260.543214337069</v>
      </c>
      <c r="C28" s="39">
        <f>IF(ISERROR(B28*3.6/1000000/'E Balans VL '!Z13*100),0,B28*3.6/1000000/'E Balans VL '!Z13*100)</f>
        <v>0.23975434041466967</v>
      </c>
      <c r="D28" s="237" t="s">
        <v>744</v>
      </c>
      <c r="F28" s="6"/>
    </row>
    <row r="29" spans="1:18">
      <c r="A29" s="231" t="s">
        <v>50</v>
      </c>
      <c r="B29" s="33">
        <f>IF(ISERROR(TER_gezond_ele_kWh/1000),0,TER_gezond_ele_kWh/1000)</f>
        <v>1893.43883020774</v>
      </c>
      <c r="C29" s="39">
        <f>IF(ISERROR(B29*3.6/1000000/'E Balans VL '!Z10*100),0,B29*3.6/1000000/'E Balans VL '!Z10*100)</f>
        <v>0.19941019990715156</v>
      </c>
      <c r="D29" s="237" t="s">
        <v>744</v>
      </c>
      <c r="F29" s="6"/>
    </row>
    <row r="30" spans="1:18">
      <c r="A30" s="231" t="s">
        <v>49</v>
      </c>
      <c r="B30" s="33">
        <f>IF(ISERROR(TER_ander_ele_kWh/1000),0,TER_ander_ele_kWh/1000)</f>
        <v>2543.5075419526302</v>
      </c>
      <c r="C30" s="39">
        <f>IF(ISERROR(B30*3.6/1000000/'E Balans VL '!Z14*100),0,B30*3.6/1000000/'E Balans VL '!Z14*100)</f>
        <v>0.18760966874151605</v>
      </c>
      <c r="D30" s="237" t="s">
        <v>744</v>
      </c>
      <c r="F30" s="6"/>
    </row>
    <row r="31" spans="1:18">
      <c r="A31" s="231" t="s">
        <v>54</v>
      </c>
      <c r="B31" s="33">
        <f>IF(ISERROR(TER_onderwijs_ele_kWh/1000),0,TER_onderwijs_ele_kWh/1000)</f>
        <v>345.62241729016699</v>
      </c>
      <c r="C31" s="39">
        <f>IF(ISERROR(B31*3.6/1000000/'E Balans VL '!Z11*100),0,B31*3.6/1000000/'E Balans VL '!Z11*100)</f>
        <v>8.5834236120631333E-2</v>
      </c>
      <c r="D31" s="237" t="s">
        <v>744</v>
      </c>
    </row>
    <row r="32" spans="1:18">
      <c r="A32" s="231" t="s">
        <v>259</v>
      </c>
      <c r="B32" s="33">
        <f>IF(ISERROR(TER_rest_ele_kWh/1000),0,TER_rest_ele_kWh/1000)</f>
        <v>2856.9257743919798</v>
      </c>
      <c r="C32" s="39">
        <f>IF(ISERROR(B32*3.6/1000000/'E Balans VL '!Z8*100),0,B32*3.6/1000000/'E Balans VL '!Z8*100)</f>
        <v>2.3508706939765946E-2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39338.826002513299</v>
      </c>
      <c r="C5" s="17">
        <f>IF(ISERROR('Eigen informatie GS &amp; warmtenet'!B59),0,'Eigen informatie GS &amp; warmtenet'!B59)</f>
        <v>0</v>
      </c>
      <c r="D5" s="30">
        <f>SUM(D6:D15)</f>
        <v>16823.258177529387</v>
      </c>
      <c r="E5" s="17">
        <f>SUM(E6:E15)</f>
        <v>3182.4399435224905</v>
      </c>
      <c r="F5" s="17">
        <f>SUM(F6:F15)</f>
        <v>10448.237965139171</v>
      </c>
      <c r="G5" s="18"/>
      <c r="H5" s="17"/>
      <c r="I5" s="17"/>
      <c r="J5" s="17">
        <f>SUM(J6:J15)</f>
        <v>115.77764344949226</v>
      </c>
      <c r="K5" s="17"/>
      <c r="L5" s="17"/>
      <c r="M5" s="17"/>
      <c r="N5" s="17">
        <f>SUM(N6:N15)</f>
        <v>2793.5112573241759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888.14727150131398</v>
      </c>
      <c r="C8" s="33"/>
      <c r="D8" s="37">
        <f>IF( ISERROR(IND_metaal_Gas_kWH/1000),0,IND_metaal_Gas_kWH/1000)*0.902</f>
        <v>43.990706413233433</v>
      </c>
      <c r="E8" s="33">
        <f>C30*'E Balans VL '!I18/100/3.6*1000000</f>
        <v>8.1656563806622486</v>
      </c>
      <c r="F8" s="33">
        <f>C30*'E Balans VL '!L18/100/3.6*1000000+C30*'E Balans VL '!N18/100/3.6*1000000</f>
        <v>83.278644651003134</v>
      </c>
      <c r="G8" s="34"/>
      <c r="H8" s="33"/>
      <c r="I8" s="33"/>
      <c r="J8" s="40">
        <f>C30*'E Balans VL '!D18/100/3.6*1000000+C30*'E Balans VL '!E18/100/3.6*1000000</f>
        <v>0</v>
      </c>
      <c r="K8" s="33"/>
      <c r="L8" s="33"/>
      <c r="M8" s="33"/>
      <c r="N8" s="33">
        <f>C30*'E Balans VL '!Y18/100/3.6*1000000</f>
        <v>12.670888553139847</v>
      </c>
      <c r="O8" s="33"/>
      <c r="P8" s="33"/>
      <c r="R8" s="32"/>
    </row>
    <row r="9" spans="1:18">
      <c r="A9" s="6" t="s">
        <v>32</v>
      </c>
      <c r="B9" s="37">
        <f t="shared" si="0"/>
        <v>4737.7239603698599</v>
      </c>
      <c r="C9" s="33"/>
      <c r="D9" s="37">
        <f>IF( ISERROR(IND_andere_gas_kWh/1000),0,IND_andere_gas_kWh/1000)*0.902</f>
        <v>4434.1176963204971</v>
      </c>
      <c r="E9" s="33">
        <f>C31*'E Balans VL '!I19/100/3.6*1000000</f>
        <v>1384.9289462228455</v>
      </c>
      <c r="F9" s="33">
        <f>C31*'E Balans VL '!L19/100/3.6*1000000+C31*'E Balans VL '!N19/100/3.6*1000000</f>
        <v>3807.1198149095185</v>
      </c>
      <c r="G9" s="34"/>
      <c r="H9" s="33"/>
      <c r="I9" s="33"/>
      <c r="J9" s="40">
        <f>C31*'E Balans VL '!D19/100/3.6*1000000+C31*'E Balans VL '!E19/100/3.6*1000000</f>
        <v>0</v>
      </c>
      <c r="K9" s="33"/>
      <c r="L9" s="33"/>
      <c r="M9" s="33"/>
      <c r="N9" s="33">
        <f>C31*'E Balans VL '!Y19/100/3.6*1000000</f>
        <v>371.62063282221351</v>
      </c>
      <c r="O9" s="33"/>
      <c r="P9" s="33"/>
      <c r="R9" s="32"/>
    </row>
    <row r="10" spans="1:18">
      <c r="A10" s="6" t="s">
        <v>40</v>
      </c>
      <c r="B10" s="37">
        <f t="shared" si="0"/>
        <v>1211.9242492127701</v>
      </c>
      <c r="C10" s="33"/>
      <c r="D10" s="37">
        <f>IF( ISERROR(IND_voed_gas_kWh/1000),0,IND_voed_gas_kWh/1000)*0.902</f>
        <v>1477.6002495951318</v>
      </c>
      <c r="E10" s="33">
        <f>C32*'E Balans VL '!I20/100/3.6*1000000</f>
        <v>2.5638445403176586</v>
      </c>
      <c r="F10" s="33">
        <f>C32*'E Balans VL '!L20/100/3.6*1000000+C32*'E Balans VL '!N20/100/3.6*1000000</f>
        <v>77.055381709266328</v>
      </c>
      <c r="G10" s="34"/>
      <c r="H10" s="33"/>
      <c r="I10" s="33"/>
      <c r="J10" s="40">
        <f>C32*'E Balans VL '!D20/100/3.6*1000000+C32*'E Balans VL '!E20/100/3.6*1000000</f>
        <v>0</v>
      </c>
      <c r="K10" s="33"/>
      <c r="L10" s="33"/>
      <c r="M10" s="33"/>
      <c r="N10" s="33">
        <f>C32*'E Balans VL '!Y20/100/3.6*1000000</f>
        <v>83.634732756399231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297.12079281375702</v>
      </c>
      <c r="C12" s="33"/>
      <c r="D12" s="37">
        <f>IF( ISERROR(IND_min_gas_kWh/1000),0,IND_min_gas_kWh/1000)*0.902</f>
        <v>0</v>
      </c>
      <c r="E12" s="33">
        <f>C34*'E Balans VL '!I22/100/3.6*1000000</f>
        <v>8.6123083400396627</v>
      </c>
      <c r="F12" s="33">
        <f>C34*'E Balans VL '!L22/100/3.6*1000000+C34*'E Balans VL '!N22/100/3.6*1000000</f>
        <v>102.15348610915827</v>
      </c>
      <c r="G12" s="34"/>
      <c r="H12" s="33"/>
      <c r="I12" s="33"/>
      <c r="J12" s="40">
        <f>C34*'E Balans VL '!D22/100/3.6*1000000+C34*'E Balans VL '!E22/100/3.6*1000000</f>
        <v>0.48825899860837008</v>
      </c>
      <c r="K12" s="33"/>
      <c r="L12" s="33"/>
      <c r="M12" s="33"/>
      <c r="N12" s="33">
        <f>C34*'E Balans VL '!Y22/100/3.6*1000000</f>
        <v>65.044624219466442</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32203.909728615599</v>
      </c>
      <c r="C15" s="33"/>
      <c r="D15" s="37">
        <f>IF( ISERROR(IND_rest_gas_kWh/1000),0,IND_rest_gas_kWh/1000)*0.902</f>
        <v>10867.549525200524</v>
      </c>
      <c r="E15" s="33">
        <f>C37*'E Balans VL '!I15/100/3.6*1000000</f>
        <v>1778.1691880386252</v>
      </c>
      <c r="F15" s="33">
        <f>C37*'E Balans VL '!L15/100/3.6*1000000+C37*'E Balans VL '!N15/100/3.6*1000000</f>
        <v>6378.630637760225</v>
      </c>
      <c r="G15" s="34"/>
      <c r="H15" s="33"/>
      <c r="I15" s="33"/>
      <c r="J15" s="40">
        <f>C37*'E Balans VL '!D15/100/3.6*1000000+C37*'E Balans VL '!E15/100/3.6*1000000</f>
        <v>115.28938445088389</v>
      </c>
      <c r="K15" s="33"/>
      <c r="L15" s="33"/>
      <c r="M15" s="33"/>
      <c r="N15" s="33">
        <f>C37*'E Balans VL '!Y15/100/3.6*1000000</f>
        <v>2260.5403789729571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39338.826002513299</v>
      </c>
      <c r="C18" s="21">
        <f>C5+C16</f>
        <v>0</v>
      </c>
      <c r="D18" s="21">
        <f>MAX((D5+D16),0)</f>
        <v>16823.258177529387</v>
      </c>
      <c r="E18" s="21">
        <f>MAX((E5+E16),0)</f>
        <v>3182.4399435224905</v>
      </c>
      <c r="F18" s="21">
        <f>MAX((F5+F16),0)</f>
        <v>10448.237965139171</v>
      </c>
      <c r="G18" s="21"/>
      <c r="H18" s="21"/>
      <c r="I18" s="21"/>
      <c r="J18" s="21">
        <f>MAX((J5+J16),0)</f>
        <v>115.77764344949226</v>
      </c>
      <c r="K18" s="21"/>
      <c r="L18" s="21">
        <f>MAX((L5+L16),0)</f>
        <v>0</v>
      </c>
      <c r="M18" s="21"/>
      <c r="N18" s="21">
        <f>MAX((N5+N16),0)</f>
        <v>2793.5112573241759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0.15148958028644038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5959.4222400820472</v>
      </c>
      <c r="C22" s="23">
        <f ca="1">C18*C20</f>
        <v>0</v>
      </c>
      <c r="D22" s="23">
        <f>D18*D20</f>
        <v>3398.2981518609363</v>
      </c>
      <c r="E22" s="23">
        <f>E18*E20</f>
        <v>722.4138671796054</v>
      </c>
      <c r="F22" s="23">
        <f>F18*F20</f>
        <v>2789.6795366921588</v>
      </c>
      <c r="G22" s="23"/>
      <c r="H22" s="23"/>
      <c r="I22" s="23"/>
      <c r="J22" s="23">
        <f>J18*J20</f>
        <v>40.985285781120261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888.14727150131398</v>
      </c>
      <c r="C30" s="39">
        <f>IF(ISERROR(B30*3.6/1000000/'E Balans VL '!Z18*100),0,B30*3.6/1000000/'E Balans VL '!Z18*100)</f>
        <v>5.0333583234533866E-2</v>
      </c>
      <c r="D30" s="237" t="s">
        <v>744</v>
      </c>
    </row>
    <row r="31" spans="1:18">
      <c r="A31" s="6" t="s">
        <v>32</v>
      </c>
      <c r="B31" s="37">
        <f>IF( ISERROR(IND_ander_ele_kWh/1000),0,IND_ander_ele_kWh/1000)</f>
        <v>4737.7239603698599</v>
      </c>
      <c r="C31" s="39">
        <f>IF(ISERROR(B31*3.6/1000000/'E Balans VL '!Z19*100),0,B31*3.6/1000000/'E Balans VL '!Z19*100)</f>
        <v>0.21488343130315765</v>
      </c>
      <c r="D31" s="237" t="s">
        <v>744</v>
      </c>
    </row>
    <row r="32" spans="1:18">
      <c r="A32" s="171" t="s">
        <v>40</v>
      </c>
      <c r="B32" s="37">
        <f>IF( ISERROR(IND_voed_ele_kWh/1000),0,IND_voed_ele_kWh/1000)</f>
        <v>1211.9242492127701</v>
      </c>
      <c r="C32" s="39">
        <f>IF(ISERROR(B32*3.6/1000000/'E Balans VL '!Z20*100),0,B32*3.6/1000000/'E Balans VL '!Z20*100)</f>
        <v>3.7490318699706052E-2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297.12079281375702</v>
      </c>
      <c r="C34" s="39">
        <f>IF(ISERROR(B34*3.6/1000000/'E Balans VL '!Z22*100),0,B34*3.6/1000000/'E Balans VL '!Z22*100)</f>
        <v>5.3442760565221625E-2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32203.909728615599</v>
      </c>
      <c r="C37" s="39">
        <f>IF(ISERROR(B37*3.6/1000000/'E Balans VL '!Z15*100),0,B37*3.6/1000000/'E Balans VL '!Z15*100)</f>
        <v>0.25525553476183621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5151.449598707828</v>
      </c>
      <c r="C5" s="17">
        <f>'Eigen informatie GS &amp; warmtenet'!B60</f>
        <v>0</v>
      </c>
      <c r="D5" s="30">
        <f>IF(ISERROR(SUM(LB_lb_gas_kWh,LB_rest_gas_kWh)/1000),0,SUM(LB_lb_gas_kWh,LB_rest_gas_kWh)/1000)*0.902</f>
        <v>277.01212037391434</v>
      </c>
      <c r="E5" s="17">
        <f>B17*'E Balans VL '!I25/3.6*1000000/100</f>
        <v>151.41683804917898</v>
      </c>
      <c r="F5" s="17">
        <f>B17*('E Balans VL '!L25/3.6*1000000+'E Balans VL '!N25/3.6*1000000)/100</f>
        <v>21460.660658491473</v>
      </c>
      <c r="G5" s="18"/>
      <c r="H5" s="17"/>
      <c r="I5" s="17"/>
      <c r="J5" s="17">
        <f>('E Balans VL '!D25+'E Balans VL '!E25)/3.6*1000000*landbouw!B17/100</f>
        <v>746.33441820627831</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5151.449598707828</v>
      </c>
      <c r="C8" s="21">
        <f>C5+C6</f>
        <v>62.357142857142847</v>
      </c>
      <c r="D8" s="21">
        <f>MAX((D5+D6),0)</f>
        <v>277.01212037391434</v>
      </c>
      <c r="E8" s="21">
        <f>MAX((E5+E6),0)</f>
        <v>151.41683804917898</v>
      </c>
      <c r="F8" s="21">
        <f>MAX((F5+F6),0)</f>
        <v>21460.660658491473</v>
      </c>
      <c r="G8" s="21"/>
      <c r="H8" s="21"/>
      <c r="I8" s="21"/>
      <c r="J8" s="21">
        <f>MAX((J5+J6),0)</f>
        <v>746.33441820627831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0.15148958028644038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780.39093757500063</v>
      </c>
      <c r="C12" s="23">
        <f ca="1">C8*C10</f>
        <v>0</v>
      </c>
      <c r="D12" s="23">
        <f>D8*D10</f>
        <v>55.9564483155307</v>
      </c>
      <c r="E12" s="23">
        <f>E8*E10</f>
        <v>34.371622237163628</v>
      </c>
      <c r="F12" s="23">
        <f>F8*F10</f>
        <v>5729.9963958172239</v>
      </c>
      <c r="G12" s="23"/>
      <c r="H12" s="23"/>
      <c r="I12" s="23"/>
      <c r="J12" s="23">
        <f>J8*J10</f>
        <v>264.20238404502248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0.73100686023686046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1357.9146563322288</v>
      </c>
      <c r="C26" s="247">
        <f>B26*'GWP N2O_CH4'!B5</f>
        <v>28516.207782976806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417.5736897350626</v>
      </c>
      <c r="C27" s="247">
        <f>B27*'GWP N2O_CH4'!B5</f>
        <v>8769.0474844363143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17.026425225833407</v>
      </c>
      <c r="C28" s="247">
        <f>B28*'GWP N2O_CH4'!B4</f>
        <v>5278.1918200083564</v>
      </c>
      <c r="D28" s="50"/>
    </row>
    <row r="29" spans="1:4">
      <c r="A29" s="41" t="s">
        <v>276</v>
      </c>
      <c r="B29" s="247">
        <f>B34*'ha_N2O bodem landbouw'!B4</f>
        <v>42.147164964539243</v>
      </c>
      <c r="C29" s="247">
        <f>B29*'GWP N2O_CH4'!B4</f>
        <v>13065.621139007166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9.6178377993158346E-3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2.849553580480311E-4</v>
      </c>
      <c r="C5" s="437" t="s">
        <v>210</v>
      </c>
      <c r="D5" s="422">
        <f>SUM(D6:D11)</f>
        <v>8.0126105754179517E-4</v>
      </c>
      <c r="E5" s="422">
        <f>SUM(E6:E11)</f>
        <v>1.3705465476503561E-3</v>
      </c>
      <c r="F5" s="435" t="s">
        <v>210</v>
      </c>
      <c r="G5" s="422">
        <f>SUM(G6:G11)</f>
        <v>0.64831155294609444</v>
      </c>
      <c r="H5" s="422">
        <f>SUM(H6:H11)</f>
        <v>0.13553693140985673</v>
      </c>
      <c r="I5" s="437" t="s">
        <v>210</v>
      </c>
      <c r="J5" s="437" t="s">
        <v>210</v>
      </c>
      <c r="K5" s="437" t="s">
        <v>210</v>
      </c>
      <c r="L5" s="437" t="s">
        <v>210</v>
      </c>
      <c r="M5" s="422">
        <f>SUM(M6:M11)</f>
        <v>4.1868127735325888E-2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2.1497028449270398E-4</v>
      </c>
      <c r="C6" s="423"/>
      <c r="D6" s="865">
        <f>vkm_GW_PW*SUMIFS(TableVerdeelsleutelVkm[CNG],TableVerdeelsleutelVkm[Voertuigtype],"Lichte voertuigen")*SUMIFS(TableECFTransport[EnergieConsumptieFactor (PJ per km)],TableECFTransport[Index],CONCATENATE($A6,"_CNG_CNG"))</f>
        <v>5.3274885393917229E-4</v>
      </c>
      <c r="E6" s="865">
        <f>vkm_GW_PW*SUMIFS(TableVerdeelsleutelVkm[LPG],TableVerdeelsleutelVkm[Voertuigtype],"Lichte voertuigen")*SUMIFS(TableECFTransport[EnergieConsumptieFactor (PJ per km)],TableECFTransport[Index],CONCATENATE($A6,"_LPG_LPG"))</f>
        <v>9.1459674746430372E-4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0.28024572515872265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9.0516255800104223E-2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1.903835773187806E-2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0.18962348571459062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3.1720559954564752E-6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1.1078857586817106E-2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5.5591485695434701E-5</v>
      </c>
      <c r="C8" s="423"/>
      <c r="D8" s="425">
        <f>vkm_NGW_PW*SUMIFS(TableVerdeelsleutelVkm[CNG],TableVerdeelsleutelVkm[Voertuigtype],"Lichte voertuigen")*SUMIFS(TableECFTransport[EnergieConsumptieFactor (PJ per km)],TableECFTransport[Index],CONCATENATE($A8,"_CNG_CNG"))</f>
        <v>2.3285996592408329E-4</v>
      </c>
      <c r="E8" s="425">
        <f>vkm_NGW_PW*SUMIFS(TableVerdeelsleutelVkm[LPG],TableVerdeelsleutelVkm[Voertuigtype],"Lichte voertuigen")*SUMIFS(TableECFTransport[EnergieConsumptieFactor (PJ per km)],TableECFTransport[Index],CONCATENATE($A8,"_LPG_LPG"))</f>
        <v>3.7963717106744542E-4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0.10942044300440694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3.8693691059177159E-2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7.5321176246131178E-3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2.946680905190336E-2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6.0722081972909739E-7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1.7216180679831368E-3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1.4393587859892402E-5</v>
      </c>
      <c r="C10" s="423"/>
      <c r="D10" s="425">
        <f>vkm_SW_PW*SUMIFS(TableVerdeelsleutelVkm[CNG],TableVerdeelsleutelVkm[Voertuigtype],"Lichte voertuigen")*SUMIFS(TableECFTransport[EnergieConsumptieFactor (PJ per km)],TableECFTransport[Index],CONCATENATE($A10,"_CNG_CNG"))</f>
        <v>3.5652237678539526E-5</v>
      </c>
      <c r="E10" s="425">
        <f>vkm_SW_PW*SUMIFS(TableVerdeelsleutelVkm[LPG],TableVerdeelsleutelVkm[Voertuigtype],"Lichte voertuigen")*SUMIFS(TableECFTransport[EnergieConsumptieFactor (PJ per km)],TableECFTransport[Index],CONCATENATE($A10,"_LPG_LPG"))</f>
        <v>7.6312629118607019E-5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2.0919476801532878E-2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6.322873190510404E-3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1.4083800612785769E-3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1.8635613214938097E-2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3.3208324977355969E-7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1.088796662755889E-3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79.154266124453088</v>
      </c>
      <c r="C14" s="21"/>
      <c r="D14" s="21">
        <f t="shared" ref="D14:M14" si="0">((D5)*10^9/3600)+D12</f>
        <v>222.57251598383201</v>
      </c>
      <c r="E14" s="21">
        <f t="shared" si="0"/>
        <v>380.70737434732115</v>
      </c>
      <c r="F14" s="21"/>
      <c r="G14" s="21">
        <f t="shared" si="0"/>
        <v>180086.54248502621</v>
      </c>
      <c r="H14" s="21">
        <f t="shared" si="0"/>
        <v>37649.147613849091</v>
      </c>
      <c r="I14" s="21"/>
      <c r="J14" s="21"/>
      <c r="K14" s="21"/>
      <c r="L14" s="21"/>
      <c r="M14" s="21">
        <f t="shared" si="0"/>
        <v>11630.035482034969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0.15148958028644038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11.991046553074604</v>
      </c>
      <c r="C18" s="23"/>
      <c r="D18" s="23">
        <f t="shared" ref="D18:M18" si="1">D14*D16</f>
        <v>44.959648228734068</v>
      </c>
      <c r="E18" s="23">
        <f t="shared" si="1"/>
        <v>86.420573976841908</v>
      </c>
      <c r="F18" s="23"/>
      <c r="G18" s="23">
        <f t="shared" si="1"/>
        <v>48083.106843501999</v>
      </c>
      <c r="H18" s="23">
        <f t="shared" si="1"/>
        <v>9374.6377558484237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5.0513701727781437E-3</v>
      </c>
      <c r="H50" s="319">
        <f t="shared" si="2"/>
        <v>0</v>
      </c>
      <c r="I50" s="319">
        <f t="shared" si="2"/>
        <v>0</v>
      </c>
      <c r="J50" s="319">
        <f t="shared" si="2"/>
        <v>0</v>
      </c>
      <c r="K50" s="319">
        <f t="shared" si="2"/>
        <v>0</v>
      </c>
      <c r="L50" s="319">
        <f t="shared" si="2"/>
        <v>0</v>
      </c>
      <c r="M50" s="319">
        <f t="shared" si="2"/>
        <v>2.8687385431146704E-4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5.0513701727781437E-3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2.8687385431146704E-4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1403.1583813272621</v>
      </c>
      <c r="H54" s="21">
        <f t="shared" si="3"/>
        <v>0</v>
      </c>
      <c r="I54" s="21">
        <f t="shared" si="3"/>
        <v>0</v>
      </c>
      <c r="J54" s="21">
        <f t="shared" si="3"/>
        <v>0</v>
      </c>
      <c r="K54" s="21">
        <f t="shared" si="3"/>
        <v>0</v>
      </c>
      <c r="L54" s="21">
        <f t="shared" si="3"/>
        <v>0</v>
      </c>
      <c r="M54" s="21">
        <f t="shared" si="3"/>
        <v>79.687181753185286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0.15148958028644038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374.64328781437899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23702.105804345527</v>
      </c>
      <c r="D10" s="979">
        <f ca="1">tertiair!C16</f>
        <v>0</v>
      </c>
      <c r="E10" s="979">
        <f ca="1">tertiair!D16</f>
        <v>28762.140154200861</v>
      </c>
      <c r="F10" s="979">
        <f>tertiair!E16</f>
        <v>385.28324430460606</v>
      </c>
      <c r="G10" s="979">
        <f ca="1">tertiair!F16</f>
        <v>3963.9704962731757</v>
      </c>
      <c r="H10" s="979">
        <f>tertiair!G16</f>
        <v>0</v>
      </c>
      <c r="I10" s="979">
        <f>tertiair!H16</f>
        <v>0</v>
      </c>
      <c r="J10" s="979">
        <f>tertiair!I16</f>
        <v>0</v>
      </c>
      <c r="K10" s="979">
        <f>tertiair!J16</f>
        <v>6.2127696323075243E-2</v>
      </c>
      <c r="L10" s="979">
        <f>tertiair!K16</f>
        <v>0</v>
      </c>
      <c r="M10" s="979">
        <f ca="1">tertiair!L16</f>
        <v>0</v>
      </c>
      <c r="N10" s="979">
        <f>tertiair!M16</f>
        <v>0</v>
      </c>
      <c r="O10" s="979">
        <f ca="1">tertiair!N16</f>
        <v>2482.258523896578</v>
      </c>
      <c r="P10" s="979">
        <f>tertiair!O16</f>
        <v>14.070000000000002</v>
      </c>
      <c r="Q10" s="980">
        <f>tertiair!P16</f>
        <v>95.333333333333343</v>
      </c>
      <c r="R10" s="674">
        <f ca="1">SUM(C10:Q10)</f>
        <v>59405.223684050405</v>
      </c>
      <c r="S10" s="67"/>
    </row>
    <row r="11" spans="1:19" s="447" customFormat="1">
      <c r="A11" s="783" t="s">
        <v>224</v>
      </c>
      <c r="B11" s="788"/>
      <c r="C11" s="979">
        <f>huishoudens!B8</f>
        <v>43097.385260757284</v>
      </c>
      <c r="D11" s="979">
        <f>huishoudens!C8</f>
        <v>0</v>
      </c>
      <c r="E11" s="979">
        <f>huishoudens!D8</f>
        <v>90718.074568698605</v>
      </c>
      <c r="F11" s="979">
        <f>huishoudens!E8</f>
        <v>29874.085971795557</v>
      </c>
      <c r="G11" s="979">
        <f>huishoudens!F8</f>
        <v>12645.048016002733</v>
      </c>
      <c r="H11" s="979">
        <f>huishoudens!G8</f>
        <v>0</v>
      </c>
      <c r="I11" s="979">
        <f>huishoudens!H8</f>
        <v>0</v>
      </c>
      <c r="J11" s="979">
        <f>huishoudens!I8</f>
        <v>0</v>
      </c>
      <c r="K11" s="979">
        <f>huishoudens!J8</f>
        <v>1256.7802820701631</v>
      </c>
      <c r="L11" s="979">
        <f>huishoudens!K8</f>
        <v>0</v>
      </c>
      <c r="M11" s="979">
        <f>huishoudens!L8</f>
        <v>0</v>
      </c>
      <c r="N11" s="979">
        <f>huishoudens!M8</f>
        <v>0</v>
      </c>
      <c r="O11" s="979">
        <f>huishoudens!N8</f>
        <v>37856.624609809136</v>
      </c>
      <c r="P11" s="979">
        <f>huishoudens!O8</f>
        <v>544.04000000000008</v>
      </c>
      <c r="Q11" s="980">
        <f>huishoudens!P8</f>
        <v>1849.4666666666667</v>
      </c>
      <c r="R11" s="674">
        <f>SUM(C11:Q11)</f>
        <v>217841.50537580013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39338.826002513299</v>
      </c>
      <c r="D13" s="979">
        <f>industrie!C18</f>
        <v>0</v>
      </c>
      <c r="E13" s="979">
        <f>industrie!D18</f>
        <v>16823.258177529387</v>
      </c>
      <c r="F13" s="979">
        <f>industrie!E18</f>
        <v>3182.4399435224905</v>
      </c>
      <c r="G13" s="979">
        <f>industrie!F18</f>
        <v>10448.237965139171</v>
      </c>
      <c r="H13" s="979">
        <f>industrie!G18</f>
        <v>0</v>
      </c>
      <c r="I13" s="979">
        <f>industrie!H18</f>
        <v>0</v>
      </c>
      <c r="J13" s="979">
        <f>industrie!I18</f>
        <v>0</v>
      </c>
      <c r="K13" s="979">
        <f>industrie!J18</f>
        <v>115.77764344949226</v>
      </c>
      <c r="L13" s="979">
        <f>industrie!K18</f>
        <v>0</v>
      </c>
      <c r="M13" s="979">
        <f>industrie!L18</f>
        <v>0</v>
      </c>
      <c r="N13" s="979">
        <f>industrie!M18</f>
        <v>0</v>
      </c>
      <c r="O13" s="979">
        <f>industrie!N18</f>
        <v>2793.5112573241759</v>
      </c>
      <c r="P13" s="979">
        <f>industrie!O18</f>
        <v>0</v>
      </c>
      <c r="Q13" s="980">
        <f>industrie!P18</f>
        <v>0</v>
      </c>
      <c r="R13" s="674">
        <f>SUM(C13:Q13)</f>
        <v>72702.050989478012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106138.3170676161</v>
      </c>
      <c r="D16" s="706">
        <f t="shared" ref="D16:R16" ca="1" si="0">SUM(D9:D15)</f>
        <v>0</v>
      </c>
      <c r="E16" s="706">
        <f t="shared" ca="1" si="0"/>
        <v>136303.47290042884</v>
      </c>
      <c r="F16" s="706">
        <f t="shared" si="0"/>
        <v>33441.809159622651</v>
      </c>
      <c r="G16" s="706">
        <f t="shared" ca="1" si="0"/>
        <v>27057.256477415078</v>
      </c>
      <c r="H16" s="706">
        <f t="shared" si="0"/>
        <v>0</v>
      </c>
      <c r="I16" s="706">
        <f t="shared" si="0"/>
        <v>0</v>
      </c>
      <c r="J16" s="706">
        <f t="shared" si="0"/>
        <v>0</v>
      </c>
      <c r="K16" s="706">
        <f t="shared" si="0"/>
        <v>1372.6200532159785</v>
      </c>
      <c r="L16" s="706">
        <f t="shared" si="0"/>
        <v>0</v>
      </c>
      <c r="M16" s="706">
        <f t="shared" ca="1" si="0"/>
        <v>0</v>
      </c>
      <c r="N16" s="706">
        <f t="shared" si="0"/>
        <v>0</v>
      </c>
      <c r="O16" s="706">
        <f t="shared" ca="1" si="0"/>
        <v>43132.394391029891</v>
      </c>
      <c r="P16" s="706">
        <f t="shared" si="0"/>
        <v>558.11000000000013</v>
      </c>
      <c r="Q16" s="706">
        <f t="shared" si="0"/>
        <v>1944.8</v>
      </c>
      <c r="R16" s="706">
        <f t="shared" ca="1" si="0"/>
        <v>349948.78004932858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1403.1583813272621</v>
      </c>
      <c r="I19" s="979">
        <f>transport!H54</f>
        <v>0</v>
      </c>
      <c r="J19" s="979">
        <f>transport!I54</f>
        <v>0</v>
      </c>
      <c r="K19" s="979">
        <f>transport!J54</f>
        <v>0</v>
      </c>
      <c r="L19" s="979">
        <f>transport!K54</f>
        <v>0</v>
      </c>
      <c r="M19" s="979">
        <f>transport!L54</f>
        <v>0</v>
      </c>
      <c r="N19" s="979">
        <f>transport!M54</f>
        <v>79.687181753185286</v>
      </c>
      <c r="O19" s="979">
        <f>transport!N54</f>
        <v>0</v>
      </c>
      <c r="P19" s="979">
        <f>transport!O54</f>
        <v>0</v>
      </c>
      <c r="Q19" s="980">
        <f>transport!P54</f>
        <v>0</v>
      </c>
      <c r="R19" s="674">
        <f>SUM(C19:Q19)</f>
        <v>1482.8455630804474</v>
      </c>
      <c r="S19" s="67"/>
    </row>
    <row r="20" spans="1:19" s="447" customFormat="1">
      <c r="A20" s="783" t="s">
        <v>306</v>
      </c>
      <c r="B20" s="788"/>
      <c r="C20" s="979">
        <f>transport!B14</f>
        <v>79.154266124453088</v>
      </c>
      <c r="D20" s="979">
        <f>transport!C14</f>
        <v>0</v>
      </c>
      <c r="E20" s="979">
        <f>transport!D14</f>
        <v>222.57251598383201</v>
      </c>
      <c r="F20" s="979">
        <f>transport!E14</f>
        <v>380.70737434732115</v>
      </c>
      <c r="G20" s="979">
        <f>transport!F14</f>
        <v>0</v>
      </c>
      <c r="H20" s="979">
        <f>transport!G14</f>
        <v>180086.54248502621</v>
      </c>
      <c r="I20" s="979">
        <f>transport!H14</f>
        <v>37649.147613849091</v>
      </c>
      <c r="J20" s="979">
        <f>transport!I14</f>
        <v>0</v>
      </c>
      <c r="K20" s="979">
        <f>transport!J14</f>
        <v>0</v>
      </c>
      <c r="L20" s="979">
        <f>transport!K14</f>
        <v>0</v>
      </c>
      <c r="M20" s="979">
        <f>transport!L14</f>
        <v>0</v>
      </c>
      <c r="N20" s="979">
        <f>transport!M14</f>
        <v>11630.035482034969</v>
      </c>
      <c r="O20" s="979">
        <f>transport!N14</f>
        <v>0</v>
      </c>
      <c r="P20" s="979">
        <f>transport!O14</f>
        <v>0</v>
      </c>
      <c r="Q20" s="980">
        <f>transport!P14</f>
        <v>0</v>
      </c>
      <c r="R20" s="674">
        <f>SUM(C20:Q20)</f>
        <v>230048.15973736584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79.154266124453088</v>
      </c>
      <c r="D22" s="786">
        <f t="shared" ref="D22:R22" si="1">SUM(D18:D21)</f>
        <v>0</v>
      </c>
      <c r="E22" s="786">
        <f t="shared" si="1"/>
        <v>222.57251598383201</v>
      </c>
      <c r="F22" s="786">
        <f t="shared" si="1"/>
        <v>380.70737434732115</v>
      </c>
      <c r="G22" s="786">
        <f t="shared" si="1"/>
        <v>0</v>
      </c>
      <c r="H22" s="786">
        <f t="shared" si="1"/>
        <v>181489.70086635347</v>
      </c>
      <c r="I22" s="786">
        <f t="shared" si="1"/>
        <v>37649.147613849091</v>
      </c>
      <c r="J22" s="786">
        <f t="shared" si="1"/>
        <v>0</v>
      </c>
      <c r="K22" s="786">
        <f t="shared" si="1"/>
        <v>0</v>
      </c>
      <c r="L22" s="786">
        <f t="shared" si="1"/>
        <v>0</v>
      </c>
      <c r="M22" s="786">
        <f t="shared" si="1"/>
        <v>0</v>
      </c>
      <c r="N22" s="786">
        <f t="shared" si="1"/>
        <v>11709.722663788154</v>
      </c>
      <c r="O22" s="786">
        <f t="shared" si="1"/>
        <v>0</v>
      </c>
      <c r="P22" s="786">
        <f t="shared" si="1"/>
        <v>0</v>
      </c>
      <c r="Q22" s="786">
        <f t="shared" si="1"/>
        <v>0</v>
      </c>
      <c r="R22" s="786">
        <f t="shared" si="1"/>
        <v>231531.0053004463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5151.449598707828</v>
      </c>
      <c r="D24" s="979">
        <f>+landbouw!C8</f>
        <v>62.357142857142847</v>
      </c>
      <c r="E24" s="979">
        <f>+landbouw!D8</f>
        <v>277.01212037391434</v>
      </c>
      <c r="F24" s="979">
        <f>+landbouw!E8</f>
        <v>151.41683804917898</v>
      </c>
      <c r="G24" s="979">
        <f>+landbouw!F8</f>
        <v>21460.660658491473</v>
      </c>
      <c r="H24" s="979">
        <f>+landbouw!G8</f>
        <v>0</v>
      </c>
      <c r="I24" s="979">
        <f>+landbouw!H8</f>
        <v>0</v>
      </c>
      <c r="J24" s="979">
        <f>+landbouw!I8</f>
        <v>0</v>
      </c>
      <c r="K24" s="979">
        <f>+landbouw!J8</f>
        <v>746.33441820627831</v>
      </c>
      <c r="L24" s="979">
        <f>+landbouw!K8</f>
        <v>0</v>
      </c>
      <c r="M24" s="979">
        <f>+landbouw!L8</f>
        <v>0</v>
      </c>
      <c r="N24" s="979">
        <f>+landbouw!M8</f>
        <v>0</v>
      </c>
      <c r="O24" s="979">
        <f>+landbouw!N8</f>
        <v>0</v>
      </c>
      <c r="P24" s="979">
        <f>+landbouw!O8</f>
        <v>0</v>
      </c>
      <c r="Q24" s="980">
        <f>+landbouw!P8</f>
        <v>0</v>
      </c>
      <c r="R24" s="674">
        <f>SUM(C24:Q24)</f>
        <v>27849.230776685818</v>
      </c>
      <c r="S24" s="67"/>
    </row>
    <row r="25" spans="1:19" s="447" customFormat="1" ht="15" thickBot="1">
      <c r="A25" s="805" t="s">
        <v>823</v>
      </c>
      <c r="B25" s="982"/>
      <c r="C25" s="983">
        <f>IF(Onbekend_ele_kWh="---",0,Onbekend_ele_kWh)/1000+IF(REST_rest_ele_kWh="---",0,REST_rest_ele_kWh)/1000</f>
        <v>2052.96501588913</v>
      </c>
      <c r="D25" s="983"/>
      <c r="E25" s="983">
        <f>IF(onbekend_gas_kWh="---",0,onbekend_gas_kWh)/1000+IF(REST_rest_gas_kWh="---",0,REST_rest_gas_kWh)/1000</f>
        <v>2539.6797560464802</v>
      </c>
      <c r="F25" s="983"/>
      <c r="G25" s="983"/>
      <c r="H25" s="983"/>
      <c r="I25" s="983"/>
      <c r="J25" s="983"/>
      <c r="K25" s="983"/>
      <c r="L25" s="983"/>
      <c r="M25" s="983"/>
      <c r="N25" s="983"/>
      <c r="O25" s="983"/>
      <c r="P25" s="983"/>
      <c r="Q25" s="984"/>
      <c r="R25" s="674">
        <f>SUM(C25:Q25)</f>
        <v>4592.6447719356102</v>
      </c>
      <c r="S25" s="67"/>
    </row>
    <row r="26" spans="1:19" s="447" customFormat="1" ht="15.75" thickBot="1">
      <c r="A26" s="679" t="s">
        <v>824</v>
      </c>
      <c r="B26" s="791"/>
      <c r="C26" s="786">
        <f>SUM(C24:C25)</f>
        <v>7204.414614596958</v>
      </c>
      <c r="D26" s="786">
        <f t="shared" ref="D26:R26" si="2">SUM(D24:D25)</f>
        <v>62.357142857142847</v>
      </c>
      <c r="E26" s="786">
        <f t="shared" si="2"/>
        <v>2816.6918764203947</v>
      </c>
      <c r="F26" s="786">
        <f t="shared" si="2"/>
        <v>151.41683804917898</v>
      </c>
      <c r="G26" s="786">
        <f t="shared" si="2"/>
        <v>21460.660658491473</v>
      </c>
      <c r="H26" s="786">
        <f t="shared" si="2"/>
        <v>0</v>
      </c>
      <c r="I26" s="786">
        <f t="shared" si="2"/>
        <v>0</v>
      </c>
      <c r="J26" s="786">
        <f t="shared" si="2"/>
        <v>0</v>
      </c>
      <c r="K26" s="786">
        <f t="shared" si="2"/>
        <v>746.33441820627831</v>
      </c>
      <c r="L26" s="786">
        <f t="shared" si="2"/>
        <v>0</v>
      </c>
      <c r="M26" s="786">
        <f t="shared" si="2"/>
        <v>0</v>
      </c>
      <c r="N26" s="786">
        <f t="shared" si="2"/>
        <v>0</v>
      </c>
      <c r="O26" s="786">
        <f t="shared" si="2"/>
        <v>0</v>
      </c>
      <c r="P26" s="786">
        <f t="shared" si="2"/>
        <v>0</v>
      </c>
      <c r="Q26" s="786">
        <f t="shared" si="2"/>
        <v>0</v>
      </c>
      <c r="R26" s="786">
        <f t="shared" si="2"/>
        <v>32441.875548621429</v>
      </c>
      <c r="S26" s="67"/>
    </row>
    <row r="27" spans="1:19" s="447" customFormat="1" ht="17.25" thickTop="1" thickBot="1">
      <c r="A27" s="680" t="s">
        <v>115</v>
      </c>
      <c r="B27" s="779"/>
      <c r="C27" s="681">
        <f ca="1">C22+C16+C26</f>
        <v>113421.88594833751</v>
      </c>
      <c r="D27" s="681">
        <f t="shared" ref="D27:R27" ca="1" si="3">D22+D16+D26</f>
        <v>62.357142857142847</v>
      </c>
      <c r="E27" s="681">
        <f t="shared" ca="1" si="3"/>
        <v>139342.73729283307</v>
      </c>
      <c r="F27" s="681">
        <f t="shared" si="3"/>
        <v>33973.93337201915</v>
      </c>
      <c r="G27" s="681">
        <f t="shared" ca="1" si="3"/>
        <v>48517.917135906551</v>
      </c>
      <c r="H27" s="681">
        <f t="shared" si="3"/>
        <v>181489.70086635347</v>
      </c>
      <c r="I27" s="681">
        <f t="shared" si="3"/>
        <v>37649.147613849091</v>
      </c>
      <c r="J27" s="681">
        <f t="shared" si="3"/>
        <v>0</v>
      </c>
      <c r="K27" s="681">
        <f t="shared" si="3"/>
        <v>2118.9544714222566</v>
      </c>
      <c r="L27" s="681">
        <f t="shared" si="3"/>
        <v>0</v>
      </c>
      <c r="M27" s="681">
        <f t="shared" ca="1" si="3"/>
        <v>0</v>
      </c>
      <c r="N27" s="681">
        <f t="shared" si="3"/>
        <v>11709.722663788154</v>
      </c>
      <c r="O27" s="681">
        <f t="shared" ca="1" si="3"/>
        <v>43132.394391029891</v>
      </c>
      <c r="P27" s="681">
        <f t="shared" si="3"/>
        <v>558.11000000000013</v>
      </c>
      <c r="Q27" s="681">
        <f t="shared" si="3"/>
        <v>1944.8</v>
      </c>
      <c r="R27" s="681">
        <f t="shared" ca="1" si="3"/>
        <v>613921.66089839628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3590.6220602051062</v>
      </c>
      <c r="D40" s="979">
        <f ca="1">tertiair!C20</f>
        <v>0</v>
      </c>
      <c r="E40" s="979">
        <f ca="1">tertiair!D20</f>
        <v>5809.9523111485742</v>
      </c>
      <c r="F40" s="979">
        <f>tertiair!E20</f>
        <v>87.459296457145584</v>
      </c>
      <c r="G40" s="979">
        <f ca="1">tertiair!F20</f>
        <v>1058.3801225049381</v>
      </c>
      <c r="H40" s="979">
        <f>tertiair!G20</f>
        <v>0</v>
      </c>
      <c r="I40" s="979">
        <f>tertiair!H20</f>
        <v>0</v>
      </c>
      <c r="J40" s="979">
        <f>tertiair!I20</f>
        <v>0</v>
      </c>
      <c r="K40" s="979">
        <f>tertiair!J20</f>
        <v>2.1993204498368633E-2</v>
      </c>
      <c r="L40" s="979">
        <f>tertiair!K20</f>
        <v>0</v>
      </c>
      <c r="M40" s="979">
        <f ca="1">tertiair!L20</f>
        <v>0</v>
      </c>
      <c r="N40" s="979">
        <f>tertiair!M20</f>
        <v>0</v>
      </c>
      <c r="O40" s="979">
        <f ca="1">tertiair!N20</f>
        <v>0</v>
      </c>
      <c r="P40" s="979">
        <f>tertiair!O20</f>
        <v>0</v>
      </c>
      <c r="Q40" s="748">
        <f>tertiair!P20</f>
        <v>0</v>
      </c>
      <c r="R40" s="824">
        <f t="shared" ca="1" si="4"/>
        <v>10546.435783520261</v>
      </c>
    </row>
    <row r="41" spans="1:18">
      <c r="A41" s="796" t="s">
        <v>224</v>
      </c>
      <c r="B41" s="803"/>
      <c r="C41" s="979">
        <f ca="1">huishoudens!B12</f>
        <v>6528.8048045951427</v>
      </c>
      <c r="D41" s="979">
        <f ca="1">huishoudens!C12</f>
        <v>0</v>
      </c>
      <c r="E41" s="979">
        <f>huishoudens!D12</f>
        <v>18325.051062877119</v>
      </c>
      <c r="F41" s="979">
        <f>huishoudens!E12</f>
        <v>6781.4175155975918</v>
      </c>
      <c r="G41" s="979">
        <f>huishoudens!F12</f>
        <v>3376.2278202727298</v>
      </c>
      <c r="H41" s="979">
        <f>huishoudens!G12</f>
        <v>0</v>
      </c>
      <c r="I41" s="979">
        <f>huishoudens!H12</f>
        <v>0</v>
      </c>
      <c r="J41" s="979">
        <f>huishoudens!I12</f>
        <v>0</v>
      </c>
      <c r="K41" s="979">
        <f>huishoudens!J12</f>
        <v>444.90021985283772</v>
      </c>
      <c r="L41" s="979">
        <f>huishoudens!K12</f>
        <v>0</v>
      </c>
      <c r="M41" s="979">
        <f>huishoudens!L12</f>
        <v>0</v>
      </c>
      <c r="N41" s="979">
        <f>huishoudens!M12</f>
        <v>0</v>
      </c>
      <c r="O41" s="979">
        <f>huishoudens!N12</f>
        <v>0</v>
      </c>
      <c r="P41" s="979">
        <f>huishoudens!O12</f>
        <v>0</v>
      </c>
      <c r="Q41" s="748">
        <f>huishoudens!P12</f>
        <v>0</v>
      </c>
      <c r="R41" s="824">
        <f t="shared" ca="1" si="4"/>
        <v>35456.401423195428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5959.4222400820472</v>
      </c>
      <c r="D43" s="979">
        <f ca="1">industrie!C22</f>
        <v>0</v>
      </c>
      <c r="E43" s="979">
        <f>industrie!D22</f>
        <v>3398.2981518609363</v>
      </c>
      <c r="F43" s="979">
        <f>industrie!E22</f>
        <v>722.4138671796054</v>
      </c>
      <c r="G43" s="979">
        <f>industrie!F22</f>
        <v>2789.6795366921588</v>
      </c>
      <c r="H43" s="979">
        <f>industrie!G22</f>
        <v>0</v>
      </c>
      <c r="I43" s="979">
        <f>industrie!H22</f>
        <v>0</v>
      </c>
      <c r="J43" s="979">
        <f>industrie!I22</f>
        <v>0</v>
      </c>
      <c r="K43" s="979">
        <f>industrie!J22</f>
        <v>40.985285781120261</v>
      </c>
      <c r="L43" s="979">
        <f>industrie!K22</f>
        <v>0</v>
      </c>
      <c r="M43" s="979">
        <f>industrie!L22</f>
        <v>0</v>
      </c>
      <c r="N43" s="979">
        <f>industrie!M22</f>
        <v>0</v>
      </c>
      <c r="O43" s="979">
        <f>industrie!N22</f>
        <v>0</v>
      </c>
      <c r="P43" s="979">
        <f>industrie!O22</f>
        <v>0</v>
      </c>
      <c r="Q43" s="748">
        <f>industrie!P22</f>
        <v>0</v>
      </c>
      <c r="R43" s="823">
        <f t="shared" ca="1" si="4"/>
        <v>12910.799081595866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16078.849104882296</v>
      </c>
      <c r="D46" s="706">
        <f t="shared" ref="D46:Q46" ca="1" si="5">SUM(D39:D45)</f>
        <v>0</v>
      </c>
      <c r="E46" s="706">
        <f t="shared" ca="1" si="5"/>
        <v>27533.301525886629</v>
      </c>
      <c r="F46" s="706">
        <f t="shared" si="5"/>
        <v>7591.2906792343429</v>
      </c>
      <c r="G46" s="706">
        <f t="shared" ca="1" si="5"/>
        <v>7224.2874794698264</v>
      </c>
      <c r="H46" s="706">
        <f t="shared" si="5"/>
        <v>0</v>
      </c>
      <c r="I46" s="706">
        <f t="shared" si="5"/>
        <v>0</v>
      </c>
      <c r="J46" s="706">
        <f t="shared" si="5"/>
        <v>0</v>
      </c>
      <c r="K46" s="706">
        <f t="shared" si="5"/>
        <v>485.90749883845632</v>
      </c>
      <c r="L46" s="706">
        <f t="shared" si="5"/>
        <v>0</v>
      </c>
      <c r="M46" s="706">
        <f t="shared" ca="1" si="5"/>
        <v>0</v>
      </c>
      <c r="N46" s="706">
        <f t="shared" si="5"/>
        <v>0</v>
      </c>
      <c r="O46" s="706">
        <f t="shared" ca="1" si="5"/>
        <v>0</v>
      </c>
      <c r="P46" s="706">
        <f t="shared" si="5"/>
        <v>0</v>
      </c>
      <c r="Q46" s="706">
        <f t="shared" si="5"/>
        <v>0</v>
      </c>
      <c r="R46" s="706">
        <f ca="1">SUM(R39:R45)</f>
        <v>58913.636288311551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374.64328781437899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374.64328781437899</v>
      </c>
    </row>
    <row r="50" spans="1:18">
      <c r="A50" s="799" t="s">
        <v>306</v>
      </c>
      <c r="B50" s="809"/>
      <c r="C50" s="677">
        <f ca="1">transport!B18</f>
        <v>11.991046553074604</v>
      </c>
      <c r="D50" s="677">
        <f>transport!C18</f>
        <v>0</v>
      </c>
      <c r="E50" s="677">
        <f>transport!D18</f>
        <v>44.959648228734068</v>
      </c>
      <c r="F50" s="677">
        <f>transport!E18</f>
        <v>86.420573976841908</v>
      </c>
      <c r="G50" s="677">
        <f>transport!F18</f>
        <v>0</v>
      </c>
      <c r="H50" s="677">
        <f>transport!G18</f>
        <v>48083.106843501999</v>
      </c>
      <c r="I50" s="677">
        <f>transport!H18</f>
        <v>9374.6377558484237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57601.115868109075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11.991046553074604</v>
      </c>
      <c r="D52" s="706">
        <f t="shared" ref="D52:Q52" ca="1" si="6">SUM(D48:D51)</f>
        <v>0</v>
      </c>
      <c r="E52" s="706">
        <f t="shared" si="6"/>
        <v>44.959648228734068</v>
      </c>
      <c r="F52" s="706">
        <f t="shared" si="6"/>
        <v>86.420573976841908</v>
      </c>
      <c r="G52" s="706">
        <f t="shared" si="6"/>
        <v>0</v>
      </c>
      <c r="H52" s="706">
        <f t="shared" si="6"/>
        <v>48457.750131316381</v>
      </c>
      <c r="I52" s="706">
        <f t="shared" si="6"/>
        <v>9374.6377558484237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57975.759155923457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780.39093757500063</v>
      </c>
      <c r="D54" s="677">
        <f ca="1">+landbouw!C12</f>
        <v>0</v>
      </c>
      <c r="E54" s="677">
        <f>+landbouw!D12</f>
        <v>55.9564483155307</v>
      </c>
      <c r="F54" s="677">
        <f>+landbouw!E12</f>
        <v>34.371622237163628</v>
      </c>
      <c r="G54" s="677">
        <f>+landbouw!F12</f>
        <v>5729.9963958172239</v>
      </c>
      <c r="H54" s="677">
        <f>+landbouw!G12</f>
        <v>0</v>
      </c>
      <c r="I54" s="677">
        <f>+landbouw!H12</f>
        <v>0</v>
      </c>
      <c r="J54" s="677">
        <f>+landbouw!I12</f>
        <v>0</v>
      </c>
      <c r="K54" s="677">
        <f>+landbouw!J12</f>
        <v>264.20238404502248</v>
      </c>
      <c r="L54" s="677">
        <f>+landbouw!K12</f>
        <v>0</v>
      </c>
      <c r="M54" s="677">
        <f>+landbouw!L12</f>
        <v>0</v>
      </c>
      <c r="N54" s="677">
        <f>+landbouw!M12</f>
        <v>0</v>
      </c>
      <c r="O54" s="677">
        <f>+landbouw!N12</f>
        <v>0</v>
      </c>
      <c r="P54" s="677">
        <f>+landbouw!O12</f>
        <v>0</v>
      </c>
      <c r="Q54" s="678">
        <f>+landbouw!P12</f>
        <v>0</v>
      </c>
      <c r="R54" s="705">
        <f ca="1">SUM(C54:Q54)</f>
        <v>6864.9177879899416</v>
      </c>
    </row>
    <row r="55" spans="1:18" ht="15" thickBot="1">
      <c r="A55" s="799" t="s">
        <v>823</v>
      </c>
      <c r="B55" s="809"/>
      <c r="C55" s="677">
        <f ca="1">C25*'EF ele_warmte'!B12</f>
        <v>311.00280859978972</v>
      </c>
      <c r="D55" s="677"/>
      <c r="E55" s="677">
        <f>E25*EF_CO2_aardgas</f>
        <v>513.01531072138903</v>
      </c>
      <c r="F55" s="677"/>
      <c r="G55" s="677"/>
      <c r="H55" s="677"/>
      <c r="I55" s="677"/>
      <c r="J55" s="677"/>
      <c r="K55" s="677"/>
      <c r="L55" s="677"/>
      <c r="M55" s="677"/>
      <c r="N55" s="677"/>
      <c r="O55" s="677"/>
      <c r="P55" s="677"/>
      <c r="Q55" s="678"/>
      <c r="R55" s="705">
        <f ca="1">SUM(C55:Q55)</f>
        <v>824.0181193211788</v>
      </c>
    </row>
    <row r="56" spans="1:18" ht="15.75" thickBot="1">
      <c r="A56" s="797" t="s">
        <v>824</v>
      </c>
      <c r="B56" s="810"/>
      <c r="C56" s="706">
        <f ca="1">SUM(C54:C55)</f>
        <v>1091.3937461747903</v>
      </c>
      <c r="D56" s="706">
        <f t="shared" ref="D56:Q56" ca="1" si="7">SUM(D54:D55)</f>
        <v>0</v>
      </c>
      <c r="E56" s="706">
        <f t="shared" si="7"/>
        <v>568.97175903691971</v>
      </c>
      <c r="F56" s="706">
        <f t="shared" si="7"/>
        <v>34.371622237163628</v>
      </c>
      <c r="G56" s="706">
        <f t="shared" si="7"/>
        <v>5729.9963958172239</v>
      </c>
      <c r="H56" s="706">
        <f t="shared" si="7"/>
        <v>0</v>
      </c>
      <c r="I56" s="706">
        <f t="shared" si="7"/>
        <v>0</v>
      </c>
      <c r="J56" s="706">
        <f t="shared" si="7"/>
        <v>0</v>
      </c>
      <c r="K56" s="706">
        <f t="shared" si="7"/>
        <v>264.20238404502248</v>
      </c>
      <c r="L56" s="706">
        <f t="shared" si="7"/>
        <v>0</v>
      </c>
      <c r="M56" s="706">
        <f t="shared" si="7"/>
        <v>0</v>
      </c>
      <c r="N56" s="706">
        <f t="shared" si="7"/>
        <v>0</v>
      </c>
      <c r="O56" s="706">
        <f t="shared" si="7"/>
        <v>0</v>
      </c>
      <c r="P56" s="706">
        <f t="shared" si="7"/>
        <v>0</v>
      </c>
      <c r="Q56" s="707">
        <f t="shared" si="7"/>
        <v>0</v>
      </c>
      <c r="R56" s="708">
        <f ca="1">SUM(R54:R55)</f>
        <v>7688.9359073111209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17182.23389761016</v>
      </c>
      <c r="D61" s="714">
        <f t="shared" ref="D61:Q61" ca="1" si="8">D46+D52+D56</f>
        <v>0</v>
      </c>
      <c r="E61" s="714">
        <f t="shared" ca="1" si="8"/>
        <v>28147.232933152281</v>
      </c>
      <c r="F61" s="714">
        <f t="shared" si="8"/>
        <v>7712.0828754483491</v>
      </c>
      <c r="G61" s="714">
        <f t="shared" ca="1" si="8"/>
        <v>12954.28387528705</v>
      </c>
      <c r="H61" s="714">
        <f t="shared" si="8"/>
        <v>48457.750131316381</v>
      </c>
      <c r="I61" s="714">
        <f t="shared" si="8"/>
        <v>9374.6377558484237</v>
      </c>
      <c r="J61" s="714">
        <f t="shared" si="8"/>
        <v>0</v>
      </c>
      <c r="K61" s="714">
        <f t="shared" si="8"/>
        <v>750.1098828834788</v>
      </c>
      <c r="L61" s="714">
        <f t="shared" si="8"/>
        <v>0</v>
      </c>
      <c r="M61" s="714">
        <f t="shared" ca="1" si="8"/>
        <v>0</v>
      </c>
      <c r="N61" s="714">
        <f t="shared" si="8"/>
        <v>0</v>
      </c>
      <c r="O61" s="714">
        <f t="shared" ca="1" si="8"/>
        <v>0</v>
      </c>
      <c r="P61" s="714">
        <f t="shared" si="8"/>
        <v>0</v>
      </c>
      <c r="Q61" s="714">
        <f t="shared" si="8"/>
        <v>0</v>
      </c>
      <c r="R61" s="714">
        <f ca="1">R46+R52+R56</f>
        <v>124578.33135154613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0.15148958028644038</v>
      </c>
      <c r="D63" s="755">
        <f t="shared" ca="1" si="9"/>
        <v>0</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27731.414816599579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7899.1564366693347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35674.221253268915</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27731.414816599579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7899.1564366693347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35674.221253268915</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43010</v>
      </c>
      <c r="C28" s="770">
        <v>9991</v>
      </c>
      <c r="D28" s="627" t="s">
        <v>887</v>
      </c>
      <c r="E28" s="626" t="s">
        <v>888</v>
      </c>
      <c r="F28" s="626" t="s">
        <v>889</v>
      </c>
      <c r="G28" s="626" t="s">
        <v>890</v>
      </c>
      <c r="H28" s="626" t="s">
        <v>891</v>
      </c>
      <c r="I28" s="626" t="s">
        <v>888</v>
      </c>
      <c r="J28" s="769">
        <v>41174</v>
      </c>
      <c r="K28" s="769">
        <v>41275</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43097.385260757284</v>
      </c>
      <c r="C4" s="451">
        <f>huishoudens!C8</f>
        <v>0</v>
      </c>
      <c r="D4" s="451">
        <f>huishoudens!D8</f>
        <v>90718.074568698605</v>
      </c>
      <c r="E4" s="451">
        <f>huishoudens!E8</f>
        <v>29874.085971795557</v>
      </c>
      <c r="F4" s="451">
        <f>huishoudens!F8</f>
        <v>12645.048016002733</v>
      </c>
      <c r="G4" s="451">
        <f>huishoudens!G8</f>
        <v>0</v>
      </c>
      <c r="H4" s="451">
        <f>huishoudens!H8</f>
        <v>0</v>
      </c>
      <c r="I4" s="451">
        <f>huishoudens!I8</f>
        <v>0</v>
      </c>
      <c r="J4" s="451">
        <f>huishoudens!J8</f>
        <v>1256.7802820701631</v>
      </c>
      <c r="K4" s="451">
        <f>huishoudens!K8</f>
        <v>0</v>
      </c>
      <c r="L4" s="451">
        <f>huishoudens!L8</f>
        <v>0</v>
      </c>
      <c r="M4" s="451">
        <f>huishoudens!M8</f>
        <v>0</v>
      </c>
      <c r="N4" s="451">
        <f>huishoudens!N8</f>
        <v>37856.624609809136</v>
      </c>
      <c r="O4" s="451">
        <f>huishoudens!O8</f>
        <v>544.04000000000008</v>
      </c>
      <c r="P4" s="452">
        <f>huishoudens!P8</f>
        <v>1849.4666666666667</v>
      </c>
      <c r="Q4" s="453">
        <f>SUM(B4:P4)</f>
        <v>217841.50537580013</v>
      </c>
    </row>
    <row r="5" spans="1:17">
      <c r="A5" s="450" t="s">
        <v>155</v>
      </c>
      <c r="B5" s="451">
        <f ca="1">tertiair!B16</f>
        <v>22159.119804345526</v>
      </c>
      <c r="C5" s="451">
        <f ca="1">tertiair!C16</f>
        <v>0</v>
      </c>
      <c r="D5" s="451">
        <f ca="1">tertiair!D16</f>
        <v>28762.140154200861</v>
      </c>
      <c r="E5" s="451">
        <f>tertiair!E16</f>
        <v>385.28324430460606</v>
      </c>
      <c r="F5" s="451">
        <f ca="1">tertiair!F16</f>
        <v>3963.9704962731757</v>
      </c>
      <c r="G5" s="451">
        <f>tertiair!G16</f>
        <v>0</v>
      </c>
      <c r="H5" s="451">
        <f>tertiair!H16</f>
        <v>0</v>
      </c>
      <c r="I5" s="451">
        <f>tertiair!I16</f>
        <v>0</v>
      </c>
      <c r="J5" s="451">
        <f>tertiair!J16</f>
        <v>6.2127696323075243E-2</v>
      </c>
      <c r="K5" s="451">
        <f>tertiair!K16</f>
        <v>0</v>
      </c>
      <c r="L5" s="451">
        <f ca="1">tertiair!L16</f>
        <v>0</v>
      </c>
      <c r="M5" s="451">
        <f>tertiair!M16</f>
        <v>0</v>
      </c>
      <c r="N5" s="451">
        <f ca="1">tertiair!N16</f>
        <v>2482.258523896578</v>
      </c>
      <c r="O5" s="451">
        <f>tertiair!O16</f>
        <v>14.070000000000002</v>
      </c>
      <c r="P5" s="452">
        <f>tertiair!P16</f>
        <v>95.333333333333343</v>
      </c>
      <c r="Q5" s="450">
        <f t="shared" ref="Q5:Q14" ca="1" si="0">SUM(B5:P5)</f>
        <v>57862.237684050408</v>
      </c>
    </row>
    <row r="6" spans="1:17">
      <c r="A6" s="450" t="s">
        <v>193</v>
      </c>
      <c r="B6" s="451">
        <f>'openbare verlichting'!B8</f>
        <v>1542.9860000000001</v>
      </c>
      <c r="C6" s="451"/>
      <c r="D6" s="451"/>
      <c r="E6" s="451"/>
      <c r="F6" s="451"/>
      <c r="G6" s="451"/>
      <c r="H6" s="451"/>
      <c r="I6" s="451"/>
      <c r="J6" s="451"/>
      <c r="K6" s="451"/>
      <c r="L6" s="451"/>
      <c r="M6" s="451"/>
      <c r="N6" s="451"/>
      <c r="O6" s="451"/>
      <c r="P6" s="452"/>
      <c r="Q6" s="450">
        <f t="shared" si="0"/>
        <v>1542.9860000000001</v>
      </c>
    </row>
    <row r="7" spans="1:17">
      <c r="A7" s="450" t="s">
        <v>111</v>
      </c>
      <c r="B7" s="451">
        <f>landbouw!B8</f>
        <v>5151.449598707828</v>
      </c>
      <c r="C7" s="451">
        <f>landbouw!C8</f>
        <v>62.357142857142847</v>
      </c>
      <c r="D7" s="451">
        <f>landbouw!D8</f>
        <v>277.01212037391434</v>
      </c>
      <c r="E7" s="451">
        <f>landbouw!E8</f>
        <v>151.41683804917898</v>
      </c>
      <c r="F7" s="451">
        <f>landbouw!F8</f>
        <v>21460.660658491473</v>
      </c>
      <c r="G7" s="451">
        <f>landbouw!G8</f>
        <v>0</v>
      </c>
      <c r="H7" s="451">
        <f>landbouw!H8</f>
        <v>0</v>
      </c>
      <c r="I7" s="451">
        <f>landbouw!I8</f>
        <v>0</v>
      </c>
      <c r="J7" s="451">
        <f>landbouw!J8</f>
        <v>746.33441820627831</v>
      </c>
      <c r="K7" s="451">
        <f>landbouw!K8</f>
        <v>0</v>
      </c>
      <c r="L7" s="451">
        <f>landbouw!L8</f>
        <v>0</v>
      </c>
      <c r="M7" s="451">
        <f>landbouw!M8</f>
        <v>0</v>
      </c>
      <c r="N7" s="451">
        <f>landbouw!N8</f>
        <v>0</v>
      </c>
      <c r="O7" s="451">
        <f>landbouw!O8</f>
        <v>0</v>
      </c>
      <c r="P7" s="452">
        <f>landbouw!P8</f>
        <v>0</v>
      </c>
      <c r="Q7" s="450">
        <f t="shared" si="0"/>
        <v>27849.230776685818</v>
      </c>
    </row>
    <row r="8" spans="1:17">
      <c r="A8" s="450" t="s">
        <v>634</v>
      </c>
      <c r="B8" s="451">
        <f>industrie!B18</f>
        <v>39338.826002513299</v>
      </c>
      <c r="C8" s="451">
        <f>industrie!C18</f>
        <v>0</v>
      </c>
      <c r="D8" s="451">
        <f>industrie!D18</f>
        <v>16823.258177529387</v>
      </c>
      <c r="E8" s="451">
        <f>industrie!E18</f>
        <v>3182.4399435224905</v>
      </c>
      <c r="F8" s="451">
        <f>industrie!F18</f>
        <v>10448.237965139171</v>
      </c>
      <c r="G8" s="451">
        <f>industrie!G18</f>
        <v>0</v>
      </c>
      <c r="H8" s="451">
        <f>industrie!H18</f>
        <v>0</v>
      </c>
      <c r="I8" s="451">
        <f>industrie!I18</f>
        <v>0</v>
      </c>
      <c r="J8" s="451">
        <f>industrie!J18</f>
        <v>115.77764344949226</v>
      </c>
      <c r="K8" s="451">
        <f>industrie!K18</f>
        <v>0</v>
      </c>
      <c r="L8" s="451">
        <f>industrie!L18</f>
        <v>0</v>
      </c>
      <c r="M8" s="451">
        <f>industrie!M18</f>
        <v>0</v>
      </c>
      <c r="N8" s="451">
        <f>industrie!N18</f>
        <v>2793.5112573241759</v>
      </c>
      <c r="O8" s="451">
        <f>industrie!O18</f>
        <v>0</v>
      </c>
      <c r="P8" s="452">
        <f>industrie!P18</f>
        <v>0</v>
      </c>
      <c r="Q8" s="450">
        <f t="shared" si="0"/>
        <v>72702.050989478012</v>
      </c>
    </row>
    <row r="9" spans="1:17" s="456" customFormat="1">
      <c r="A9" s="454" t="s">
        <v>560</v>
      </c>
      <c r="B9" s="455">
        <f>transport!B14</f>
        <v>79.154266124453088</v>
      </c>
      <c r="C9" s="455">
        <f>transport!C14</f>
        <v>0</v>
      </c>
      <c r="D9" s="455">
        <f>transport!D14</f>
        <v>222.57251598383201</v>
      </c>
      <c r="E9" s="455">
        <f>transport!E14</f>
        <v>380.70737434732115</v>
      </c>
      <c r="F9" s="455">
        <f>transport!F14</f>
        <v>0</v>
      </c>
      <c r="G9" s="455">
        <f>transport!G14</f>
        <v>180086.54248502621</v>
      </c>
      <c r="H9" s="455">
        <f>transport!H14</f>
        <v>37649.147613849091</v>
      </c>
      <c r="I9" s="455">
        <f>transport!I14</f>
        <v>0</v>
      </c>
      <c r="J9" s="455">
        <f>transport!J14</f>
        <v>0</v>
      </c>
      <c r="K9" s="455">
        <f>transport!K14</f>
        <v>0</v>
      </c>
      <c r="L9" s="455">
        <f>transport!L14</f>
        <v>0</v>
      </c>
      <c r="M9" s="455">
        <f>transport!M14</f>
        <v>11630.035482034969</v>
      </c>
      <c r="N9" s="455">
        <f>transport!N14</f>
        <v>0</v>
      </c>
      <c r="O9" s="455">
        <f>transport!O14</f>
        <v>0</v>
      </c>
      <c r="P9" s="455">
        <f>transport!P14</f>
        <v>0</v>
      </c>
      <c r="Q9" s="454">
        <f>SUM(B9:P9)</f>
        <v>230048.15973736584</v>
      </c>
    </row>
    <row r="10" spans="1:17">
      <c r="A10" s="450" t="s">
        <v>550</v>
      </c>
      <c r="B10" s="451">
        <f>transport!B54</f>
        <v>0</v>
      </c>
      <c r="C10" s="451">
        <f>transport!C54</f>
        <v>0</v>
      </c>
      <c r="D10" s="451">
        <f>transport!D54</f>
        <v>0</v>
      </c>
      <c r="E10" s="451">
        <f>transport!E54</f>
        <v>0</v>
      </c>
      <c r="F10" s="451">
        <f>transport!F54</f>
        <v>0</v>
      </c>
      <c r="G10" s="451">
        <f>transport!G54</f>
        <v>1403.1583813272621</v>
      </c>
      <c r="H10" s="451">
        <f>transport!H54</f>
        <v>0</v>
      </c>
      <c r="I10" s="451">
        <f>transport!I54</f>
        <v>0</v>
      </c>
      <c r="J10" s="451">
        <f>transport!J54</f>
        <v>0</v>
      </c>
      <c r="K10" s="451">
        <f>transport!K54</f>
        <v>0</v>
      </c>
      <c r="L10" s="451">
        <f>transport!L54</f>
        <v>0</v>
      </c>
      <c r="M10" s="451">
        <f>transport!M54</f>
        <v>79.687181753185286</v>
      </c>
      <c r="N10" s="451">
        <f>transport!N54</f>
        <v>0</v>
      </c>
      <c r="O10" s="451">
        <f>transport!O54</f>
        <v>0</v>
      </c>
      <c r="P10" s="452">
        <f>transport!P54</f>
        <v>0</v>
      </c>
      <c r="Q10" s="450">
        <f t="shared" si="0"/>
        <v>1482.8455630804474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2052.96501588913</v>
      </c>
      <c r="C14" s="458"/>
      <c r="D14" s="458">
        <f>'SEAP template'!E25</f>
        <v>2539.6797560464802</v>
      </c>
      <c r="E14" s="458"/>
      <c r="F14" s="458"/>
      <c r="G14" s="458"/>
      <c r="H14" s="458"/>
      <c r="I14" s="458"/>
      <c r="J14" s="458"/>
      <c r="K14" s="458"/>
      <c r="L14" s="458"/>
      <c r="M14" s="458"/>
      <c r="N14" s="458"/>
      <c r="O14" s="458"/>
      <c r="P14" s="459"/>
      <c r="Q14" s="450">
        <f t="shared" si="0"/>
        <v>4592.6447719356102</v>
      </c>
    </row>
    <row r="15" spans="1:17" s="460" customFormat="1">
      <c r="A15" s="1005" t="s">
        <v>554</v>
      </c>
      <c r="B15" s="953">
        <f ca="1">SUM(B4:B14)</f>
        <v>113421.88594833753</v>
      </c>
      <c r="C15" s="953">
        <f t="shared" ref="C15:Q15" ca="1" si="1">SUM(C4:C14)</f>
        <v>62.357142857142847</v>
      </c>
      <c r="D15" s="953">
        <f t="shared" ca="1" si="1"/>
        <v>139342.73729283307</v>
      </c>
      <c r="E15" s="953">
        <f t="shared" si="1"/>
        <v>33973.933372019157</v>
      </c>
      <c r="F15" s="953">
        <f t="shared" ca="1" si="1"/>
        <v>48517.917135906551</v>
      </c>
      <c r="G15" s="953">
        <f t="shared" si="1"/>
        <v>181489.70086635347</v>
      </c>
      <c r="H15" s="953">
        <f t="shared" si="1"/>
        <v>37649.147613849091</v>
      </c>
      <c r="I15" s="953">
        <f t="shared" si="1"/>
        <v>0</v>
      </c>
      <c r="J15" s="953">
        <f t="shared" si="1"/>
        <v>2118.954471422257</v>
      </c>
      <c r="K15" s="953">
        <f t="shared" si="1"/>
        <v>0</v>
      </c>
      <c r="L15" s="953">
        <f t="shared" ca="1" si="1"/>
        <v>0</v>
      </c>
      <c r="M15" s="953">
        <f t="shared" si="1"/>
        <v>11709.722663788154</v>
      </c>
      <c r="N15" s="953">
        <f t="shared" ca="1" si="1"/>
        <v>43132.394391029891</v>
      </c>
      <c r="O15" s="953">
        <f t="shared" si="1"/>
        <v>558.11000000000013</v>
      </c>
      <c r="P15" s="953">
        <f t="shared" si="1"/>
        <v>1944.8</v>
      </c>
      <c r="Q15" s="953">
        <f t="shared" ca="1" si="1"/>
        <v>613921.66089839628</v>
      </c>
    </row>
    <row r="17" spans="1:17">
      <c r="A17" s="461" t="s">
        <v>555</v>
      </c>
      <c r="B17" s="760">
        <f ca="1">huishoudens!B10</f>
        <v>0.15148958028644038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6528.8048045951427</v>
      </c>
      <c r="C22" s="451">
        <f t="shared" ref="C22:C32" ca="1" si="3">C4*$C$17</f>
        <v>0</v>
      </c>
      <c r="D22" s="451">
        <f t="shared" ref="D22:D32" si="4">D4*$D$17</f>
        <v>18325.051062877119</v>
      </c>
      <c r="E22" s="451">
        <f t="shared" ref="E22:E32" si="5">E4*$E$17</f>
        <v>6781.4175155975918</v>
      </c>
      <c r="F22" s="451">
        <f t="shared" ref="F22:F32" si="6">F4*$F$17</f>
        <v>3376.2278202727298</v>
      </c>
      <c r="G22" s="451">
        <f t="shared" ref="G22:G32" si="7">G4*$G$17</f>
        <v>0</v>
      </c>
      <c r="H22" s="451">
        <f t="shared" ref="H22:H32" si="8">H4*$H$17</f>
        <v>0</v>
      </c>
      <c r="I22" s="451">
        <f t="shared" ref="I22:I32" si="9">I4*$I$17</f>
        <v>0</v>
      </c>
      <c r="J22" s="451">
        <f t="shared" ref="J22:J32" si="10">J4*$J$17</f>
        <v>444.90021985283772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35456.401423195428</v>
      </c>
    </row>
    <row r="23" spans="1:17">
      <c r="A23" s="450" t="s">
        <v>155</v>
      </c>
      <c r="B23" s="451">
        <f t="shared" ca="1" si="2"/>
        <v>3356.8757586772526</v>
      </c>
      <c r="C23" s="451">
        <f t="shared" ca="1" si="3"/>
        <v>0</v>
      </c>
      <c r="D23" s="451">
        <f t="shared" ca="1" si="4"/>
        <v>5809.9523111485742</v>
      </c>
      <c r="E23" s="451">
        <f t="shared" si="5"/>
        <v>87.459296457145584</v>
      </c>
      <c r="F23" s="451">
        <f t="shared" ca="1" si="6"/>
        <v>1058.3801225049381</v>
      </c>
      <c r="G23" s="451">
        <f t="shared" si="7"/>
        <v>0</v>
      </c>
      <c r="H23" s="451">
        <f t="shared" si="8"/>
        <v>0</v>
      </c>
      <c r="I23" s="451">
        <f t="shared" si="9"/>
        <v>0</v>
      </c>
      <c r="J23" s="451">
        <f t="shared" si="10"/>
        <v>2.1993204498368633E-2</v>
      </c>
      <c r="K23" s="451">
        <f t="shared" si="11"/>
        <v>0</v>
      </c>
      <c r="L23" s="451">
        <f t="shared" ca="1" si="12"/>
        <v>0</v>
      </c>
      <c r="M23" s="451">
        <f t="shared" si="13"/>
        <v>0</v>
      </c>
      <c r="N23" s="451">
        <f t="shared" ca="1" si="14"/>
        <v>0</v>
      </c>
      <c r="O23" s="451">
        <f t="shared" si="15"/>
        <v>0</v>
      </c>
      <c r="P23" s="452">
        <f t="shared" si="16"/>
        <v>0</v>
      </c>
      <c r="Q23" s="450">
        <f t="shared" ref="Q23:Q32" ca="1" si="17">SUM(B23:P23)</f>
        <v>10312.689481992409</v>
      </c>
    </row>
    <row r="24" spans="1:17">
      <c r="A24" s="450" t="s">
        <v>193</v>
      </c>
      <c r="B24" s="451">
        <f t="shared" ca="1" si="2"/>
        <v>233.74630152785352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233.74630152785352</v>
      </c>
    </row>
    <row r="25" spans="1:17">
      <c r="A25" s="450" t="s">
        <v>111</v>
      </c>
      <c r="B25" s="451">
        <f t="shared" ca="1" si="2"/>
        <v>780.39093757500063</v>
      </c>
      <c r="C25" s="451">
        <f t="shared" ca="1" si="3"/>
        <v>0</v>
      </c>
      <c r="D25" s="451">
        <f t="shared" si="4"/>
        <v>55.9564483155307</v>
      </c>
      <c r="E25" s="451">
        <f t="shared" si="5"/>
        <v>34.371622237163628</v>
      </c>
      <c r="F25" s="451">
        <f t="shared" si="6"/>
        <v>5729.9963958172239</v>
      </c>
      <c r="G25" s="451">
        <f t="shared" si="7"/>
        <v>0</v>
      </c>
      <c r="H25" s="451">
        <f t="shared" si="8"/>
        <v>0</v>
      </c>
      <c r="I25" s="451">
        <f t="shared" si="9"/>
        <v>0</v>
      </c>
      <c r="J25" s="451">
        <f t="shared" si="10"/>
        <v>264.20238404502248</v>
      </c>
      <c r="K25" s="451">
        <f t="shared" si="11"/>
        <v>0</v>
      </c>
      <c r="L25" s="451">
        <f t="shared" si="12"/>
        <v>0</v>
      </c>
      <c r="M25" s="451">
        <f t="shared" si="13"/>
        <v>0</v>
      </c>
      <c r="N25" s="451">
        <f t="shared" si="14"/>
        <v>0</v>
      </c>
      <c r="O25" s="451">
        <f t="shared" si="15"/>
        <v>0</v>
      </c>
      <c r="P25" s="452">
        <f t="shared" si="16"/>
        <v>0</v>
      </c>
      <c r="Q25" s="450">
        <f t="shared" ca="1" si="17"/>
        <v>6864.9177879899416</v>
      </c>
    </row>
    <row r="26" spans="1:17">
      <c r="A26" s="450" t="s">
        <v>634</v>
      </c>
      <c r="B26" s="451">
        <f t="shared" ca="1" si="2"/>
        <v>5959.4222400820472</v>
      </c>
      <c r="C26" s="451">
        <f t="shared" ca="1" si="3"/>
        <v>0</v>
      </c>
      <c r="D26" s="451">
        <f t="shared" si="4"/>
        <v>3398.2981518609363</v>
      </c>
      <c r="E26" s="451">
        <f t="shared" si="5"/>
        <v>722.4138671796054</v>
      </c>
      <c r="F26" s="451">
        <f t="shared" si="6"/>
        <v>2789.6795366921588</v>
      </c>
      <c r="G26" s="451">
        <f t="shared" si="7"/>
        <v>0</v>
      </c>
      <c r="H26" s="451">
        <f t="shared" si="8"/>
        <v>0</v>
      </c>
      <c r="I26" s="451">
        <f t="shared" si="9"/>
        <v>0</v>
      </c>
      <c r="J26" s="451">
        <f t="shared" si="10"/>
        <v>40.985285781120261</v>
      </c>
      <c r="K26" s="451">
        <f t="shared" si="11"/>
        <v>0</v>
      </c>
      <c r="L26" s="451">
        <f t="shared" si="12"/>
        <v>0</v>
      </c>
      <c r="M26" s="451">
        <f t="shared" si="13"/>
        <v>0</v>
      </c>
      <c r="N26" s="451">
        <f t="shared" si="14"/>
        <v>0</v>
      </c>
      <c r="O26" s="451">
        <f t="shared" si="15"/>
        <v>0</v>
      </c>
      <c r="P26" s="452">
        <f t="shared" si="16"/>
        <v>0</v>
      </c>
      <c r="Q26" s="450">
        <f t="shared" ca="1" si="17"/>
        <v>12910.799081595866</v>
      </c>
    </row>
    <row r="27" spans="1:17" s="456" customFormat="1">
      <c r="A27" s="454" t="s">
        <v>560</v>
      </c>
      <c r="B27" s="754">
        <f t="shared" ca="1" si="2"/>
        <v>11.991046553074604</v>
      </c>
      <c r="C27" s="455">
        <f t="shared" ca="1" si="3"/>
        <v>0</v>
      </c>
      <c r="D27" s="455">
        <f t="shared" si="4"/>
        <v>44.959648228734068</v>
      </c>
      <c r="E27" s="455">
        <f t="shared" si="5"/>
        <v>86.420573976841908</v>
      </c>
      <c r="F27" s="455">
        <f t="shared" si="6"/>
        <v>0</v>
      </c>
      <c r="G27" s="455">
        <f t="shared" si="7"/>
        <v>48083.106843501999</v>
      </c>
      <c r="H27" s="455">
        <f t="shared" si="8"/>
        <v>9374.6377558484237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57601.115868109075</v>
      </c>
    </row>
    <row r="28" spans="1:17">
      <c r="A28" s="450" t="s">
        <v>550</v>
      </c>
      <c r="B28" s="451">
        <f t="shared" ca="1" si="2"/>
        <v>0</v>
      </c>
      <c r="C28" s="451">
        <f t="shared" ca="1" si="3"/>
        <v>0</v>
      </c>
      <c r="D28" s="451">
        <f t="shared" si="4"/>
        <v>0</v>
      </c>
      <c r="E28" s="451">
        <f t="shared" si="5"/>
        <v>0</v>
      </c>
      <c r="F28" s="451">
        <f t="shared" si="6"/>
        <v>0</v>
      </c>
      <c r="G28" s="451">
        <f t="shared" si="7"/>
        <v>374.64328781437899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374.64328781437899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311.00280859978972</v>
      </c>
      <c r="C32" s="451">
        <f t="shared" ca="1" si="3"/>
        <v>0</v>
      </c>
      <c r="D32" s="451">
        <f t="shared" si="4"/>
        <v>513.01531072138903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824.0181193211788</v>
      </c>
    </row>
    <row r="33" spans="1:17" s="460" customFormat="1">
      <c r="A33" s="1005" t="s">
        <v>554</v>
      </c>
      <c r="B33" s="953">
        <f ca="1">SUM(B22:B32)</f>
        <v>17182.233897610164</v>
      </c>
      <c r="C33" s="953">
        <f t="shared" ref="C33:Q33" ca="1" si="18">SUM(C22:C32)</f>
        <v>0</v>
      </c>
      <c r="D33" s="953">
        <f t="shared" ca="1" si="18"/>
        <v>28147.232933152281</v>
      </c>
      <c r="E33" s="953">
        <f t="shared" si="18"/>
        <v>7712.0828754483491</v>
      </c>
      <c r="F33" s="953">
        <f t="shared" ca="1" si="18"/>
        <v>12954.283875287048</v>
      </c>
      <c r="G33" s="953">
        <f t="shared" si="18"/>
        <v>48457.750131316381</v>
      </c>
      <c r="H33" s="953">
        <f t="shared" si="18"/>
        <v>9374.6377558484237</v>
      </c>
      <c r="I33" s="953">
        <f t="shared" si="18"/>
        <v>0</v>
      </c>
      <c r="J33" s="953">
        <f t="shared" si="18"/>
        <v>750.10988288347892</v>
      </c>
      <c r="K33" s="953">
        <f t="shared" si="18"/>
        <v>0</v>
      </c>
      <c r="L33" s="953">
        <f t="shared" ca="1" si="18"/>
        <v>0</v>
      </c>
      <c r="M33" s="953">
        <f t="shared" si="18"/>
        <v>0</v>
      </c>
      <c r="N33" s="953">
        <f t="shared" ca="1" si="18"/>
        <v>0</v>
      </c>
      <c r="O33" s="953">
        <f t="shared" si="18"/>
        <v>0</v>
      </c>
      <c r="P33" s="953">
        <f t="shared" si="18"/>
        <v>0</v>
      </c>
      <c r="Q33" s="953">
        <f t="shared" ca="1" si="18"/>
        <v>124578.33135154613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27731.414816599579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7899.1564366693347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35674.221253268915</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0.15148958028644038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0.15148958028644038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2020-06-20T15:46:27Z</dcterms:modified>
</cp:coreProperties>
</file>