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B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M36" i="18"/>
  <c r="W32" i="18"/>
  <c r="V32" i="18"/>
  <c r="U32" i="18"/>
  <c r="T32" i="18"/>
  <c r="L6" i="17" s="1"/>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E20" i="18" s="1"/>
  <c r="I49"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<sst xmlns="http://schemas.openxmlformats.org/spreadsheetml/2006/main" count="2414" uniqueCount="899">
  <si>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</si>
  <si>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</si>
  <si>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</si>
  <si>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</si>
  <si>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</si>
  <si>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</si>
  <si>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</si>
  <si>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</si>
  <si>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</si>
  <si>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</si>
  <si>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</si>
  <si>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</si>
  <si>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</si>
  <si>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</si>
  <si>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</si>
  <si>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</si>
  <si>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</si>
  <si>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</si>
  <si>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</si>
  <si>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</si>
  <si>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</si>
  <si>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</si>
  <si>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</si>
  <si>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</si>
  <si>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</si>
  <si>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</si>
  <si>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</si>
  <si>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</si>
  <si>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</si>
  <si>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</si>
  <si>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</si>
  <si>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</si>
  <si>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</si>
  <si>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</si>
  <si>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</si>
  <si>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</si>
  <si>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</si>
  <si>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</si>
  <si>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</si>
  <si>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</si>
  <si>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</si>
  <si>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</si>
  <si>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</si>
  <si>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</si>
  <si>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</si>
  <si>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</si>
  <si>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</si>
  <si>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</si>
  <si>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</si>
  <si>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</si>
  <si>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</si>
  <si>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</si>
  <si>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</si>
  <si>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</si>
  <si>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</si>
  <si>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</si>
  <si>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</si>
  <si>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</si>
  <si>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</si>
  <si>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</si>
  <si>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</si>
  <si>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</si>
  <si>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</si>
  <si>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</si>
  <si>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</si>
  <si>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</si>
  <si>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</si>
  <si>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</si>
  <si>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</si>
  <si>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</si>
  <si>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</si>
  <si>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</si>
  <si>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</si>
  <si>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</si>
  <si>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</si>
  <si>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</si>
  <si>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</si>
  <si>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</si>
  <si>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</si>
  <si>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</si>
  <si>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</si>
  <si>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</si>
  <si>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</si>
  <si>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</si>
  <si>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</si>
  <si>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</si>
  <si>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</si>
  <si>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</si>
  <si>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</si>
  <si>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</si>
  <si>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</si>
  <si>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</si>
  <si>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</si>
  <si>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</si>
  <si>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</si>
  <si>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</si>
  <si>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</si>
  <si>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</si>
  <si>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</si>
  <si>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</si>
  <si>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</si>
  <si>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</si>
  <si>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</si>
  <si>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</si>
  <si>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</si>
  <si>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</si>
  <si>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</si>
  <si>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</si>
  <si>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</si>
  <si>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</si>
  <si>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</si>
  <si>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</si>
  <si>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</si>
  <si>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</si>
  <si>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</si>
  <si>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</si>
  <si>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</si>
  <si>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</si>
  <si>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</si>
  <si>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</si>
  <si>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</si>
  <si>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</si>
  <si>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</si>
  <si>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</si>
  <si>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</si>
  <si>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</si>
  <si>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</si>
  <si>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</si>
  <si>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</si>
  <si>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</si>
  <si>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</si>
  <si>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</si>
  <si>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</si>
  <si>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</si>
  <si>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</si>
  <si>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</si>
  <si>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</si>
  <si>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</si>
  <si>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</si>
  <si>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</si>
  <si>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</si>
  <si>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</si>
  <si>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</si>
  <si>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</si>
  <si>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</si>
  <si>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</si>
  <si>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</si>
  <si>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</si>
  <si>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</si>
  <si>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</si>
  <si>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</si>
  <si>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</si>
  <si>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</si>
  <si>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</si>
  <si>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</si>
  <si>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</si>
  <si>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</si>
  <si>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</si>
  <si>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</si>
  <si>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</si>
  <si>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</si>
  <si>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</si>
  <si>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</si>
  <si>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</si>
  <si>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</si>
  <si>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</si>
  <si>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</si>
  <si>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</si>
  <si>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</si>
  <si>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</si>
  <si>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</si>
  <si>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</si>
  <si>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</si>
  <si>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</si>
  <si>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</si>
  <si>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</si>
  <si>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</si>
  <si>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</si>
  <si>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</si>
  <si>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</si>
  <si>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</si>
  <si>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</si>
  <si>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</si>
  <si>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</si>
  <si>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</si>
  <si>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</si>
  <si>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</si>
  <si>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</si>
  <si>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</si>
  <si>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</si>
  <si>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</si>
  <si>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</si>
  <si>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</si>
  <si>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</si>
  <si>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</si>
  <si>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</si>
  <si>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</si>
  <si>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</si>
  <si>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</si>
  <si>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</si>
  <si>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</si>
  <si>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</si>
  <si>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</si>
  <si>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</si>
  <si>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</si>
  <si>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</si>
  <si>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</si>
  <si>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</si>
  <si>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</si>
  <si>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</si>
  <si>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</si>
  <si>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</si>
  <si>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</si>
  <si>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</si>
  <si>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</si>
  <si>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</si>
  <si>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</si>
  <si>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</si>
  <si>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</si>
  <si>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</si>
  <si>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</si>
  <si>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</si>
  <si>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</si>
  <si>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</si>
  <si>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</si>
  <si>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</si>
  <si>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</si>
  <si>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</si>
  <si>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</si>
  <si>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</si>
  <si>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</si>
  <si>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</si>
  <si>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</si>
  <si>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</si>
  <si>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</si>
  <si>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</si>
  <si>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</si>
  <si>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</si>
  <si>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</si>
  <si>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</si>
  <si>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</si>
  <si>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</si>
  <si>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</si>
  <si>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</si>
  <si>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</si>
  <si>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</si>
  <si>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</si>
  <si>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</si>
  <si>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</si>
  <si>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</si>
  <si>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</si>
  <si>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</si>
  <si>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</si>
  <si>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</si>
  <si>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</si>
  <si>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</si>
  <si>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</si>
  <si>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</si>
  <si>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</si>
  <si>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</si>
  <si>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</si>
  <si>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</si>
  <si>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</si>
  <si>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</si>
  <si>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</si>
  <si>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</si>
  <si>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</si>
  <si>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</si>
  <si>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</si>
  <si>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</si>
  <si>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</si>
  <si>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</si>
  <si>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</si>
  <si>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</si>
  <si>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</si>
  <si>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</si>
  <si>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</si>
  <si>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</si>
  <si>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</si>
  <si>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</si>
  <si>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</si>
  <si>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</si>
  <si>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</si>
  <si>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</si>
  <si>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</si>
  <si>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</si>
  <si>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</si>
  <si>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</si>
  <si>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</si>
  <si>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</si>
  <si>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</si>
  <si>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</si>
  <si>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</si>
  <si>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</si>
  <si>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</si>
  <si>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</si>
  <si>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</si>
  <si>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</si>
  <si>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</si>
  <si>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</si>
  <si>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</si>
  <si>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</si>
  <si>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</si>
  <si>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</si>
  <si>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</si>
  <si>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</si>
  <si>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</si>
  <si>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</si>
  <si>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</si>
  <si>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</si>
  <si>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</si>
  <si>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</si>
  <si>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</si>
  <si>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</si>
  <si>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</si>
  <si>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</si>
  <si>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</si>
  <si>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</si>
  <si>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</si>
  <si>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</si>
  <si>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</si>
  <si>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</si>
  <si>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</si>
  <si>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</si>
  <si>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</si>
  <si>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</si>
  <si>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</si>
  <si>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</si>
  <si>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</si>
  <si>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</si>
  <si>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</si>
  <si>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</si>
  <si>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</si>
  <si>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</si>
  <si>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</si>
  <si>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</si>
  <si>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</si>
  <si>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</si>
  <si>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</si>
  <si>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</si>
  <si>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</si>
  <si>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</si>
  <si>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</si>
  <si>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</si>
  <si>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</si>
  <si>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</si>
  <si>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</si>
  <si>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</si>
  <si>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</si>
  <si>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</si>
  <si>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</si>
  <si>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</si>
  <si>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</si>
  <si>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</si>
  <si>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</si>
  <si>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</si>
  <si>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</si>
  <si>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</si>
  <si>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</si>
  <si>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</si>
  <si>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</si>
  <si>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</si>
  <si>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</si>
  <si>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</si>
  <si>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</si>
  <si>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</si>
  <si>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</si>
  <si>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</si>
  <si>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</si>
  <si>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</si>
  <si>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</si>
  <si>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</si>
  <si>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</si>
  <si>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</si>
  <si>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</si>
  <si>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</si>
  <si>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</si>
  <si>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</si>
  <si>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</si>
  <si>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</si>
  <si>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</si>
  <si>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</si>
  <si>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</si>
  <si>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</si>
  <si>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</si>
  <si>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</si>
  <si>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</si>
  <si>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</si>
  <si>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</si>
  <si>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</si>
  <si>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</si>
  <si>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</si>
  <si>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</si>
  <si>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</si>
  <si>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</si>
  <si>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</si>
  <si>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</si>
  <si>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</si>
  <si>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</si>
  <si>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</si>
  <si>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</si>
  <si>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</si>
  <si>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</si>
  <si>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</si>
  <si>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</si>
  <si>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</si>
  <si>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</si>
  <si>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</si>
  <si>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</si>
  <si>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</si>
  <si>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</si>
  <si>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</si>
  <si>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</si>
  <si>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</si>
  <si>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</si>
  <si>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</si>
  <si>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</si>
  <si>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</si>
  <si>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</si>
  <si>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</si>
  <si>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</si>
  <si>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</si>
  <si>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</si>
  <si>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</si>
  <si>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</si>
  <si>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</si>
  <si>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</si>
  <si>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</si>
  <si>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</si>
  <si>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</si>
  <si>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</si>
  <si>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</si>
  <si>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</si>
  <si>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</si>
  <si>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</si>
  <si>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</si>
  <si>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</si>
  <si>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</si>
  <si>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</si>
  <si>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</si>
  <si>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</si>
  <si>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</si>
  <si>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</si>
  <si>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</si>
  <si>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</si>
  <si>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</si>
  <si>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</si>
  <si>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</si>
  <si>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</si>
  <si>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</si>
  <si>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</si>
  <si>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</si>
  <si>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</si>
  <si>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</si>
  <si>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</si>
  <si>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</si>
  <si>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</si>
  <si>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</si>
  <si>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</si>
  <si>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</si>
  <si>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</si>
  <si>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</si>
  <si>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</si>
  <si>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</si>
  <si>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</si>
  <si>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</si>
  <si>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</si>
  <si>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</si>
  <si>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</si>
  <si>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</si>
  <si>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</si>
  <si>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</si>
  <si>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</si>
  <si>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</si>
  <si>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</si>
  <si>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</si>
  <si>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</si>
  <si>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</si>
  <si>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</si>
  <si>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</si>
  <si>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</si>
  <si>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</si>
  <si>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</si>
  <si>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</si>
  <si>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</si>
  <si>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</si>
  <si>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</si>
  <si>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</si>
  <si>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</si>
  <si>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</si>
  <si>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</si>
  <si>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</si>
  <si>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</si>
  <si>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</si>
  <si>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</si>
  <si>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</si>
  <si>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</si>
  <si>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</si>
  <si>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</si>
  <si>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</si>
  <si>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</si>
  <si>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</si>
  <si>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</si>
  <si>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</si>
  <si>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</si>
  <si>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</si>
  <si>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</si>
  <si>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</si>
  <si>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</si>
  <si>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</si>
  <si>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</si>
  <si>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</si>
  <si>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</si>
  <si>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</si>
  <si>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</si>
  <si>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</si>
  <si>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</si>
  <si>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</si>
  <si>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</si>
  <si>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</si>
  <si>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</si>
  <si>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</si>
  <si>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</si>
  <si>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</si>
  <si>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</si>
  <si>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</si>
  <si>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</si>
  <si>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</si>
  <si>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</si>
  <si>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</si>
  <si>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</si>
  <si>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</si>
  <si>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</si>
  <si>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</si>
  <si>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</si>
  <si>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</si>
  <si>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</si>
  <si>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</si>
  <si>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</si>
  <si>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</si>
  <si>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</si>
  <si>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</si>
  <si>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</si>
  <si>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</si>
  <si>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</si>
  <si>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</si>
  <si>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</si>
  <si>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</si>
  <si>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</si>
  <si>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</si>
  <si>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</si>
  <si>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</si>
  <si>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</si>
  <si>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</si>
  <si>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</si>
  <si>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</si>
  <si>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</si>
  <si>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</si>
  <si>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</si>
  <si>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</si>
  <si>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</si>
  <si>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</si>
  <si>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</si>
  <si>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</si>
  <si>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</si>
  <si>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</si>
  <si>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</si>
  <si>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</si>
  <si>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</si>
  <si>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</si>
  <si>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</si>
  <si>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</si>
  <si>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</si>
  <si>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</si>
  <si>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</si>
  <si>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</si>
  <si>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</si>
  <si>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</si>
  <si>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</si>
  <si>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</si>
  <si>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</si>
  <si>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</si>
  <si>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</si>
  <si>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</si>
  <si>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</si>
  <si>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</si>
  <si>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</si>
  <si>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</si>
  <si>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</si>
  <si>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</si>
  <si>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</si>
  <si>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</si>
  <si>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</si>
  <si>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</si>
  <si>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</si>
  <si>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</si>
  <si>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</si>
  <si>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</si>
  <si>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</si>
  <si>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</si>
  <si>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</si>
  <si>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</si>
  <si>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</si>
  <si>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</si>
  <si>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</si>
  <si>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</si>
  <si>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</si>
  <si>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</si>
  <si>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</si>
  <si>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</si>
  <si>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</si>
  <si>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</si>
  <si>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</si>
  <si>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</si>
  <si>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</si>
  <si>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</si>
  <si>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</si>
  <si>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</si>
  <si>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</si>
  <si>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</si>
  <si>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</si>
  <si>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</si>
  <si>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</si>
  <si>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</si>
  <si>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</si>
  <si>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</si>
  <si>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</si>
  <si>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</si>
  <si>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</si>
  <si>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</si>
  <si>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</si>
  <si>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</si>
  <si>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</si>
  <si>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</si>
  <si>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</si>
  <si>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</si>
  <si>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</si>
  <si>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</si>
  <si>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</si>
  <si>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</si>
  <si>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</si>
  <si>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</si>
  <si>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</si>
  <si>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</si>
  <si>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</si>
  <si>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</si>
  <si>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</si>
  <si>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</si>
  <si>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</si>
  <si>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</si>
  <si>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</si>
  <si>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</si>
  <si>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</si>
  <si>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</si>
  <si>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</si>
  <si>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</si>
  <si>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</si>
  <si>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</si>
  <si>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</si>
  <si>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</si>
  <si>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</si>
  <si>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</si>
  <si>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</si>
  <si>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</si>
  <si>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</si>
  <si>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</si>
  <si>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</si>
  <si>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</si>
  <si>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</si>
  <si>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</si>
  <si>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</si>
  <si>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</si>
  <si>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</si>
  <si>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</si>
  <si>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</si>
  <si>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</si>
  <si>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</si>
  <si>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</si>
  <si>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</si>
  <si>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</si>
  <si>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</si>
  <si>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</si>
  <si>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</si>
  <si>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</si>
  <si>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</si>
  <si>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</si>
  <si>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</si>
  <si>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</si>
  <si>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</si>
  <si>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</si>
  <si>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</si>
  <si>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</si>
  <si>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</si>
  <si>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</si>
  <si>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</si>
  <si>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</si>
  <si>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</si>
  <si>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</si>
  <si>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</si>
  <si>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</si>
  <si>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</si>
  <si>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</si>
  <si>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</si>
  <si>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</si>
  <si>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</si>
  <si>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</si>
  <si>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</si>
  <si>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</si>
  <si>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</si>
  <si>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</si>
  <si>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</si>
  <si>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</si>
  <si>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</si>
  <si>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</si>
  <si>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</si>
  <si>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</si>
  <si>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</si>
  <si>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</si>
  <si>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</si>
  <si>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</si>
  <si>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</si>
  <si>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</si>
  <si>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</si>
  <si>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</si>
  <si>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</si>
  <si>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</si>
  <si>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</si>
  <si>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</si>
  <si>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</si>
  <si>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</si>
  <si>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</si>
  <si>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</si>
  <si>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</si>
  <si>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</si>
  <si>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</si>
  <si>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</si>
  <si>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</si>
  <si>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</si>
  <si>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</si>
  <si>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</si>
  <si>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</si>
  <si>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</si>
  <si>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</si>
  <si>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</si>
  <si>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</si>
  <si>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</si>
  <si>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</si>
  <si>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</si>
  <si>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</si>
  <si>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</si>
  <si>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</si>
  <si>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</si>
  <si>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</si>
  <si>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</si>
  <si>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</si>
  <si>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</si>
  <si>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</si>
  <si>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</si>
  <si>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</si>
  <si>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</si>
  <si>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</si>
  <si>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</si>
  <si>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</si>
  <si>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</si>
  <si>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</si>
  <si>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</si>
  <si>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</si>
  <si>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</si>
  <si>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</si>
  <si>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</si>
  <si>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</si>
  <si>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</si>
  <si>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</si>
  <si>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</si>
  <si>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</si>
  <si>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</si>
  <si>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</si>
  <si>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</si>
  <si>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</si>
  <si>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</si>
  <si>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</si>
  <si>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</si>
  <si>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</si>
  <si>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</si>
  <si>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</si>
  <si>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</si>
  <si>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</si>
  <si>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</si>
  <si>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</si>
  <si>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</si>
  <si>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</si>
  <si>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</si>
  <si>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</si>
  <si>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</si>
  <si>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</si>
  <si>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</si>
  <si>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</si>
  <si>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</si>
  <si>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</si>
  <si>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</si>
  <si>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</si>
  <si>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</si>
  <si>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</si>
  <si>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</si>
  <si>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</si>
  <si>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</si>
  <si>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</si>
  <si>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</si>
  <si>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</si>
  <si>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</si>
  <si>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</si>
  <si>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</si>
  <si>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</si>
  <si>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</si>
  <si>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</si>
  <si>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</si>
  <si>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</si>
  <si>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</si>
  <si>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</si>
  <si>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</si>
  <si>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</si>
  <si>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</si>
  <si>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</si>
  <si>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</si>
  <si>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</si>
  <si>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</si>
  <si>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</si>
  <si>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</si>
  <si>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</si>
  <si>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</si>
  <si>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</si>
  <si>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</si>
  <si>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</si>
  <si>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</si>
  <si>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</si>
  <si>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</si>
  <si>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</si>
  <si>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</si>
  <si>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</si>
  <si>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</si>
  <si>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</si>
  <si>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</si>
  <si>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</si>
  <si>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</si>
  <si>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</si>
  <si>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</si>
  <si>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</si>
  <si>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</si>
  <si>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</si>
  <si>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</si>
  <si>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</si>
  <si>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</si>
  <si>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</si>
  <si>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</si>
  <si>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</si>
  <si>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</si>
  <si>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</si>
  <si>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</si>
  <si>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</si>
  <si>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</si>
  <si>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</si>
  <si>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</si>
  <si>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</si>
  <si>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</si>
  <si>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</si>
  <si>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</si>
  <si>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</si>
  <si>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</si>
  <si>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</si>
  <si>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</si>
  <si>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</si>
  <si>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</si>
  <si>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</si>
  <si>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</si>
  <si>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</si>
  <si>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</si>
  <si>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</si>
  <si>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</si>
  <si>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</si>
  <si>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</si>
  <si>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</si>
  <si>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</si>
  <si>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</si>
  <si>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43005</t>
  </si>
  <si>
    <t>EEKLO</t>
  </si>
  <si>
    <t>Fluvius</t>
  </si>
  <si>
    <t>referentietaak LNE (2017); Jaarverslag De Lijn</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</si>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</sst>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149869.15205824916</c:v>
                </c:pt>
                <c:pt idx="1">
                  <c:v>100839.91432302566</c:v>
                </c:pt>
                <c:pt idx="2">
                  <c:v>1459.0650000000001</c:v>
                </c:pt>
                <c:pt idx="3">
                  <c:v>10939.617763263597</c:v>
                </c:pt>
                <c:pt idx="4">
                  <c:v>112215.22010263699</c:v>
                </c:pt>
                <c:pt idx="5">
                  <c:v>133963.99625277295</c:v>
                </c:pt>
                <c:pt idx="6">
                  <c:v>1390.4763978703002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149869.15205824916</c:v>
                </c:pt>
                <c:pt idx="1">
                  <c:v>100839.91432302566</c:v>
                </c:pt>
                <c:pt idx="2">
                  <c:v>1459.0650000000001</c:v>
                </c:pt>
                <c:pt idx="3">
                  <c:v>10939.617763263597</c:v>
                </c:pt>
                <c:pt idx="4">
                  <c:v>112215.22010263699</c:v>
                </c:pt>
                <c:pt idx="5">
                  <c:v>133963.99625277295</c:v>
                </c:pt>
                <c:pt idx="6">
                  <c:v>1390.4763978703002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26984.167815545603</c:v>
                </c:pt>
                <c:pt idx="2">
                  <c:v>18764.647039154381</c:v>
                </c:pt>
                <c:pt idx="3">
                  <c:v>249.98354723947952</c:v>
                </c:pt>
                <c:pt idx="4">
                  <c:v>2726.7512663231323</c:v>
                </c:pt>
                <c:pt idx="5">
                  <c:v>18449.4817749582</c:v>
                </c:pt>
                <c:pt idx="6">
                  <c:v>33579.502471325904</c:v>
                </c:pt>
                <c:pt idx="7">
                  <c:v>351.30607144566289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26984.167815545603</c:v>
                </c:pt>
                <c:pt idx="2">
                  <c:v>18764.647039154381</c:v>
                </c:pt>
                <c:pt idx="3">
                  <c:v>249.98354723947952</c:v>
                </c:pt>
                <c:pt idx="4">
                  <c:v>2726.7512663231323</c:v>
                </c:pt>
                <c:pt idx="5">
                  <c:v>18449.4817749582</c:v>
                </c:pt>
                <c:pt idx="6">
                  <c:v>33579.502471325904</c:v>
                </c:pt>
                <c:pt idx="7">
                  <c:v>351.30607144566289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43005</v>
      </c>
      <c r="B6" s="390"/>
      <c r="C6" s="391"/>
    </row>
    <row r="7" spans="1:7" s="388" customFormat="1" ht="15.75" customHeight="1">
      <c r="A7" s="392" t="str">
        <f>txtMunicipality</f>
        <v>EEKLO</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0.17133133015971153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0.17133133015971153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9320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1621.6</v>
      </c>
      <c r="C14" s="330"/>
      <c r="D14" s="330"/>
      <c r="E14" s="330"/>
      <c r="F14" s="330"/>
    </row>
    <row r="15" spans="1:6">
      <c r="A15" s="1293" t="s">
        <v>183</v>
      </c>
      <c r="B15" s="1294">
        <v>38</v>
      </c>
      <c r="C15" s="330"/>
      <c r="D15" s="330"/>
      <c r="E15" s="330"/>
      <c r="F15" s="330"/>
    </row>
    <row r="16" spans="1:6">
      <c r="A16" s="1293" t="s">
        <v>6</v>
      </c>
      <c r="B16" s="1294">
        <v>1340</v>
      </c>
      <c r="C16" s="330"/>
      <c r="D16" s="330"/>
      <c r="E16" s="330"/>
      <c r="F16" s="330"/>
    </row>
    <row r="17" spans="1:6">
      <c r="A17" s="1293" t="s">
        <v>7</v>
      </c>
      <c r="B17" s="1294">
        <v>447</v>
      </c>
      <c r="C17" s="330"/>
      <c r="D17" s="330"/>
      <c r="E17" s="330"/>
      <c r="F17" s="330"/>
    </row>
    <row r="18" spans="1:6">
      <c r="A18" s="1293" t="s">
        <v>8</v>
      </c>
      <c r="B18" s="1294">
        <v>1032</v>
      </c>
      <c r="C18" s="330"/>
      <c r="D18" s="330"/>
      <c r="E18" s="330"/>
      <c r="F18" s="330"/>
    </row>
    <row r="19" spans="1:6">
      <c r="A19" s="1293" t="s">
        <v>9</v>
      </c>
      <c r="B19" s="1294">
        <v>1053</v>
      </c>
      <c r="C19" s="330"/>
      <c r="D19" s="330"/>
      <c r="E19" s="330"/>
      <c r="F19" s="330"/>
    </row>
    <row r="20" spans="1:6">
      <c r="A20" s="1293" t="s">
        <v>10</v>
      </c>
      <c r="B20" s="1294">
        <v>560</v>
      </c>
      <c r="C20" s="330"/>
      <c r="D20" s="330"/>
      <c r="E20" s="330"/>
      <c r="F20" s="330"/>
    </row>
    <row r="21" spans="1:6">
      <c r="A21" s="1293" t="s">
        <v>11</v>
      </c>
      <c r="B21" s="1294">
        <v>9504</v>
      </c>
      <c r="C21" s="330"/>
      <c r="D21" s="330"/>
      <c r="E21" s="330"/>
      <c r="F21" s="330"/>
    </row>
    <row r="22" spans="1:6">
      <c r="A22" s="1293" t="s">
        <v>12</v>
      </c>
      <c r="B22" s="1294">
        <v>21915</v>
      </c>
      <c r="C22" s="330"/>
      <c r="D22" s="330"/>
      <c r="E22" s="330"/>
      <c r="F22" s="330"/>
    </row>
    <row r="23" spans="1:6">
      <c r="A23" s="1293" t="s">
        <v>13</v>
      </c>
      <c r="B23" s="1294">
        <v>547</v>
      </c>
      <c r="C23" s="330"/>
      <c r="D23" s="330"/>
      <c r="E23" s="330"/>
      <c r="F23" s="330"/>
    </row>
    <row r="24" spans="1:6">
      <c r="A24" s="1293" t="s">
        <v>14</v>
      </c>
      <c r="B24" s="1294">
        <v>17</v>
      </c>
      <c r="C24" s="330"/>
      <c r="D24" s="330"/>
      <c r="E24" s="330"/>
      <c r="F24" s="330"/>
    </row>
    <row r="25" spans="1:6">
      <c r="A25" s="1293" t="s">
        <v>15</v>
      </c>
      <c r="B25" s="1294">
        <v>2359</v>
      </c>
      <c r="C25" s="330"/>
      <c r="D25" s="330"/>
      <c r="E25" s="330"/>
      <c r="F25" s="330"/>
    </row>
    <row r="26" spans="1:6">
      <c r="A26" s="1293" t="s">
        <v>16</v>
      </c>
      <c r="B26" s="1294">
        <v>109</v>
      </c>
      <c r="C26" s="330"/>
      <c r="D26" s="330"/>
      <c r="E26" s="330"/>
      <c r="F26" s="330"/>
    </row>
    <row r="27" spans="1:6">
      <c r="A27" s="1293" t="s">
        <v>17</v>
      </c>
      <c r="B27" s="1294">
        <v>0</v>
      </c>
      <c r="C27" s="330"/>
      <c r="D27" s="330"/>
      <c r="E27" s="330"/>
      <c r="F27" s="330"/>
    </row>
    <row r="28" spans="1:6" s="43" customFormat="1">
      <c r="A28" s="1295" t="s">
        <v>18</v>
      </c>
      <c r="B28" s="1296">
        <v>29231</v>
      </c>
      <c r="C28" s="336"/>
      <c r="D28" s="336"/>
      <c r="E28" s="336"/>
      <c r="F28" s="336"/>
    </row>
    <row r="29" spans="1:6">
      <c r="A29" s="1295" t="s">
        <v>734</v>
      </c>
      <c r="B29" s="1296">
        <v>55</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19473.416659708801</v>
      </c>
    </row>
    <row r="37" spans="1:6">
      <c r="A37" s="1293" t="s">
        <v>24</v>
      </c>
      <c r="B37" s="1293" t="s">
        <v>27</v>
      </c>
      <c r="C37" s="1294">
        <v>0</v>
      </c>
      <c r="D37" s="1294">
        <v>0</v>
      </c>
      <c r="E37" s="1294">
        <v>0</v>
      </c>
      <c r="F37" s="1294">
        <v>0</v>
      </c>
    </row>
    <row r="38" spans="1:6">
      <c r="A38" s="1293" t="s">
        <v>24</v>
      </c>
      <c r="B38" s="1293" t="s">
        <v>28</v>
      </c>
      <c r="C38" s="1294">
        <v>1</v>
      </c>
      <c r="D38" s="1294">
        <v>48518.956087881699</v>
      </c>
      <c r="E38" s="1294">
        <v>2</v>
      </c>
      <c r="F38" s="1294">
        <v>149710.06522036999</v>
      </c>
    </row>
    <row r="39" spans="1:6">
      <c r="A39" s="1293" t="s">
        <v>29</v>
      </c>
      <c r="B39" s="1293" t="s">
        <v>30</v>
      </c>
      <c r="C39" s="1294">
        <v>7116</v>
      </c>
      <c r="D39" s="1294">
        <v>104468394.918547</v>
      </c>
      <c r="E39" s="1294">
        <v>9140</v>
      </c>
      <c r="F39" s="1294">
        <v>31901822.156902399</v>
      </c>
    </row>
    <row r="40" spans="1:6">
      <c r="A40" s="1293" t="s">
        <v>29</v>
      </c>
      <c r="B40" s="1293" t="s">
        <v>28</v>
      </c>
      <c r="C40" s="1294">
        <v>0</v>
      </c>
      <c r="D40" s="1294">
        <v>0</v>
      </c>
      <c r="E40" s="1294">
        <v>0</v>
      </c>
      <c r="F40" s="1294">
        <v>0</v>
      </c>
    </row>
    <row r="41" spans="1:6">
      <c r="A41" s="1293" t="s">
        <v>31</v>
      </c>
      <c r="B41" s="1293" t="s">
        <v>32</v>
      </c>
      <c r="C41" s="1294">
        <v>119</v>
      </c>
      <c r="D41" s="1294">
        <v>3742374.0481995801</v>
      </c>
      <c r="E41" s="1294">
        <v>258</v>
      </c>
      <c r="F41" s="1294">
        <v>2277639.0330586098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6331978.3120955899</v>
      </c>
      <c r="E44" s="1294">
        <v>37</v>
      </c>
      <c r="F44" s="1294">
        <v>5475441.7323300596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10</v>
      </c>
      <c r="D47" s="1294">
        <v>90794.700370146893</v>
      </c>
      <c r="E47" s="1294">
        <v>15</v>
      </c>
      <c r="F47" s="1294">
        <v>30041806.476068299</v>
      </c>
    </row>
    <row r="48" spans="1:6">
      <c r="A48" s="1293" t="s">
        <v>31</v>
      </c>
      <c r="B48" s="1293" t="s">
        <v>28</v>
      </c>
      <c r="C48" s="1294">
        <v>42</v>
      </c>
      <c r="D48" s="1294">
        <v>14030050.951179599</v>
      </c>
      <c r="E48" s="1294">
        <v>40</v>
      </c>
      <c r="F48" s="1294">
        <v>23761044.342878498</v>
      </c>
    </row>
    <row r="49" spans="1:6">
      <c r="A49" s="1293" t="s">
        <v>31</v>
      </c>
      <c r="B49" s="1293" t="s">
        <v>39</v>
      </c>
      <c r="C49" s="1294">
        <v>0</v>
      </c>
      <c r="D49" s="1294">
        <v>0</v>
      </c>
      <c r="E49" s="1294">
        <v>3</v>
      </c>
      <c r="F49" s="1294">
        <v>8122.0028224447997</v>
      </c>
    </row>
    <row r="50" spans="1:6">
      <c r="A50" s="1293" t="s">
        <v>31</v>
      </c>
      <c r="B50" s="1293" t="s">
        <v>40</v>
      </c>
      <c r="C50" s="1294">
        <v>11</v>
      </c>
      <c r="D50" s="1294">
        <v>4166328.3159246501</v>
      </c>
      <c r="E50" s="1294">
        <v>18</v>
      </c>
      <c r="F50" s="1294">
        <v>814789.68974145094</v>
      </c>
    </row>
    <row r="51" spans="1:6">
      <c r="A51" s="1293" t="s">
        <v>41</v>
      </c>
      <c r="B51" s="1293" t="s">
        <v>42</v>
      </c>
      <c r="C51" s="1294">
        <v>7</v>
      </c>
      <c r="D51" s="1294">
        <v>160664.52806897901</v>
      </c>
      <c r="E51" s="1294">
        <v>68</v>
      </c>
      <c r="F51" s="1294">
        <v>1867227.56316045</v>
      </c>
    </row>
    <row r="52" spans="1:6">
      <c r="A52" s="1293" t="s">
        <v>41</v>
      </c>
      <c r="B52" s="1293" t="s">
        <v>28</v>
      </c>
      <c r="C52" s="1294">
        <v>6</v>
      </c>
      <c r="D52" s="1294">
        <v>89653.625451473403</v>
      </c>
      <c r="E52" s="1294">
        <v>10</v>
      </c>
      <c r="F52" s="1294">
        <v>131241.464813586</v>
      </c>
    </row>
    <row r="53" spans="1:6">
      <c r="A53" s="1293" t="s">
        <v>43</v>
      </c>
      <c r="B53" s="1293" t="s">
        <v>44</v>
      </c>
      <c r="C53" s="1294">
        <v>215</v>
      </c>
      <c r="D53" s="1294">
        <v>3119424.7005271302</v>
      </c>
      <c r="E53" s="1294">
        <v>409</v>
      </c>
      <c r="F53" s="1294">
        <v>1363673.73762712</v>
      </c>
    </row>
    <row r="54" spans="1:6">
      <c r="A54" s="1293" t="s">
        <v>45</v>
      </c>
      <c r="B54" s="1293" t="s">
        <v>46</v>
      </c>
      <c r="C54" s="1294">
        <v>0</v>
      </c>
      <c r="D54" s="1294">
        <v>0</v>
      </c>
      <c r="E54" s="1294">
        <v>1</v>
      </c>
      <c r="F54" s="1294">
        <v>1459065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66</v>
      </c>
      <c r="D57" s="1294">
        <v>7742044.5624932302</v>
      </c>
      <c r="E57" s="1294">
        <v>121</v>
      </c>
      <c r="F57" s="1294">
        <v>4595449.8971846802</v>
      </c>
    </row>
    <row r="58" spans="1:6">
      <c r="A58" s="1293" t="s">
        <v>48</v>
      </c>
      <c r="B58" s="1293" t="s">
        <v>50</v>
      </c>
      <c r="C58" s="1294">
        <v>51</v>
      </c>
      <c r="D58" s="1294">
        <v>16294207.0764162</v>
      </c>
      <c r="E58" s="1294">
        <v>80</v>
      </c>
      <c r="F58" s="1294">
        <v>8019267.8464105995</v>
      </c>
    </row>
    <row r="59" spans="1:6">
      <c r="A59" s="1293" t="s">
        <v>48</v>
      </c>
      <c r="B59" s="1293" t="s">
        <v>51</v>
      </c>
      <c r="C59" s="1294">
        <v>140</v>
      </c>
      <c r="D59" s="1294">
        <v>5432314.1189737497</v>
      </c>
      <c r="E59" s="1294">
        <v>292</v>
      </c>
      <c r="F59" s="1294">
        <v>8752836.2030079495</v>
      </c>
    </row>
    <row r="60" spans="1:6">
      <c r="A60" s="1293" t="s">
        <v>48</v>
      </c>
      <c r="B60" s="1293" t="s">
        <v>52</v>
      </c>
      <c r="C60" s="1294">
        <v>87</v>
      </c>
      <c r="D60" s="1294">
        <v>3144516.1020128401</v>
      </c>
      <c r="E60" s="1294">
        <v>109</v>
      </c>
      <c r="F60" s="1294">
        <v>2313999.3684338699</v>
      </c>
    </row>
    <row r="61" spans="1:6">
      <c r="A61" s="1293" t="s">
        <v>48</v>
      </c>
      <c r="B61" s="1293" t="s">
        <v>53</v>
      </c>
      <c r="C61" s="1294">
        <v>263</v>
      </c>
      <c r="D61" s="1294">
        <v>10008552.5638803</v>
      </c>
      <c r="E61" s="1294">
        <v>529</v>
      </c>
      <c r="F61" s="1294">
        <v>5078122.5609128298</v>
      </c>
    </row>
    <row r="62" spans="1:6">
      <c r="A62" s="1293" t="s">
        <v>48</v>
      </c>
      <c r="B62" s="1293" t="s">
        <v>54</v>
      </c>
      <c r="C62" s="1294">
        <v>22</v>
      </c>
      <c r="D62" s="1294">
        <v>10542408.301025201</v>
      </c>
      <c r="E62" s="1294">
        <v>27</v>
      </c>
      <c r="F62" s="1294">
        <v>2135788.6548753902</v>
      </c>
    </row>
    <row r="63" spans="1:6">
      <c r="A63" s="1293" t="s">
        <v>48</v>
      </c>
      <c r="B63" s="1293" t="s">
        <v>28</v>
      </c>
      <c r="C63" s="1294">
        <v>97</v>
      </c>
      <c r="D63" s="1294">
        <v>6621658.6076960303</v>
      </c>
      <c r="E63" s="1294">
        <v>111</v>
      </c>
      <c r="F63" s="1294">
        <v>3923574.2734070602</v>
      </c>
    </row>
    <row r="64" spans="1:6">
      <c r="A64" s="1293" t="s">
        <v>55</v>
      </c>
      <c r="B64" s="1293" t="s">
        <v>56</v>
      </c>
      <c r="C64" s="1294">
        <v>0</v>
      </c>
      <c r="D64" s="1294">
        <v>0</v>
      </c>
      <c r="E64" s="1294">
        <v>0</v>
      </c>
      <c r="F64" s="1294">
        <v>0</v>
      </c>
    </row>
    <row r="65" spans="1:6">
      <c r="A65" s="1293" t="s">
        <v>55</v>
      </c>
      <c r="B65" s="1293" t="s">
        <v>28</v>
      </c>
      <c r="C65" s="1294">
        <v>1</v>
      </c>
      <c r="D65" s="1294">
        <v>82169.931086497701</v>
      </c>
      <c r="E65" s="1294">
        <v>4</v>
      </c>
      <c r="F65" s="1294">
        <v>24796.0977386101</v>
      </c>
    </row>
    <row r="66" spans="1:6">
      <c r="A66" s="1293" t="s">
        <v>55</v>
      </c>
      <c r="B66" s="1293" t="s">
        <v>57</v>
      </c>
      <c r="C66" s="1294">
        <v>0</v>
      </c>
      <c r="D66" s="1294">
        <v>0</v>
      </c>
      <c r="E66" s="1294">
        <v>18</v>
      </c>
      <c r="F66" s="1294">
        <v>618233.877447173</v>
      </c>
    </row>
    <row r="67" spans="1:6">
      <c r="A67" s="1295" t="s">
        <v>55</v>
      </c>
      <c r="B67" s="1295" t="s">
        <v>58</v>
      </c>
      <c r="C67" s="1294">
        <v>0</v>
      </c>
      <c r="D67" s="1294">
        <v>0</v>
      </c>
      <c r="E67" s="1294">
        <v>0</v>
      </c>
      <c r="F67" s="1294">
        <v>0</v>
      </c>
    </row>
    <row r="68" spans="1:6">
      <c r="A68" s="1288" t="s">
        <v>55</v>
      </c>
      <c r="B68" s="1288" t="s">
        <v>59</v>
      </c>
      <c r="C68" s="1297">
        <v>3</v>
      </c>
      <c r="D68" s="1297">
        <v>66401.396694247305</v>
      </c>
      <c r="E68" s="1297">
        <v>16</v>
      </c>
      <c r="F68" s="1297">
        <v>182960.14078631499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103097600</v>
      </c>
      <c r="E73" s="449"/>
      <c r="F73" s="330"/>
    </row>
    <row r="74" spans="1:6">
      <c r="A74" s="1293" t="s">
        <v>63</v>
      </c>
      <c r="B74" s="1293" t="s">
        <v>656</v>
      </c>
      <c r="C74" s="1307" t="s">
        <v>658</v>
      </c>
      <c r="D74" s="1308">
        <v>17285036.5</v>
      </c>
      <c r="E74" s="449"/>
      <c r="F74" s="330"/>
    </row>
    <row r="75" spans="1:6">
      <c r="A75" s="1293" t="s">
        <v>64</v>
      </c>
      <c r="B75" s="1293" t="s">
        <v>655</v>
      </c>
      <c r="C75" s="1307" t="s">
        <v>659</v>
      </c>
      <c r="D75" s="1308">
        <v>18344561</v>
      </c>
      <c r="E75" s="449"/>
      <c r="F75" s="330"/>
    </row>
    <row r="76" spans="1:6">
      <c r="A76" s="1293" t="s">
        <v>64</v>
      </c>
      <c r="B76" s="1293" t="s">
        <v>656</v>
      </c>
      <c r="C76" s="1307" t="s">
        <v>660</v>
      </c>
      <c r="D76" s="1308">
        <v>1739213.5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379227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26181.211503870407</v>
      </c>
      <c r="C90" s="330"/>
      <c r="D90" s="330"/>
      <c r="E90" s="330"/>
      <c r="F90" s="330"/>
    </row>
    <row r="91" spans="1:6">
      <c r="A91" s="1293" t="s">
        <v>67</v>
      </c>
      <c r="B91" s="1294">
        <v>2848.5311927426978</v>
      </c>
      <c r="C91" s="330"/>
      <c r="D91" s="330"/>
      <c r="E91" s="330"/>
      <c r="F91" s="330"/>
    </row>
    <row r="92" spans="1:6">
      <c r="A92" s="1288" t="s">
        <v>68</v>
      </c>
      <c r="B92" s="1289">
        <v>990.81972293516264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4927</v>
      </c>
      <c r="C97" s="330"/>
      <c r="D97" s="330"/>
      <c r="E97" s="330"/>
      <c r="F97" s="330"/>
    </row>
    <row r="98" spans="1:6">
      <c r="A98" s="1293" t="s">
        <v>71</v>
      </c>
      <c r="B98" s="1294">
        <v>3</v>
      </c>
      <c r="C98" s="330"/>
      <c r="D98" s="330"/>
      <c r="E98" s="330"/>
      <c r="F98" s="330"/>
    </row>
    <row r="99" spans="1:6">
      <c r="A99" s="1293" t="s">
        <v>72</v>
      </c>
      <c r="B99" s="1294">
        <v>85</v>
      </c>
      <c r="C99" s="330"/>
      <c r="D99" s="330"/>
      <c r="E99" s="330"/>
      <c r="F99" s="330"/>
    </row>
    <row r="100" spans="1:6">
      <c r="A100" s="1293" t="s">
        <v>73</v>
      </c>
      <c r="B100" s="1294">
        <v>935</v>
      </c>
      <c r="C100" s="330"/>
      <c r="D100" s="330"/>
      <c r="E100" s="330"/>
      <c r="F100" s="330"/>
    </row>
    <row r="101" spans="1:6">
      <c r="A101" s="1293" t="s">
        <v>74</v>
      </c>
      <c r="B101" s="1294">
        <v>75</v>
      </c>
      <c r="C101" s="330"/>
      <c r="D101" s="330"/>
      <c r="E101" s="330"/>
      <c r="F101" s="330"/>
    </row>
    <row r="102" spans="1:6">
      <c r="A102" s="1293" t="s">
        <v>75</v>
      </c>
      <c r="B102" s="1294">
        <v>200</v>
      </c>
      <c r="C102" s="330"/>
      <c r="D102" s="330"/>
      <c r="E102" s="330"/>
      <c r="F102" s="330"/>
    </row>
    <row r="103" spans="1:6">
      <c r="A103" s="1293" t="s">
        <v>76</v>
      </c>
      <c r="B103" s="1294">
        <v>148</v>
      </c>
      <c r="C103" s="330"/>
      <c r="D103" s="330"/>
      <c r="E103" s="330"/>
      <c r="F103" s="330"/>
    </row>
    <row r="104" spans="1:6">
      <c r="A104" s="1293" t="s">
        <v>77</v>
      </c>
      <c r="B104" s="1294">
        <v>1641</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31</v>
      </c>
      <c r="C123" s="1294">
        <v>15</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127</v>
      </c>
      <c r="C129" s="330"/>
      <c r="D129" s="330"/>
      <c r="E129" s="330"/>
      <c r="F129" s="330"/>
    </row>
    <row r="130" spans="1:6">
      <c r="A130" s="1293" t="s">
        <v>294</v>
      </c>
      <c r="B130" s="1294">
        <v>3</v>
      </c>
      <c r="C130" s="330"/>
      <c r="D130" s="330"/>
      <c r="E130" s="330"/>
      <c r="F130" s="330"/>
    </row>
    <row r="131" spans="1:6">
      <c r="A131" s="1293" t="s">
        <v>295</v>
      </c>
      <c r="B131" s="1294">
        <v>7</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137710.05780332044</v>
      </c>
      <c r="C3" s="43" t="s">
        <v>169</v>
      </c>
      <c r="D3" s="43"/>
      <c r="E3" s="154"/>
      <c r="F3" s="43"/>
      <c r="G3" s="43"/>
      <c r="H3" s="43"/>
      <c r="I3" s="43"/>
      <c r="J3" s="43"/>
      <c r="K3" s="96"/>
    </row>
    <row r="4" spans="1:11">
      <c r="A4" s="358" t="s">
        <v>170</v>
      </c>
      <c r="B4" s="49">
        <f>IF(ISERROR('SEAP template'!B78+'SEAP template'!C78),0,'SEAP template'!B78+'SEAP template'!C78)</f>
        <v>30949.662419548265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0.17133133015971153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41.571428571428562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1459.0650000000001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1459.0650000000001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0.17133133015971153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249.98354723947952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31901.822156902399</v>
      </c>
      <c r="C5" s="17">
        <f>IF(ISERROR('Eigen informatie GS &amp; warmtenet'!B57),0,'Eigen informatie GS &amp; warmtenet'!B57)</f>
        <v>0</v>
      </c>
      <c r="D5" s="30">
        <f>(SUM(HH_hh_gas_kWh,HH_rest_gas_kWh)/1000)*0.902</f>
        <v>94230.492216529397</v>
      </c>
      <c r="E5" s="17">
        <f>B46*B57</f>
        <v>8792.0005501849428</v>
      </c>
      <c r="F5" s="17">
        <f>B51*B62</f>
        <v>0</v>
      </c>
      <c r="G5" s="18"/>
      <c r="H5" s="17"/>
      <c r="I5" s="17"/>
      <c r="J5" s="17">
        <f>B50*B61+C50*C61</f>
        <v>0</v>
      </c>
      <c r="K5" s="17"/>
      <c r="L5" s="17"/>
      <c r="M5" s="17"/>
      <c r="N5" s="17">
        <f>B48*B59+C48*C59</f>
        <v>10692.179275223047</v>
      </c>
      <c r="O5" s="17">
        <f>B69*B70*B71</f>
        <v>221.99333333333334</v>
      </c>
      <c r="P5" s="17">
        <f>B77*B78*B79/1000-B77*B78*B79/1000/B80</f>
        <v>1182.1333333333332</v>
      </c>
    </row>
    <row r="6" spans="1:16">
      <c r="A6" s="16" t="s">
        <v>620</v>
      </c>
      <c r="B6" s="762">
        <f>kWh_PV_kleiner_dan_10kW</f>
        <v>2848.5311927426978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34750.353349645098</v>
      </c>
      <c r="C8" s="21">
        <f>C5</f>
        <v>0</v>
      </c>
      <c r="D8" s="21">
        <f>D5</f>
        <v>94230.492216529397</v>
      </c>
      <c r="E8" s="21">
        <f>E5</f>
        <v>8792.0005501849428</v>
      </c>
      <c r="F8" s="21">
        <f>F5</f>
        <v>0</v>
      </c>
      <c r="G8" s="21"/>
      <c r="H8" s="21"/>
      <c r="I8" s="21"/>
      <c r="J8" s="21">
        <f>J5</f>
        <v>0</v>
      </c>
      <c r="K8" s="21"/>
      <c r="L8" s="21">
        <f>L5</f>
        <v>0</v>
      </c>
      <c r="M8" s="21">
        <f>M5</f>
        <v>0</v>
      </c>
      <c r="N8" s="21">
        <f>N5</f>
        <v>10692.179275223047</v>
      </c>
      <c r="O8" s="21">
        <f>O5</f>
        <v>221.99333333333334</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0.17133133015971153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5953.8242629146816</v>
      </c>
      <c r="C12" s="23">
        <f ca="1">C10*C8</f>
        <v>0</v>
      </c>
      <c r="D12" s="23">
        <f>D8*D10</f>
        <v>19034.559427738939</v>
      </c>
      <c r="E12" s="23">
        <f>E10*E8</f>
        <v>1995.7841248919822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4927</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7.7625570776255701</v>
      </c>
      <c r="D20" s="229"/>
      <c r="E20" s="15"/>
    </row>
    <row r="21" spans="1:7">
      <c r="A21" s="171" t="s">
        <v>73</v>
      </c>
      <c r="B21" s="37">
        <f>aantalw2001_elektriciteit</f>
        <v>935</v>
      </c>
      <c r="C21" s="167">
        <f>IF(ISERROR(B21/SUM($B$20,$B$21,$B$22)*100),0,B21/SUM($B$20,$B$21,$B$22)*100)</f>
        <v>85.388127853881286</v>
      </c>
      <c r="D21" s="229"/>
      <c r="E21" s="15"/>
    </row>
    <row r="22" spans="1:7">
      <c r="A22" s="171" t="s">
        <v>74</v>
      </c>
      <c r="B22" s="37">
        <f>aantalw2001_hout</f>
        <v>75</v>
      </c>
      <c r="C22" s="167">
        <f>IF(ISERROR(B22/SUM($B$20,$B$21,$B$22)*100),0,B22/SUM($B$20,$B$21,$B$22)*100)</f>
        <v>6.8493150684931505</v>
      </c>
      <c r="D22" s="229"/>
      <c r="E22" s="15"/>
    </row>
    <row r="23" spans="1:7">
      <c r="A23" s="171" t="s">
        <v>75</v>
      </c>
      <c r="B23" s="37">
        <f>aantalw2001_niet_gespec</f>
        <v>200</v>
      </c>
      <c r="C23" s="166" t="s">
        <v>110</v>
      </c>
      <c r="D23" s="228"/>
      <c r="E23" s="15"/>
    </row>
    <row r="24" spans="1:7">
      <c r="A24" s="171" t="s">
        <v>76</v>
      </c>
      <c r="B24" s="37">
        <f>aantalw2001_steenkool</f>
        <v>148</v>
      </c>
      <c r="C24" s="166" t="s">
        <v>110</v>
      </c>
      <c r="D24" s="229"/>
      <c r="E24" s="15"/>
    </row>
    <row r="25" spans="1:7">
      <c r="A25" s="171" t="s">
        <v>77</v>
      </c>
      <c r="B25" s="37">
        <f>aantalw2001_stookolie</f>
        <v>1641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9320</v>
      </c>
      <c r="C28" s="36"/>
      <c r="D28" s="228"/>
    </row>
    <row r="29" spans="1:7" s="15" customFormat="1">
      <c r="A29" s="230" t="s">
        <v>781</v>
      </c>
      <c r="B29" s="37">
        <f>SUM(HH_hh_gas_aantal,HH_rest_gas_aantal)</f>
        <v>7116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7116</v>
      </c>
      <c r="C32" s="167">
        <f>IF(ISERROR(B32/SUM($B$32,$B$34,$B$35,$B$36,$B$38,$B$39)*100),0,B32/SUM($B$32,$B$34,$B$35,$B$36,$B$38,$B$39)*100)</f>
        <v>76.863253402462732</v>
      </c>
      <c r="D32" s="233"/>
      <c r="G32" s="15"/>
    </row>
    <row r="33" spans="1:7">
      <c r="A33" s="171" t="s">
        <v>71</v>
      </c>
      <c r="B33" s="34" t="s">
        <v>110</v>
      </c>
      <c r="C33" s="167"/>
      <c r="D33" s="233"/>
      <c r="G33" s="15"/>
    </row>
    <row r="34" spans="1:7">
      <c r="A34" s="171" t="s">
        <v>72</v>
      </c>
      <c r="B34" s="33">
        <f>IF((($B$28-$B$32-$B$39-$B$77-$B$38)*C20/100)&lt;0,0,($B$28-$B$32-$B$39-$B$77-$B$38)*C20/100)</f>
        <v>166.27397260273972</v>
      </c>
      <c r="C34" s="167">
        <f>IF(ISERROR(B34/SUM($B$32,$B$34,$B$35,$B$36,$B$38,$B$39)*100),0,B34/SUM($B$32,$B$34,$B$35,$B$36,$B$38,$B$39)*100)</f>
        <v>1.7960031605394222</v>
      </c>
      <c r="D34" s="233"/>
      <c r="G34" s="15"/>
    </row>
    <row r="35" spans="1:7">
      <c r="A35" s="171" t="s">
        <v>73</v>
      </c>
      <c r="B35" s="33">
        <f>IF((($B$28-$B$32-$B$39-$B$77-$B$38)*C21/100)&lt;0,0,($B$28-$B$32-$B$39-$B$77-$B$38)*C21/100)</f>
        <v>1829.013698630137</v>
      </c>
      <c r="C35" s="167">
        <f>IF(ISERROR(B35/SUM($B$32,$B$34,$B$35,$B$36,$B$38,$B$39)*100),0,B35/SUM($B$32,$B$34,$B$35,$B$36,$B$38,$B$39)*100)</f>
        <v>19.756034765933649</v>
      </c>
      <c r="D35" s="233"/>
      <c r="G35" s="15"/>
    </row>
    <row r="36" spans="1:7">
      <c r="A36" s="171" t="s">
        <v>74</v>
      </c>
      <c r="B36" s="33">
        <f>IF((($B$28-$B$32-$B$39-$B$77-$B$38)*C22/100)&lt;0,0,($B$28-$B$32-$B$39-$B$77-$B$38)*C22/100)</f>
        <v>146.7123287671233</v>
      </c>
      <c r="C36" s="167">
        <f>IF(ISERROR(B36/SUM($B$32,$B$34,$B$35,$B$36,$B$38,$B$39)*100),0,B36/SUM($B$32,$B$34,$B$35,$B$36,$B$38,$B$39)*100)</f>
        <v>1.5847086710641962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7116</v>
      </c>
      <c r="C44" s="34" t="s">
        <v>110</v>
      </c>
      <c r="D44" s="174"/>
    </row>
    <row r="45" spans="1:7">
      <c r="A45" s="171" t="s">
        <v>71</v>
      </c>
      <c r="B45" s="33" t="str">
        <f t="shared" si="0"/>
        <v>-</v>
      </c>
      <c r="C45" s="34" t="s">
        <v>110</v>
      </c>
      <c r="D45" s="174"/>
    </row>
    <row r="46" spans="1:7">
      <c r="A46" s="171" t="s">
        <v>72</v>
      </c>
      <c r="B46" s="33">
        <f t="shared" si="0"/>
        <v>166.27397260273972</v>
      </c>
      <c r="C46" s="34" t="s">
        <v>110</v>
      </c>
      <c r="D46" s="174"/>
    </row>
    <row r="47" spans="1:7">
      <c r="A47" s="171" t="s">
        <v>73</v>
      </c>
      <c r="B47" s="33">
        <f t="shared" si="0"/>
        <v>1829.013698630137</v>
      </c>
      <c r="C47" s="34" t="s">
        <v>110</v>
      </c>
      <c r="D47" s="174"/>
    </row>
    <row r="48" spans="1:7">
      <c r="A48" s="171" t="s">
        <v>74</v>
      </c>
      <c r="B48" s="33">
        <f t="shared" si="0"/>
        <v>146.7123287671233</v>
      </c>
      <c r="C48" s="33">
        <f>B48*10</f>
        <v>1467.1232876712329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34819.038804232383</v>
      </c>
      <c r="C5" s="17">
        <f>IF(ISERROR('Eigen informatie GS &amp; warmtenet'!B58),0,'Eigen informatie GS &amp; warmtenet'!B58)</f>
        <v>0</v>
      </c>
      <c r="D5" s="30">
        <f>SUM(D6:D12)</f>
        <v>53926.702601912788</v>
      </c>
      <c r="E5" s="17">
        <f>SUM(E6:E12)</f>
        <v>437.56038755440642</v>
      </c>
      <c r="F5" s="17">
        <f>SUM(F6:F12)</f>
        <v>6188.3812758558424</v>
      </c>
      <c r="G5" s="18"/>
      <c r="H5" s="17"/>
      <c r="I5" s="17"/>
      <c r="J5" s="17">
        <f>SUM(J6:J12)</f>
        <v>0.10925023772208357</v>
      </c>
      <c r="K5" s="17"/>
      <c r="L5" s="17"/>
      <c r="M5" s="17"/>
      <c r="N5" s="17">
        <f>SUM(N6:N12)</f>
        <v>4429.9653365658378</v>
      </c>
      <c r="O5" s="17">
        <f>B38*B39*B40</f>
        <v>4.6900000000000004</v>
      </c>
      <c r="P5" s="17">
        <f>B46*B47*B48/1000-B46*B47*B48/1000/B49</f>
        <v>133.46666666666667</v>
      </c>
      <c r="R5" s="32"/>
    </row>
    <row r="6" spans="1:18">
      <c r="A6" s="32" t="s">
        <v>53</v>
      </c>
      <c r="B6" s="37">
        <f>B26</f>
        <v>5078.1225609128296</v>
      </c>
      <c r="C6" s="33"/>
      <c r="D6" s="37">
        <f>IF(ISERROR(TER_kantoor_gas_kWh/1000),0,TER_kantoor_gas_kWh/1000)*0.902</f>
        <v>9027.714412620031</v>
      </c>
      <c r="E6" s="33">
        <f>$C$26*'E Balans VL '!I12/100/3.6*1000000</f>
        <v>3.182798325469776E-2</v>
      </c>
      <c r="F6" s="33">
        <f>$C$26*('E Balans VL '!L12+'E Balans VL '!N12)/100/3.6*1000000</f>
        <v>763.09992462766468</v>
      </c>
      <c r="G6" s="34"/>
      <c r="H6" s="33"/>
      <c r="I6" s="33"/>
      <c r="J6" s="33">
        <f>$C$26*('E Balans VL '!D12+'E Balans VL '!E12)/100/3.6*1000000</f>
        <v>0</v>
      </c>
      <c r="K6" s="33"/>
      <c r="L6" s="33"/>
      <c r="M6" s="33"/>
      <c r="N6" s="33">
        <f>$C$26*'E Balans VL '!Y12/100/3.6*1000000</f>
        <v>4.856471315215515</v>
      </c>
      <c r="O6" s="33"/>
      <c r="P6" s="33"/>
      <c r="R6" s="32"/>
    </row>
    <row r="7" spans="1:18">
      <c r="A7" s="32" t="s">
        <v>52</v>
      </c>
      <c r="B7" s="37">
        <f t="shared" ref="B7:B12" si="0">B27</f>
        <v>2313.9993684338701</v>
      </c>
      <c r="C7" s="33"/>
      <c r="D7" s="37">
        <f>IF(ISERROR(TER_horeca_gas_kWh/1000),0,TER_horeca_gas_kWh/1000)*0.902</f>
        <v>2836.353524015582</v>
      </c>
      <c r="E7" s="33">
        <f>$C$27*'E Balans VL '!I9/100/3.6*1000000</f>
        <v>33.136085517257762</v>
      </c>
      <c r="F7" s="33">
        <f>$C$27*('E Balans VL '!L9+'E Balans VL '!N9)/100/3.6*1000000</f>
        <v>293.02863868314046</v>
      </c>
      <c r="G7" s="34"/>
      <c r="H7" s="33"/>
      <c r="I7" s="33"/>
      <c r="J7" s="33">
        <f>$C$27*('E Balans VL '!D9+'E Balans VL '!E9)/100/3.6*1000000</f>
        <v>0</v>
      </c>
      <c r="K7" s="33"/>
      <c r="L7" s="33"/>
      <c r="M7" s="33"/>
      <c r="N7" s="33">
        <f>$C$27*'E Balans VL '!Y9/100/3.6*1000000</f>
        <v>0.66522379911814389</v>
      </c>
      <c r="O7" s="33"/>
      <c r="P7" s="33"/>
      <c r="R7" s="32"/>
    </row>
    <row r="8" spans="1:18">
      <c r="A8" s="6" t="s">
        <v>51</v>
      </c>
      <c r="B8" s="37">
        <f t="shared" si="0"/>
        <v>8752.8362030079497</v>
      </c>
      <c r="C8" s="33"/>
      <c r="D8" s="37">
        <f>IF(ISERROR(TER_handel_gas_kWh/1000),0,TER_handel_gas_kWh/1000)*0.902</f>
        <v>4899.9473353143221</v>
      </c>
      <c r="E8" s="33">
        <f>$C$28*'E Balans VL '!I13/100/3.6*1000000</f>
        <v>317.46428973169435</v>
      </c>
      <c r="F8" s="33">
        <f>$C$28*('E Balans VL '!L13+'E Balans VL '!N13)/100/3.6*1000000</f>
        <v>1685.8848808006853</v>
      </c>
      <c r="G8" s="34"/>
      <c r="H8" s="33"/>
      <c r="I8" s="33"/>
      <c r="J8" s="33">
        <f>$C$28*('E Balans VL '!D13+'E Balans VL '!E13)/100/3.6*1000000</f>
        <v>0</v>
      </c>
      <c r="K8" s="33"/>
      <c r="L8" s="33"/>
      <c r="M8" s="33"/>
      <c r="N8" s="33">
        <f>$C$28*'E Balans VL '!Y13/100/3.6*1000000</f>
        <v>12.124692078957388</v>
      </c>
      <c r="O8" s="33"/>
      <c r="P8" s="33"/>
      <c r="R8" s="32"/>
    </row>
    <row r="9" spans="1:18">
      <c r="A9" s="32" t="s">
        <v>50</v>
      </c>
      <c r="B9" s="37">
        <f t="shared" si="0"/>
        <v>8019.2678464105993</v>
      </c>
      <c r="C9" s="33"/>
      <c r="D9" s="37">
        <f>IF(ISERROR(TER_gezond_gas_kWh/1000),0,TER_gezond_gas_kWh/1000)*0.902</f>
        <v>14697.374782927413</v>
      </c>
      <c r="E9" s="33">
        <f>$C$29*'E Balans VL '!I10/100/3.6*1000000</f>
        <v>0.50208534315132136</v>
      </c>
      <c r="F9" s="33">
        <f>$C$29*('E Balans VL '!L10+'E Balans VL '!N10)/100/3.6*1000000</f>
        <v>1191.2866549295968</v>
      </c>
      <c r="G9" s="34"/>
      <c r="H9" s="33"/>
      <c r="I9" s="33"/>
      <c r="J9" s="33">
        <f>$C$29*('E Balans VL '!D10+'E Balans VL '!E10)/100/3.6*1000000</f>
        <v>0</v>
      </c>
      <c r="K9" s="33"/>
      <c r="L9" s="33"/>
      <c r="M9" s="33"/>
      <c r="N9" s="33">
        <f>$C$29*'E Balans VL '!Y10/100/3.6*1000000</f>
        <v>124.04280884148235</v>
      </c>
      <c r="O9" s="33"/>
      <c r="P9" s="33"/>
      <c r="R9" s="32"/>
    </row>
    <row r="10" spans="1:18">
      <c r="A10" s="32" t="s">
        <v>49</v>
      </c>
      <c r="B10" s="37">
        <f t="shared" si="0"/>
        <v>4595.4498971846806</v>
      </c>
      <c r="C10" s="33"/>
      <c r="D10" s="37">
        <f>IF(ISERROR(TER_ander_gas_kWh/1000),0,TER_ander_gas_kWh/1000)*0.902</f>
        <v>6983.3241953688939</v>
      </c>
      <c r="E10" s="33">
        <f>$C$30*'E Balans VL '!I14/100/3.6*1000000</f>
        <v>5.4776120638120425</v>
      </c>
      <c r="F10" s="33">
        <f>$C$30*('E Balans VL '!L14+'E Balans VL '!N14)/100/3.6*1000000</f>
        <v>1202.3739907597615</v>
      </c>
      <c r="G10" s="34"/>
      <c r="H10" s="33"/>
      <c r="I10" s="33"/>
      <c r="J10" s="33">
        <f>$C$30*('E Balans VL '!D14+'E Balans VL '!E14)/100/3.6*1000000</f>
        <v>9.9749203601675079E-2</v>
      </c>
      <c r="K10" s="33"/>
      <c r="L10" s="33"/>
      <c r="M10" s="33"/>
      <c r="N10" s="33">
        <f>$C$30*'E Balans VL '!Y14/100/3.6*1000000</f>
        <v>3902.3436036130797</v>
      </c>
      <c r="O10" s="33"/>
      <c r="P10" s="33"/>
      <c r="R10" s="32"/>
    </row>
    <row r="11" spans="1:18">
      <c r="A11" s="32" t="s">
        <v>54</v>
      </c>
      <c r="B11" s="37">
        <f t="shared" si="0"/>
        <v>2135.7886548753904</v>
      </c>
      <c r="C11" s="33"/>
      <c r="D11" s="37">
        <f>IF(ISERROR(TER_onderwijs_gas_kWh/1000),0,TER_onderwijs_gas_kWh/1000)*0.902</f>
        <v>9509.2522875247305</v>
      </c>
      <c r="E11" s="33">
        <f>$C$31*'E Balans VL '!I11/100/3.6*1000000</f>
        <v>32.225610787331021</v>
      </c>
      <c r="F11" s="33">
        <f>$C$31*('E Balans VL '!L11+'E Balans VL '!N11)/100/3.6*1000000</f>
        <v>374.22429257299575</v>
      </c>
      <c r="G11" s="34"/>
      <c r="H11" s="33"/>
      <c r="I11" s="33"/>
      <c r="J11" s="33">
        <f>$C$31*('E Balans VL '!D11+'E Balans VL '!E11)/100/3.6*1000000</f>
        <v>0</v>
      </c>
      <c r="K11" s="33"/>
      <c r="L11" s="33"/>
      <c r="M11" s="33"/>
      <c r="N11" s="33">
        <f>$C$31*'E Balans VL '!Y11/100/3.6*1000000</f>
        <v>6.0102716436562016</v>
      </c>
      <c r="O11" s="33"/>
      <c r="P11" s="33"/>
      <c r="R11" s="32"/>
    </row>
    <row r="12" spans="1:18">
      <c r="A12" s="32" t="s">
        <v>259</v>
      </c>
      <c r="B12" s="37">
        <f t="shared" si="0"/>
        <v>3923.57427340706</v>
      </c>
      <c r="C12" s="33"/>
      <c r="D12" s="37">
        <f>IF(ISERROR(TER_rest_gas_kWh/1000),0,TER_rest_gas_kWh/1000)*0.902</f>
        <v>5972.736064141819</v>
      </c>
      <c r="E12" s="33">
        <f>$C$32*'E Balans VL '!I8/100/3.6*1000000</f>
        <v>48.722876127905295</v>
      </c>
      <c r="F12" s="33">
        <f>$C$32*('E Balans VL '!L8+'E Balans VL '!N8)/100/3.6*1000000</f>
        <v>678.48289348199773</v>
      </c>
      <c r="G12" s="34"/>
      <c r="H12" s="33"/>
      <c r="I12" s="33"/>
      <c r="J12" s="33">
        <f>$C$32*('E Balans VL '!D8+'E Balans VL '!E8)/100/3.6*1000000</f>
        <v>9.5010341204084942E-3</v>
      </c>
      <c r="K12" s="33"/>
      <c r="L12" s="33"/>
      <c r="M12" s="33"/>
      <c r="N12" s="33">
        <f>$C$32*'E Balans VL '!Y8/100/3.6*1000000</f>
        <v>379.92226527432814</v>
      </c>
      <c r="O12" s="33"/>
      <c r="P12" s="33"/>
      <c r="R12" s="32"/>
    </row>
    <row r="13" spans="1:18">
      <c r="A13" s="16" t="s">
        <v>487</v>
      </c>
      <c r="B13" s="247">
        <f ca="1">'lokale energieproductie'!N38+'lokale energieproductie'!N31</f>
        <v>900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-2250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35719.038804232383</v>
      </c>
      <c r="C16" s="21">
        <f t="shared" ca="1" si="1"/>
        <v>0</v>
      </c>
      <c r="D16" s="21">
        <f t="shared" ca="1" si="1"/>
        <v>53926.702601912788</v>
      </c>
      <c r="E16" s="21">
        <f t="shared" si="1"/>
        <v>437.56038755440642</v>
      </c>
      <c r="F16" s="21">
        <f t="shared" ca="1" si="1"/>
        <v>6188.3812758558424</v>
      </c>
      <c r="G16" s="21">
        <f t="shared" si="1"/>
        <v>0</v>
      </c>
      <c r="H16" s="21">
        <f t="shared" si="1"/>
        <v>0</v>
      </c>
      <c r="I16" s="21">
        <f t="shared" si="1"/>
        <v>0</v>
      </c>
      <c r="J16" s="21">
        <f t="shared" si="1"/>
        <v>0.10925023772208357</v>
      </c>
      <c r="K16" s="21">
        <f t="shared" si="1"/>
        <v>0</v>
      </c>
      <c r="L16" s="21">
        <f t="shared" ca="1" si="1"/>
        <v>0</v>
      </c>
      <c r="M16" s="21">
        <f t="shared" si="1"/>
        <v>0</v>
      </c>
      <c r="N16" s="21">
        <f t="shared" ca="1" si="1"/>
        <v>4429.9653365658378</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0.17133133015971153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6119.790430355486</v>
      </c>
      <c r="C20" s="23">
        <f t="shared" ref="C20:P20" ca="1" si="2">C16*C18</f>
        <v>0</v>
      </c>
      <c r="D20" s="23">
        <f t="shared" ca="1" si="2"/>
        <v>10893.193925586384</v>
      </c>
      <c r="E20" s="23">
        <f t="shared" si="2"/>
        <v>99.326207974850263</v>
      </c>
      <c r="F20" s="23">
        <f t="shared" ca="1" si="2"/>
        <v>1652.29780065351</v>
      </c>
      <c r="G20" s="23">
        <f t="shared" si="2"/>
        <v>0</v>
      </c>
      <c r="H20" s="23">
        <f t="shared" si="2"/>
        <v>0</v>
      </c>
      <c r="I20" s="23">
        <f t="shared" si="2"/>
        <v>0</v>
      </c>
      <c r="J20" s="23">
        <f t="shared" si="2"/>
        <v>3.8674584153617582E-2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5078.1225609128296</v>
      </c>
      <c r="C26" s="39">
        <f>IF(ISERROR(B26*3.6/1000000/'E Balans VL '!Z12*100),0,B26*3.6/1000000/'E Balans VL '!Z12*100)</f>
        <v>0.10734346654177411</v>
      </c>
      <c r="D26" s="237" t="s">
        <v>744</v>
      </c>
      <c r="F26" s="6"/>
    </row>
    <row r="27" spans="1:18">
      <c r="A27" s="231" t="s">
        <v>52</v>
      </c>
      <c r="B27" s="33">
        <f>IF(ISERROR(TER_horeca_ele_kWh/1000),0,TER_horeca_ele_kWh/1000)</f>
        <v>2313.9993684338701</v>
      </c>
      <c r="C27" s="39">
        <f>IF(ISERROR(B27*3.6/1000000/'E Balans VL '!Z9*100),0,B27*3.6/1000000/'E Balans VL '!Z9*100)</f>
        <v>0.1824117077420466</v>
      </c>
      <c r="D27" s="237" t="s">
        <v>744</v>
      </c>
      <c r="F27" s="6"/>
    </row>
    <row r="28" spans="1:18">
      <c r="A28" s="171" t="s">
        <v>51</v>
      </c>
      <c r="B28" s="33">
        <f>IF(ISERROR(TER_handel_ele_kWh/1000),0,TER_handel_ele_kWh/1000)</f>
        <v>8752.8362030079497</v>
      </c>
      <c r="C28" s="39">
        <f>IF(ISERROR(B28*3.6/1000000/'E Balans VL '!Z13*100),0,B28*3.6/1000000/'E Balans VL '!Z13*100)</f>
        <v>0.25404267203246217</v>
      </c>
      <c r="D28" s="237" t="s">
        <v>744</v>
      </c>
      <c r="F28" s="6"/>
    </row>
    <row r="29" spans="1:18">
      <c r="A29" s="231" t="s">
        <v>50</v>
      </c>
      <c r="B29" s="33">
        <f>IF(ISERROR(TER_gezond_ele_kWh/1000),0,TER_gezond_ele_kWh/1000)</f>
        <v>8019.2678464105993</v>
      </c>
      <c r="C29" s="39">
        <f>IF(ISERROR(B29*3.6/1000000/'E Balans VL '!Z10*100),0,B29*3.6/1000000/'E Balans VL '!Z10*100)</f>
        <v>0.84456058408091328</v>
      </c>
      <c r="D29" s="237" t="s">
        <v>744</v>
      </c>
      <c r="F29" s="6"/>
    </row>
    <row r="30" spans="1:18">
      <c r="A30" s="231" t="s">
        <v>49</v>
      </c>
      <c r="B30" s="33">
        <f>IF(ISERROR(TER_ander_ele_kWh/1000),0,TER_ander_ele_kWh/1000)</f>
        <v>4595.4498971846806</v>
      </c>
      <c r="C30" s="39">
        <f>IF(ISERROR(B30*3.6/1000000/'E Balans VL '!Z14*100),0,B30*3.6/1000000/'E Balans VL '!Z14*100)</f>
        <v>0.33896138254309466</v>
      </c>
      <c r="D30" s="237" t="s">
        <v>744</v>
      </c>
      <c r="F30" s="6"/>
    </row>
    <row r="31" spans="1:18">
      <c r="A31" s="231" t="s">
        <v>54</v>
      </c>
      <c r="B31" s="33">
        <f>IF(ISERROR(TER_onderwijs_ele_kWh/1000),0,TER_onderwijs_ele_kWh/1000)</f>
        <v>2135.7886548753904</v>
      </c>
      <c r="C31" s="39">
        <f>IF(ISERROR(B31*3.6/1000000/'E Balans VL '!Z11*100),0,B31*3.6/1000000/'E Balans VL '!Z11*100)</f>
        <v>0.53041636923808255</v>
      </c>
      <c r="D31" s="237" t="s">
        <v>744</v>
      </c>
    </row>
    <row r="32" spans="1:18">
      <c r="A32" s="231" t="s">
        <v>259</v>
      </c>
      <c r="B32" s="33">
        <f>IF(ISERROR(TER_rest_ele_kWh/1000),0,TER_rest_ele_kWh/1000)</f>
        <v>3923.57427340706</v>
      </c>
      <c r="C32" s="39">
        <f>IF(ISERROR(B32*3.6/1000000/'E Balans VL '!Z8*100),0,B32*3.6/1000000/'E Balans VL '!Z8*100)</f>
        <v>3.2285808254700669E-2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62378.843276899366</v>
      </c>
      <c r="C5" s="17">
        <f>IF(ISERROR('Eigen informatie GS &amp; warmtenet'!B59),0,'Eigen informatie GS &amp; warmtenet'!B59)</f>
        <v>0</v>
      </c>
      <c r="D5" s="30">
        <f>SUM(D6:D15)</f>
        <v>25582.096747648149</v>
      </c>
      <c r="E5" s="17">
        <f>SUM(E6:E15)</f>
        <v>2072.4983318158665</v>
      </c>
      <c r="F5" s="17">
        <f>SUM(F6:F15)</f>
        <v>7836.0803737836868</v>
      </c>
      <c r="G5" s="18"/>
      <c r="H5" s="17"/>
      <c r="I5" s="17"/>
      <c r="J5" s="17">
        <f>SUM(J6:J15)</f>
        <v>89.710334337521033</v>
      </c>
      <c r="K5" s="17"/>
      <c r="L5" s="17"/>
      <c r="M5" s="17"/>
      <c r="N5" s="17">
        <f>SUM(N6:N15)</f>
        <v>14255.991038152417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5475.4417323300595</v>
      </c>
      <c r="C8" s="33"/>
      <c r="D8" s="37">
        <f>IF( ISERROR(IND_metaal_Gas_kWH/1000),0,IND_metaal_Gas_kWH/1000)*0.902</f>
        <v>5711.4444375102221</v>
      </c>
      <c r="E8" s="33">
        <f>C30*'E Balans VL '!I18/100/3.6*1000000</f>
        <v>50.341398496858574</v>
      </c>
      <c r="F8" s="33">
        <f>C30*'E Balans VL '!L18/100/3.6*1000000+C30*'E Balans VL '!N18/100/3.6*1000000</f>
        <v>513.41413858446276</v>
      </c>
      <c r="G8" s="34"/>
      <c r="H8" s="33"/>
      <c r="I8" s="33"/>
      <c r="J8" s="40">
        <f>C30*'E Balans VL '!D18/100/3.6*1000000+C30*'E Balans VL '!E18/100/3.6*1000000</f>
        <v>0</v>
      </c>
      <c r="K8" s="33"/>
      <c r="L8" s="33"/>
      <c r="M8" s="33"/>
      <c r="N8" s="33">
        <f>C30*'E Balans VL '!Y18/100/3.6*1000000</f>
        <v>78.116224860194833</v>
      </c>
      <c r="O8" s="33"/>
      <c r="P8" s="33"/>
      <c r="R8" s="32"/>
    </row>
    <row r="9" spans="1:18">
      <c r="A9" s="6" t="s">
        <v>32</v>
      </c>
      <c r="B9" s="37">
        <f t="shared" si="0"/>
        <v>2277.63903305861</v>
      </c>
      <c r="C9" s="33"/>
      <c r="D9" s="37">
        <f>IF( ISERROR(IND_andere_gas_kWh/1000),0,IND_andere_gas_kWh/1000)*0.902</f>
        <v>3375.6213914760215</v>
      </c>
      <c r="E9" s="33">
        <f>C31*'E Balans VL '!I19/100/3.6*1000000</f>
        <v>665.79822976508524</v>
      </c>
      <c r="F9" s="33">
        <f>C31*'E Balans VL '!L19/100/3.6*1000000+C31*'E Balans VL '!N19/100/3.6*1000000</f>
        <v>1830.2553644961311</v>
      </c>
      <c r="G9" s="34"/>
      <c r="H9" s="33"/>
      <c r="I9" s="33"/>
      <c r="J9" s="40">
        <f>C31*'E Balans VL '!D19/100/3.6*1000000+C31*'E Balans VL '!E19/100/3.6*1000000</f>
        <v>0</v>
      </c>
      <c r="K9" s="33"/>
      <c r="L9" s="33"/>
      <c r="M9" s="33"/>
      <c r="N9" s="33">
        <f>C31*'E Balans VL '!Y19/100/3.6*1000000</f>
        <v>178.65491233468524</v>
      </c>
      <c r="O9" s="33"/>
      <c r="P9" s="33"/>
      <c r="R9" s="32"/>
    </row>
    <row r="10" spans="1:18">
      <c r="A10" s="6" t="s">
        <v>40</v>
      </c>
      <c r="B10" s="37">
        <f t="shared" si="0"/>
        <v>814.78968974145096</v>
      </c>
      <c r="C10" s="33"/>
      <c r="D10" s="37">
        <f>IF( ISERROR(IND_voed_gas_kWh/1000),0,IND_voed_gas_kWh/1000)*0.902</f>
        <v>3758.0281409640347</v>
      </c>
      <c r="E10" s="33">
        <f>C32*'E Balans VL '!I20/100/3.6*1000000</f>
        <v>1.7237002221118078</v>
      </c>
      <c r="F10" s="33">
        <f>C32*'E Balans VL '!L20/100/3.6*1000000+C32*'E Balans VL '!N20/100/3.6*1000000</f>
        <v>51.805160757023188</v>
      </c>
      <c r="G10" s="34"/>
      <c r="H10" s="33"/>
      <c r="I10" s="33"/>
      <c r="J10" s="40">
        <f>C32*'E Balans VL '!D20/100/3.6*1000000+C32*'E Balans VL '!E20/100/3.6*1000000</f>
        <v>0</v>
      </c>
      <c r="K10" s="33"/>
      <c r="L10" s="33"/>
      <c r="M10" s="33"/>
      <c r="N10" s="33">
        <f>C32*'E Balans VL '!Y20/100/3.6*1000000</f>
        <v>56.22852913328574</v>
      </c>
      <c r="O10" s="33"/>
      <c r="P10" s="33"/>
      <c r="R10" s="32"/>
    </row>
    <row r="11" spans="1:18">
      <c r="A11" s="6" t="s">
        <v>39</v>
      </c>
      <c r="B11" s="37">
        <f t="shared" si="0"/>
        <v>8.1220028224448004</v>
      </c>
      <c r="C11" s="33"/>
      <c r="D11" s="37">
        <f>IF( ISERROR(IND_textiel_gas_kWh/1000),0,IND_textiel_gas_kWh/1000)*0.902</f>
        <v>0</v>
      </c>
      <c r="E11" s="33">
        <f>C33*'E Balans VL '!I21/100/3.6*1000000</f>
        <v>2.4121648131399658E-2</v>
      </c>
      <c r="F11" s="33">
        <f>C33*'E Balans VL '!L21/100/3.6*1000000+C33*'E Balans VL '!N21/100/3.6*1000000</f>
        <v>0.82054526747954259</v>
      </c>
      <c r="G11" s="34"/>
      <c r="H11" s="33"/>
      <c r="I11" s="33"/>
      <c r="J11" s="40">
        <f>C33*'E Balans VL '!D21/100/3.6*1000000+C33*'E Balans VL '!E21/100/3.6*1000000</f>
        <v>0</v>
      </c>
      <c r="K11" s="33"/>
      <c r="L11" s="33"/>
      <c r="M11" s="33"/>
      <c r="N11" s="33">
        <f>C33*'E Balans VL '!Y21/100/3.6*1000000</f>
        <v>0.44795437584606707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30041.806476068301</v>
      </c>
      <c r="C13" s="33"/>
      <c r="D13" s="37">
        <f>IF( ISERROR(IND_papier_gas_kWh/1000),0,IND_papier_gas_kWh/1000)*0.902</f>
        <v>81.896819733872505</v>
      </c>
      <c r="E13" s="33">
        <f>C35*'E Balans VL '!I23/100/3.6*1000000</f>
        <v>42.622452881735455</v>
      </c>
      <c r="F13" s="33">
        <f>C35*'E Balans VL '!L23/100/3.6*1000000+C35*'E Balans VL '!N23/100/3.6*1000000</f>
        <v>733.43346055649533</v>
      </c>
      <c r="G13" s="34"/>
      <c r="H13" s="33"/>
      <c r="I13" s="33"/>
      <c r="J13" s="40">
        <f>C35*'E Balans VL '!D23/100/3.6*1000000+C35*'E Balans VL '!E23/100/3.6*1000000</f>
        <v>4.6462474211905489</v>
      </c>
      <c r="K13" s="33"/>
      <c r="L13" s="33"/>
      <c r="M13" s="33"/>
      <c r="N13" s="33">
        <f>C35*'E Balans VL '!Y23/100/3.6*1000000</f>
        <v>12274.646549140023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23761.044342878497</v>
      </c>
      <c r="C15" s="33"/>
      <c r="D15" s="37">
        <f>IF( ISERROR(IND_rest_gas_kWh/1000),0,IND_rest_gas_kWh/1000)*0.902</f>
        <v>12655.105957963999</v>
      </c>
      <c r="E15" s="33">
        <f>C37*'E Balans VL '!I15/100/3.6*1000000</f>
        <v>1311.9884288019443</v>
      </c>
      <c r="F15" s="33">
        <f>C37*'E Balans VL '!L15/100/3.6*1000000+C37*'E Balans VL '!N15/100/3.6*1000000</f>
        <v>4706.3517041220939</v>
      </c>
      <c r="G15" s="34"/>
      <c r="H15" s="33"/>
      <c r="I15" s="33"/>
      <c r="J15" s="40">
        <f>C37*'E Balans VL '!D15/100/3.6*1000000+C37*'E Balans VL '!E15/100/3.6*1000000</f>
        <v>85.064086916330481</v>
      </c>
      <c r="K15" s="33"/>
      <c r="L15" s="33"/>
      <c r="M15" s="33"/>
      <c r="N15" s="33">
        <f>C37*'E Balans VL '!Y15/100/3.6*1000000</f>
        <v>1667.8968683083822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62378.843276899366</v>
      </c>
      <c r="C18" s="21">
        <f>C5+C16</f>
        <v>0</v>
      </c>
      <c r="D18" s="21">
        <f>MAX((D5+D16),0)</f>
        <v>25582.096747648149</v>
      </c>
      <c r="E18" s="21">
        <f>MAX((E5+E16),0)</f>
        <v>2072.4983318158665</v>
      </c>
      <c r="F18" s="21">
        <f>MAX((F5+F16),0)</f>
        <v>7836.0803737836868</v>
      </c>
      <c r="G18" s="21"/>
      <c r="H18" s="21"/>
      <c r="I18" s="21"/>
      <c r="J18" s="21">
        <f>MAX((J5+J16),0)</f>
        <v>89.710334337521033</v>
      </c>
      <c r="K18" s="21"/>
      <c r="L18" s="21">
        <f>MAX((L5+L16),0)</f>
        <v>0</v>
      </c>
      <c r="M18" s="21"/>
      <c r="N18" s="21">
        <f>MAX((N5+N16),0)</f>
        <v>14255.991038152417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0.17133133015971153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10687.450192455346</v>
      </c>
      <c r="C22" s="23">
        <f ca="1">C18*C20</f>
        <v>0</v>
      </c>
      <c r="D22" s="23">
        <f>D18*D20</f>
        <v>5167.5835430249263</v>
      </c>
      <c r="E22" s="23">
        <f>E18*E20</f>
        <v>470.45712132220171</v>
      </c>
      <c r="F22" s="23">
        <f>F18*F20</f>
        <v>2092.2334598002444</v>
      </c>
      <c r="G22" s="23"/>
      <c r="H22" s="23"/>
      <c r="I22" s="23"/>
      <c r="J22" s="23">
        <f>J18*J20</f>
        <v>31.757458355482445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5475.4417323300595</v>
      </c>
      <c r="C30" s="39">
        <f>IF(ISERROR(B30*3.6/1000000/'E Balans VL '!Z18*100),0,B30*3.6/1000000/'E Balans VL '!Z18*100)</f>
        <v>0.3103073229220269</v>
      </c>
      <c r="D30" s="237" t="s">
        <v>744</v>
      </c>
    </row>
    <row r="31" spans="1:18">
      <c r="A31" s="6" t="s">
        <v>32</v>
      </c>
      <c r="B31" s="37">
        <f>IF( ISERROR(IND_ander_ele_kWh/1000),0,IND_ander_ele_kWh/1000)</f>
        <v>2277.63903305861</v>
      </c>
      <c r="C31" s="39">
        <f>IF(ISERROR(B31*3.6/1000000/'E Balans VL '!Z19*100),0,B31*3.6/1000000/'E Balans VL '!Z19*100)</f>
        <v>0.1033042226156697</v>
      </c>
      <c r="D31" s="237" t="s">
        <v>744</v>
      </c>
    </row>
    <row r="32" spans="1:18">
      <c r="A32" s="171" t="s">
        <v>40</v>
      </c>
      <c r="B32" s="37">
        <f>IF( ISERROR(IND_voed_ele_kWh/1000),0,IND_voed_ele_kWh/1000)</f>
        <v>814.78968974145096</v>
      </c>
      <c r="C32" s="39">
        <f>IF(ISERROR(B32*3.6/1000000/'E Balans VL '!Z20*100),0,B32*3.6/1000000/'E Balans VL '!Z20*100)</f>
        <v>2.5205143936581721E-2</v>
      </c>
      <c r="D32" s="237" t="s">
        <v>744</v>
      </c>
    </row>
    <row r="33" spans="1:5">
      <c r="A33" s="171" t="s">
        <v>39</v>
      </c>
      <c r="B33" s="37">
        <f>IF( ISERROR(IND_textiel_ele_kWh/1000),0,IND_textiel_ele_kWh/1000)</f>
        <v>8.1220028224448004</v>
      </c>
      <c r="C33" s="39">
        <f>IF(ISERROR(B33*3.6/1000000/'E Balans VL '!Z21*100),0,B33*3.6/1000000/'E Balans VL '!Z21*100)</f>
        <v>1.059018887388327E-3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30041.806476068301</v>
      </c>
      <c r="C35" s="39">
        <f>IF(ISERROR(B35*3.6/1000000/'E Balans VL '!Z22*100),0,B35*3.6/1000000/'E Balans VL '!Z22*100)</f>
        <v>5.4035836914773654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23761.044342878497</v>
      </c>
      <c r="C37" s="39">
        <f>IF(ISERROR(B37*3.6/1000000/'E Balans VL '!Z15*100),0,B37*3.6/1000000/'E Balans VL '!Z15*100)</f>
        <v>0.18833545775505084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1998.469027974036</v>
      </c>
      <c r="C5" s="17">
        <f>'Eigen informatie GS &amp; warmtenet'!B60</f>
        <v>0</v>
      </c>
      <c r="D5" s="30">
        <f>IF(ISERROR(SUM(LB_lb_gas_kWh,LB_rest_gas_kWh)/1000),0,SUM(LB_lb_gas_kWh,LB_rest_gas_kWh)/1000)*0.902</f>
        <v>225.78697447544806</v>
      </c>
      <c r="E5" s="17">
        <f>B17*'E Balans VL '!I25/3.6*1000000/100</f>
        <v>58.741108761104513</v>
      </c>
      <c r="F5" s="17">
        <f>B17*('E Balans VL '!L25/3.6*1000000+'E Balans VL '!N25/3.6*1000000)/100</f>
        <v>8325.5139789417899</v>
      </c>
      <c r="G5" s="18"/>
      <c r="H5" s="17"/>
      <c r="I5" s="17"/>
      <c r="J5" s="17">
        <f>('E Balans VL '!D25+'E Balans VL '!E25)/3.6*1000000*landbouw!B17/100</f>
        <v>289.53524453978901</v>
      </c>
      <c r="K5" s="17"/>
      <c r="L5" s="17">
        <f>L6*(-1)</f>
        <v>0</v>
      </c>
      <c r="M5" s="17"/>
      <c r="N5" s="17">
        <f>N6*(-1)</f>
        <v>83.142857142857139</v>
      </c>
      <c r="O5" s="17"/>
      <c r="P5" s="17"/>
      <c r="R5" s="32"/>
    </row>
    <row r="6" spans="1:18">
      <c r="A6" s="16" t="s">
        <v>487</v>
      </c>
      <c r="B6" s="17" t="s">
        <v>210</v>
      </c>
      <c r="C6" s="17">
        <f>'lokale energieproductie'!O39+'lokale energieproductie'!O32</f>
        <v>41.571428571428562</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1998.469027974036</v>
      </c>
      <c r="C8" s="21">
        <f>C5+C6</f>
        <v>41.571428571428562</v>
      </c>
      <c r="D8" s="21">
        <f>MAX((D5+D6),0)</f>
        <v>225.78697447544806</v>
      </c>
      <c r="E8" s="21">
        <f>MAX((E5+E6),0)</f>
        <v>58.741108761104513</v>
      </c>
      <c r="F8" s="21">
        <f>MAX((F5+F6),0)</f>
        <v>8325.5139789417899</v>
      </c>
      <c r="G8" s="21"/>
      <c r="H8" s="21"/>
      <c r="I8" s="21"/>
      <c r="J8" s="21">
        <f>MAX((J5+J6),0)</f>
        <v>289.53524453978901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0.17133133015971153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342.40035684577731</v>
      </c>
      <c r="C12" s="23">
        <f ca="1">C8*C10</f>
        <v>0</v>
      </c>
      <c r="D12" s="23">
        <f>D8*D10</f>
        <v>45.608968844040511</v>
      </c>
      <c r="E12" s="23">
        <f>E8*E10</f>
        <v>13.334231688770725</v>
      </c>
      <c r="F12" s="23">
        <f>F8*F10</f>
        <v>2222.9122323774582</v>
      </c>
      <c r="G12" s="23"/>
      <c r="H12" s="23"/>
      <c r="I12" s="23"/>
      <c r="J12" s="23">
        <f>J8*J10</f>
        <v>102.4954765670853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0.28358902507487532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405.56355063549819</v>
      </c>
      <c r="C26" s="247">
        <f>B26*'GWP N2O_CH4'!B5</f>
        <v>8516.8345633454628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214.11519379333444</v>
      </c>
      <c r="C27" s="247">
        <f>B27*'GWP N2O_CH4'!B5</f>
        <v>4496.4190696600235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5.1090246951424572</v>
      </c>
      <c r="C28" s="247">
        <f>B28*'GWP N2O_CH4'!B4</f>
        <v>1583.7976554941617</v>
      </c>
      <c r="D28" s="50"/>
    </row>
    <row r="29" spans="1:4">
      <c r="A29" s="41" t="s">
        <v>276</v>
      </c>
      <c r="B29" s="247">
        <f>B34*'ha_N2O bodem landbouw'!B4</f>
        <v>10.550519408347217</v>
      </c>
      <c r="C29" s="247">
        <f>B29*'GWP N2O_CH4'!B4</f>
        <v>3270.6610165876373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2.407592170277461E-3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1.462125849927929E-4</v>
      </c>
      <c r="C5" s="437" t="s">
        <v>210</v>
      </c>
      <c r="D5" s="422">
        <f>SUM(D6:D11)</f>
        <v>4.0012964747113312E-4</v>
      </c>
      <c r="E5" s="422">
        <f>SUM(E6:E11)</f>
        <v>6.7892700644994319E-4</v>
      </c>
      <c r="F5" s="435" t="s">
        <v>210</v>
      </c>
      <c r="G5" s="422">
        <f>SUM(G6:G11)</f>
        <v>0.38870252917969056</v>
      </c>
      <c r="H5" s="422">
        <f>SUM(H6:H11)</f>
        <v>6.7641125260520713E-2</v>
      </c>
      <c r="I5" s="437" t="s">
        <v>210</v>
      </c>
      <c r="J5" s="437" t="s">
        <v>210</v>
      </c>
      <c r="K5" s="437" t="s">
        <v>210</v>
      </c>
      <c r="L5" s="437" t="s">
        <v>210</v>
      </c>
      <c r="M5" s="422">
        <f>SUM(M6:M11)</f>
        <v>2.4701462830857487E-2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1.2412630406463999E-4</v>
      </c>
      <c r="C6" s="423"/>
      <c r="D6" s="865">
        <f>vkm_GW_PW*SUMIFS(TableVerdeelsleutelVkm[CNG],TableVerdeelsleutelVkm[Voertuigtype],"Lichte voertuigen")*SUMIFS(TableECFTransport[EnergieConsumptieFactor (PJ per km)],TableECFTransport[Index],CONCATENATE($A6,"_CNG_CNG"))</f>
        <v>3.0761528920238531E-4</v>
      </c>
      <c r="E6" s="865">
        <f>vkm_GW_PW*SUMIFS(TableVerdeelsleutelVkm[LPG],TableVerdeelsleutelVkm[Voertuigtype],"Lichte voertuigen")*SUMIFS(TableECFTransport[EnergieConsumptieFactor (PJ per km)],TableECFTransport[Index],CONCATENATE($A6,"_LPG_LPG"))</f>
        <v>5.2809863577278713E-4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0.16181709102705194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5.2265122673816791E-2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1.0992965778015198E-2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0.16239080689473495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2.7165028143864736E-6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9.4877731849259718E-3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2.2086280928152901E-5</v>
      </c>
      <c r="C8" s="423"/>
      <c r="D8" s="425">
        <f>vkm_NGW_PW*SUMIFS(TableVerdeelsleutelVkm[CNG],TableVerdeelsleutelVkm[Voertuigtype],"Lichte voertuigen")*SUMIFS(TableECFTransport[EnergieConsumptieFactor (PJ per km)],TableECFTransport[Index],CONCATENATE($A8,"_CNG_CNG"))</f>
        <v>9.2514358268747801E-5</v>
      </c>
      <c r="E8" s="425">
        <f>vkm_NGW_PW*SUMIFS(TableVerdeelsleutelVkm[LPG],TableVerdeelsleutelVkm[Voertuigtype],"Lichte voertuigen")*SUMIFS(TableECFTransport[EnergieConsumptieFactor (PJ per km)],TableECFTransport[Index],CONCATENATE($A8,"_LPG_LPG"))</f>
        <v>1.50828370677156E-4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4.3472316187382239E-2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1.5372852878265971E-2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2.9924810204300513E-3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2.1022315070521411E-2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4.3320562356244756E-7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1.2282428474862657E-3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40.614606942442471</v>
      </c>
      <c r="C14" s="21"/>
      <c r="D14" s="21">
        <f t="shared" ref="D14:M14" si="0">((D5)*10^9/3600)+D12</f>
        <v>111.14712429753698</v>
      </c>
      <c r="E14" s="21">
        <f t="shared" si="0"/>
        <v>188.59083512498421</v>
      </c>
      <c r="F14" s="21"/>
      <c r="G14" s="21">
        <f t="shared" si="0"/>
        <v>107972.92477213626</v>
      </c>
      <c r="H14" s="21">
        <f t="shared" si="0"/>
        <v>18789.201461255754</v>
      </c>
      <c r="I14" s="21"/>
      <c r="J14" s="21"/>
      <c r="K14" s="21"/>
      <c r="L14" s="21"/>
      <c r="M14" s="21">
        <f t="shared" si="0"/>
        <v>6861.5174530159684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0.17133133015971153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6.9585546313625226</v>
      </c>
      <c r="C18" s="23"/>
      <c r="D18" s="23">
        <f t="shared" ref="D18:M18" si="1">D14*D16</f>
        <v>22.45171910810247</v>
      </c>
      <c r="E18" s="23">
        <f t="shared" si="1"/>
        <v>42.810119573371416</v>
      </c>
      <c r="F18" s="23"/>
      <c r="G18" s="23">
        <f t="shared" si="1"/>
        <v>28828.770914160385</v>
      </c>
      <c r="H18" s="23">
        <f t="shared" si="1"/>
        <v>4678.5111638526823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4.7367110756718588E-3</v>
      </c>
      <c r="H50" s="319">
        <f t="shared" si="2"/>
        <v>0</v>
      </c>
      <c r="I50" s="319">
        <f t="shared" si="2"/>
        <v>0</v>
      </c>
      <c r="J50" s="319">
        <f t="shared" si="2"/>
        <v>0</v>
      </c>
      <c r="K50" s="319">
        <f t="shared" si="2"/>
        <v>0</v>
      </c>
      <c r="L50" s="319">
        <f t="shared" si="2"/>
        <v>0</v>
      </c>
      <c r="M50" s="319">
        <f t="shared" si="2"/>
        <v>2.6900395666122189E-4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4.7367110756718588E-3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2.6900395666122189E-4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1315.7530765755164</v>
      </c>
      <c r="H54" s="21">
        <f t="shared" si="3"/>
        <v>0</v>
      </c>
      <c r="I54" s="21">
        <f t="shared" si="3"/>
        <v>0</v>
      </c>
      <c r="J54" s="21">
        <f t="shared" si="3"/>
        <v>0</v>
      </c>
      <c r="K54" s="21">
        <f t="shared" si="3"/>
        <v>0</v>
      </c>
      <c r="L54" s="21">
        <f t="shared" si="3"/>
        <v>0</v>
      </c>
      <c r="M54" s="21">
        <f t="shared" si="3"/>
        <v>74.723321294783872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0.17133133015971153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351.30607144566289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37178.103804232385</v>
      </c>
      <c r="D10" s="979">
        <f ca="1">tertiair!C16</f>
        <v>0</v>
      </c>
      <c r="E10" s="979">
        <f ca="1">tertiair!D16</f>
        <v>53926.702601912788</v>
      </c>
      <c r="F10" s="979">
        <f>tertiair!E16</f>
        <v>437.56038755440642</v>
      </c>
      <c r="G10" s="979">
        <f ca="1">tertiair!F16</f>
        <v>6188.3812758558424</v>
      </c>
      <c r="H10" s="979">
        <f>tertiair!G16</f>
        <v>0</v>
      </c>
      <c r="I10" s="979">
        <f>tertiair!H16</f>
        <v>0</v>
      </c>
      <c r="J10" s="979">
        <f>tertiair!I16</f>
        <v>0</v>
      </c>
      <c r="K10" s="979">
        <f>tertiair!J16</f>
        <v>0.10925023772208357</v>
      </c>
      <c r="L10" s="979">
        <f>tertiair!K16</f>
        <v>0</v>
      </c>
      <c r="M10" s="979">
        <f ca="1">tertiair!L16</f>
        <v>0</v>
      </c>
      <c r="N10" s="979">
        <f>tertiair!M16</f>
        <v>0</v>
      </c>
      <c r="O10" s="979">
        <f ca="1">tertiair!N16</f>
        <v>4429.9653365658378</v>
      </c>
      <c r="P10" s="979">
        <f>tertiair!O16</f>
        <v>4.6900000000000004</v>
      </c>
      <c r="Q10" s="980">
        <f>tertiair!P16</f>
        <v>133.46666666666667</v>
      </c>
      <c r="R10" s="674">
        <f ca="1">SUM(C10:Q10)</f>
        <v>102298.97932302566</v>
      </c>
      <c r="S10" s="67"/>
    </row>
    <row r="11" spans="1:19" s="447" customFormat="1">
      <c r="A11" s="783" t="s">
        <v>224</v>
      </c>
      <c r="B11" s="788"/>
      <c r="C11" s="979">
        <f>huishoudens!B8</f>
        <v>34750.353349645098</v>
      </c>
      <c r="D11" s="979">
        <f>huishoudens!C8</f>
        <v>0</v>
      </c>
      <c r="E11" s="979">
        <f>huishoudens!D8</f>
        <v>94230.492216529397</v>
      </c>
      <c r="F11" s="979">
        <f>huishoudens!E8</f>
        <v>8792.0005501849428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10692.179275223047</v>
      </c>
      <c r="P11" s="979">
        <f>huishoudens!O8</f>
        <v>221.99333333333334</v>
      </c>
      <c r="Q11" s="980">
        <f>huishoudens!P8</f>
        <v>1182.1333333333332</v>
      </c>
      <c r="R11" s="674">
        <f>SUM(C11:Q11)</f>
        <v>149869.15205824916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62378.843276899366</v>
      </c>
      <c r="D13" s="979">
        <f>industrie!C18</f>
        <v>0</v>
      </c>
      <c r="E13" s="979">
        <f>industrie!D18</f>
        <v>25582.096747648149</v>
      </c>
      <c r="F13" s="979">
        <f>industrie!E18</f>
        <v>2072.4983318158665</v>
      </c>
      <c r="G13" s="979">
        <f>industrie!F18</f>
        <v>7836.0803737836868</v>
      </c>
      <c r="H13" s="979">
        <f>industrie!G18</f>
        <v>0</v>
      </c>
      <c r="I13" s="979">
        <f>industrie!H18</f>
        <v>0</v>
      </c>
      <c r="J13" s="979">
        <f>industrie!I18</f>
        <v>0</v>
      </c>
      <c r="K13" s="979">
        <f>industrie!J18</f>
        <v>89.710334337521033</v>
      </c>
      <c r="L13" s="979">
        <f>industrie!K18</f>
        <v>0</v>
      </c>
      <c r="M13" s="979">
        <f>industrie!L18</f>
        <v>0</v>
      </c>
      <c r="N13" s="979">
        <f>industrie!M18</f>
        <v>0</v>
      </c>
      <c r="O13" s="979">
        <f>industrie!N18</f>
        <v>14255.991038152417</v>
      </c>
      <c r="P13" s="979">
        <f>industrie!O18</f>
        <v>0</v>
      </c>
      <c r="Q13" s="980">
        <f>industrie!P18</f>
        <v>0</v>
      </c>
      <c r="R13" s="674">
        <f>SUM(C13:Q13)</f>
        <v>112215.22010263699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134307.30043077684</v>
      </c>
      <c r="D16" s="706">
        <f t="shared" ref="D16:R16" ca="1" si="0">SUM(D9:D15)</f>
        <v>0</v>
      </c>
      <c r="E16" s="706">
        <f t="shared" ca="1" si="0"/>
        <v>173739.29156609034</v>
      </c>
      <c r="F16" s="706">
        <f t="shared" si="0"/>
        <v>11302.059269555215</v>
      </c>
      <c r="G16" s="706">
        <f t="shared" ca="1" si="0"/>
        <v>14024.461649639528</v>
      </c>
      <c r="H16" s="706">
        <f t="shared" si="0"/>
        <v>0</v>
      </c>
      <c r="I16" s="706">
        <f t="shared" si="0"/>
        <v>0</v>
      </c>
      <c r="J16" s="706">
        <f t="shared" si="0"/>
        <v>0</v>
      </c>
      <c r="K16" s="706">
        <f t="shared" si="0"/>
        <v>89.819584575243113</v>
      </c>
      <c r="L16" s="706">
        <f t="shared" si="0"/>
        <v>0</v>
      </c>
      <c r="M16" s="706">
        <f t="shared" ca="1" si="0"/>
        <v>0</v>
      </c>
      <c r="N16" s="706">
        <f t="shared" si="0"/>
        <v>0</v>
      </c>
      <c r="O16" s="706">
        <f t="shared" ca="1" si="0"/>
        <v>29378.135649941301</v>
      </c>
      <c r="P16" s="706">
        <f t="shared" si="0"/>
        <v>226.68333333333334</v>
      </c>
      <c r="Q16" s="706">
        <f t="shared" si="0"/>
        <v>1315.6</v>
      </c>
      <c r="R16" s="706">
        <f t="shared" ca="1" si="0"/>
        <v>364383.35148391186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1315.7530765755164</v>
      </c>
      <c r="I19" s="979">
        <f>transport!H54</f>
        <v>0</v>
      </c>
      <c r="J19" s="979">
        <f>transport!I54</f>
        <v>0</v>
      </c>
      <c r="K19" s="979">
        <f>transport!J54</f>
        <v>0</v>
      </c>
      <c r="L19" s="979">
        <f>transport!K54</f>
        <v>0</v>
      </c>
      <c r="M19" s="979">
        <f>transport!L54</f>
        <v>0</v>
      </c>
      <c r="N19" s="979">
        <f>transport!M54</f>
        <v>74.723321294783872</v>
      </c>
      <c r="O19" s="979">
        <f>transport!N54</f>
        <v>0</v>
      </c>
      <c r="P19" s="979">
        <f>transport!O54</f>
        <v>0</v>
      </c>
      <c r="Q19" s="980">
        <f>transport!P54</f>
        <v>0</v>
      </c>
      <c r="R19" s="674">
        <f>SUM(C19:Q19)</f>
        <v>1390.4763978703002</v>
      </c>
      <c r="S19" s="67"/>
    </row>
    <row r="20" spans="1:19" s="447" customFormat="1">
      <c r="A20" s="783" t="s">
        <v>306</v>
      </c>
      <c r="B20" s="788"/>
      <c r="C20" s="979">
        <f>transport!B14</f>
        <v>40.614606942442471</v>
      </c>
      <c r="D20" s="979">
        <f>transport!C14</f>
        <v>0</v>
      </c>
      <c r="E20" s="979">
        <f>transport!D14</f>
        <v>111.14712429753698</v>
      </c>
      <c r="F20" s="979">
        <f>transport!E14</f>
        <v>188.59083512498421</v>
      </c>
      <c r="G20" s="979">
        <f>transport!F14</f>
        <v>0</v>
      </c>
      <c r="H20" s="979">
        <f>transport!G14</f>
        <v>107972.92477213626</v>
      </c>
      <c r="I20" s="979">
        <f>transport!H14</f>
        <v>18789.201461255754</v>
      </c>
      <c r="J20" s="979">
        <f>transport!I14</f>
        <v>0</v>
      </c>
      <c r="K20" s="979">
        <f>transport!J14</f>
        <v>0</v>
      </c>
      <c r="L20" s="979">
        <f>transport!K14</f>
        <v>0</v>
      </c>
      <c r="M20" s="979">
        <f>transport!L14</f>
        <v>0</v>
      </c>
      <c r="N20" s="979">
        <f>transport!M14</f>
        <v>6861.5174530159684</v>
      </c>
      <c r="O20" s="979">
        <f>transport!N14</f>
        <v>0</v>
      </c>
      <c r="P20" s="979">
        <f>transport!O14</f>
        <v>0</v>
      </c>
      <c r="Q20" s="980">
        <f>transport!P14</f>
        <v>0</v>
      </c>
      <c r="R20" s="674">
        <f>SUM(C20:Q20)</f>
        <v>133963.99625277295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40.614606942442471</v>
      </c>
      <c r="D22" s="786">
        <f t="shared" ref="D22:R22" si="1">SUM(D18:D21)</f>
        <v>0</v>
      </c>
      <c r="E22" s="786">
        <f t="shared" si="1"/>
        <v>111.14712429753698</v>
      </c>
      <c r="F22" s="786">
        <f t="shared" si="1"/>
        <v>188.59083512498421</v>
      </c>
      <c r="G22" s="786">
        <f t="shared" si="1"/>
        <v>0</v>
      </c>
      <c r="H22" s="786">
        <f t="shared" si="1"/>
        <v>109288.67784871178</v>
      </c>
      <c r="I22" s="786">
        <f t="shared" si="1"/>
        <v>18789.201461255754</v>
      </c>
      <c r="J22" s="786">
        <f t="shared" si="1"/>
        <v>0</v>
      </c>
      <c r="K22" s="786">
        <f t="shared" si="1"/>
        <v>0</v>
      </c>
      <c r="L22" s="786">
        <f t="shared" si="1"/>
        <v>0</v>
      </c>
      <c r="M22" s="786">
        <f t="shared" si="1"/>
        <v>0</v>
      </c>
      <c r="N22" s="786">
        <f t="shared" si="1"/>
        <v>6936.2407743107524</v>
      </c>
      <c r="O22" s="786">
        <f t="shared" si="1"/>
        <v>0</v>
      </c>
      <c r="P22" s="786">
        <f t="shared" si="1"/>
        <v>0</v>
      </c>
      <c r="Q22" s="786">
        <f t="shared" si="1"/>
        <v>0</v>
      </c>
      <c r="R22" s="786">
        <f t="shared" si="1"/>
        <v>135354.47265064326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1998.469027974036</v>
      </c>
      <c r="D24" s="979">
        <f>+landbouw!C8</f>
        <v>41.571428571428562</v>
      </c>
      <c r="E24" s="979">
        <f>+landbouw!D8</f>
        <v>225.78697447544806</v>
      </c>
      <c r="F24" s="979">
        <f>+landbouw!E8</f>
        <v>58.741108761104513</v>
      </c>
      <c r="G24" s="979">
        <f>+landbouw!F8</f>
        <v>8325.5139789417899</v>
      </c>
      <c r="H24" s="979">
        <f>+landbouw!G8</f>
        <v>0</v>
      </c>
      <c r="I24" s="979">
        <f>+landbouw!H8</f>
        <v>0</v>
      </c>
      <c r="J24" s="979">
        <f>+landbouw!I8</f>
        <v>0</v>
      </c>
      <c r="K24" s="979">
        <f>+landbouw!J8</f>
        <v>289.53524453978901</v>
      </c>
      <c r="L24" s="979">
        <f>+landbouw!K8</f>
        <v>0</v>
      </c>
      <c r="M24" s="979">
        <f>+landbouw!L8</f>
        <v>0</v>
      </c>
      <c r="N24" s="979">
        <f>+landbouw!M8</f>
        <v>0</v>
      </c>
      <c r="O24" s="979">
        <f>+landbouw!N8</f>
        <v>0</v>
      </c>
      <c r="P24" s="979">
        <f>+landbouw!O8</f>
        <v>0</v>
      </c>
      <c r="Q24" s="980">
        <f>+landbouw!P8</f>
        <v>0</v>
      </c>
      <c r="R24" s="674">
        <f>SUM(C24:Q24)</f>
        <v>10939.617763263597</v>
      </c>
      <c r="S24" s="67"/>
    </row>
    <row r="25" spans="1:19" s="447" customFormat="1" ht="15" thickBot="1">
      <c r="A25" s="805" t="s">
        <v>823</v>
      </c>
      <c r="B25" s="982"/>
      <c r="C25" s="983">
        <f>IF(Onbekend_ele_kWh="---",0,Onbekend_ele_kWh)/1000+IF(REST_rest_ele_kWh="---",0,REST_rest_ele_kWh)/1000</f>
        <v>1363.6737376271201</v>
      </c>
      <c r="D25" s="983"/>
      <c r="E25" s="983">
        <f>IF(onbekend_gas_kWh="---",0,onbekend_gas_kWh)/1000+IF(REST_rest_gas_kWh="---",0,REST_rest_gas_kWh)/1000</f>
        <v>3119.42470052713</v>
      </c>
      <c r="F25" s="983"/>
      <c r="G25" s="983"/>
      <c r="H25" s="983"/>
      <c r="I25" s="983"/>
      <c r="J25" s="983"/>
      <c r="K25" s="983"/>
      <c r="L25" s="983"/>
      <c r="M25" s="983"/>
      <c r="N25" s="983"/>
      <c r="O25" s="983"/>
      <c r="P25" s="983"/>
      <c r="Q25" s="984"/>
      <c r="R25" s="674">
        <f>SUM(C25:Q25)</f>
        <v>4483.0984381542503</v>
      </c>
      <c r="S25" s="67"/>
    </row>
    <row r="26" spans="1:19" s="447" customFormat="1" ht="15.75" thickBot="1">
      <c r="A26" s="679" t="s">
        <v>824</v>
      </c>
      <c r="B26" s="791"/>
      <c r="C26" s="786">
        <f>SUM(C24:C25)</f>
        <v>3362.142765601156</v>
      </c>
      <c r="D26" s="786">
        <f t="shared" ref="D26:R26" si="2">SUM(D24:D25)</f>
        <v>41.571428571428562</v>
      </c>
      <c r="E26" s="786">
        <f t="shared" si="2"/>
        <v>3345.211675002578</v>
      </c>
      <c r="F26" s="786">
        <f t="shared" si="2"/>
        <v>58.741108761104513</v>
      </c>
      <c r="G26" s="786">
        <f t="shared" si="2"/>
        <v>8325.5139789417899</v>
      </c>
      <c r="H26" s="786">
        <f t="shared" si="2"/>
        <v>0</v>
      </c>
      <c r="I26" s="786">
        <f t="shared" si="2"/>
        <v>0</v>
      </c>
      <c r="J26" s="786">
        <f t="shared" si="2"/>
        <v>0</v>
      </c>
      <c r="K26" s="786">
        <f t="shared" si="2"/>
        <v>289.53524453978901</v>
      </c>
      <c r="L26" s="786">
        <f t="shared" si="2"/>
        <v>0</v>
      </c>
      <c r="M26" s="786">
        <f t="shared" si="2"/>
        <v>0</v>
      </c>
      <c r="N26" s="786">
        <f t="shared" si="2"/>
        <v>0</v>
      </c>
      <c r="O26" s="786">
        <f t="shared" si="2"/>
        <v>0</v>
      </c>
      <c r="P26" s="786">
        <f t="shared" si="2"/>
        <v>0</v>
      </c>
      <c r="Q26" s="786">
        <f t="shared" si="2"/>
        <v>0</v>
      </c>
      <c r="R26" s="786">
        <f t="shared" si="2"/>
        <v>15422.716201417847</v>
      </c>
      <c r="S26" s="67"/>
    </row>
    <row r="27" spans="1:19" s="447" customFormat="1" ht="17.25" thickTop="1" thickBot="1">
      <c r="A27" s="680" t="s">
        <v>115</v>
      </c>
      <c r="B27" s="779"/>
      <c r="C27" s="681">
        <f ca="1">C22+C16+C26</f>
        <v>137710.05780332044</v>
      </c>
      <c r="D27" s="681">
        <f t="shared" ref="D27:R27" ca="1" si="3">D22+D16+D26</f>
        <v>41.571428571428562</v>
      </c>
      <c r="E27" s="681">
        <f t="shared" ca="1" si="3"/>
        <v>177195.65036539047</v>
      </c>
      <c r="F27" s="681">
        <f t="shared" si="3"/>
        <v>11549.391213441304</v>
      </c>
      <c r="G27" s="681">
        <f t="shared" ca="1" si="3"/>
        <v>22349.97562858132</v>
      </c>
      <c r="H27" s="681">
        <f t="shared" si="3"/>
        <v>109288.67784871178</v>
      </c>
      <c r="I27" s="681">
        <f t="shared" si="3"/>
        <v>18789.201461255754</v>
      </c>
      <c r="J27" s="681">
        <f t="shared" si="3"/>
        <v>0</v>
      </c>
      <c r="K27" s="681">
        <f t="shared" si="3"/>
        <v>379.35482911503209</v>
      </c>
      <c r="L27" s="681">
        <f t="shared" si="3"/>
        <v>0</v>
      </c>
      <c r="M27" s="681">
        <f t="shared" ca="1" si="3"/>
        <v>0</v>
      </c>
      <c r="N27" s="681">
        <f t="shared" si="3"/>
        <v>6936.2407743107524</v>
      </c>
      <c r="O27" s="681">
        <f t="shared" ca="1" si="3"/>
        <v>29378.135649941301</v>
      </c>
      <c r="P27" s="681">
        <f t="shared" si="3"/>
        <v>226.68333333333334</v>
      </c>
      <c r="Q27" s="681">
        <f t="shared" si="3"/>
        <v>1315.6</v>
      </c>
      <c r="R27" s="681">
        <f t="shared" ca="1" si="3"/>
        <v>515160.54033597297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6369.7739775949658</v>
      </c>
      <c r="D40" s="979">
        <f ca="1">tertiair!C20</f>
        <v>0</v>
      </c>
      <c r="E40" s="979">
        <f ca="1">tertiair!D20</f>
        <v>10893.193925586384</v>
      </c>
      <c r="F40" s="979">
        <f>tertiair!E20</f>
        <v>99.326207974850263</v>
      </c>
      <c r="G40" s="979">
        <f ca="1">tertiair!F20</f>
        <v>1652.29780065351</v>
      </c>
      <c r="H40" s="979">
        <f>tertiair!G20</f>
        <v>0</v>
      </c>
      <c r="I40" s="979">
        <f>tertiair!H20</f>
        <v>0</v>
      </c>
      <c r="J40" s="979">
        <f>tertiair!I20</f>
        <v>0</v>
      </c>
      <c r="K40" s="979">
        <f>tertiair!J20</f>
        <v>3.8674584153617582E-2</v>
      </c>
      <c r="L40" s="979">
        <f>tertiair!K20</f>
        <v>0</v>
      </c>
      <c r="M40" s="979">
        <f ca="1">tertiair!L20</f>
        <v>0</v>
      </c>
      <c r="N40" s="979">
        <f>tertiair!M20</f>
        <v>0</v>
      </c>
      <c r="O40" s="979">
        <f ca="1">tertiair!N20</f>
        <v>0</v>
      </c>
      <c r="P40" s="979">
        <f>tertiair!O20</f>
        <v>0</v>
      </c>
      <c r="Q40" s="748">
        <f>tertiair!P20</f>
        <v>0</v>
      </c>
      <c r="R40" s="824">
        <f t="shared" ca="1" si="4"/>
        <v>19014.630586393861</v>
      </c>
    </row>
    <row r="41" spans="1:18">
      <c r="A41" s="796" t="s">
        <v>224</v>
      </c>
      <c r="B41" s="803"/>
      <c r="C41" s="979">
        <f ca="1">huishoudens!B12</f>
        <v>5953.8242629146816</v>
      </c>
      <c r="D41" s="979">
        <f ca="1">huishoudens!C12</f>
        <v>0</v>
      </c>
      <c r="E41" s="979">
        <f>huishoudens!D12</f>
        <v>19034.559427738939</v>
      </c>
      <c r="F41" s="979">
        <f>huishoudens!E12</f>
        <v>1995.7841248919822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26984.167815545603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10687.450192455346</v>
      </c>
      <c r="D43" s="979">
        <f ca="1">industrie!C22</f>
        <v>0</v>
      </c>
      <c r="E43" s="979">
        <f>industrie!D22</f>
        <v>5167.5835430249263</v>
      </c>
      <c r="F43" s="979">
        <f>industrie!E22</f>
        <v>470.45712132220171</v>
      </c>
      <c r="G43" s="979">
        <f>industrie!F22</f>
        <v>2092.2334598002444</v>
      </c>
      <c r="H43" s="979">
        <f>industrie!G22</f>
        <v>0</v>
      </c>
      <c r="I43" s="979">
        <f>industrie!H22</f>
        <v>0</v>
      </c>
      <c r="J43" s="979">
        <f>industrie!I22</f>
        <v>0</v>
      </c>
      <c r="K43" s="979">
        <f>industrie!J22</f>
        <v>31.757458355482445</v>
      </c>
      <c r="L43" s="979">
        <f>industrie!K22</f>
        <v>0</v>
      </c>
      <c r="M43" s="979">
        <f>industrie!L22</f>
        <v>0</v>
      </c>
      <c r="N43" s="979">
        <f>industrie!M22</f>
        <v>0</v>
      </c>
      <c r="O43" s="979">
        <f>industrie!N22</f>
        <v>0</v>
      </c>
      <c r="P43" s="979">
        <f>industrie!O22</f>
        <v>0</v>
      </c>
      <c r="Q43" s="748">
        <f>industrie!P22</f>
        <v>0</v>
      </c>
      <c r="R43" s="823">
        <f t="shared" ca="1" si="4"/>
        <v>18449.4817749582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23011.048432964992</v>
      </c>
      <c r="D46" s="706">
        <f t="shared" ref="D46:Q46" ca="1" si="5">SUM(D39:D45)</f>
        <v>0</v>
      </c>
      <c r="E46" s="706">
        <f t="shared" ca="1" si="5"/>
        <v>35095.336896350251</v>
      </c>
      <c r="F46" s="706">
        <f t="shared" si="5"/>
        <v>2565.5674541890339</v>
      </c>
      <c r="G46" s="706">
        <f t="shared" ca="1" si="5"/>
        <v>3744.5312604537544</v>
      </c>
      <c r="H46" s="706">
        <f t="shared" si="5"/>
        <v>0</v>
      </c>
      <c r="I46" s="706">
        <f t="shared" si="5"/>
        <v>0</v>
      </c>
      <c r="J46" s="706">
        <f t="shared" si="5"/>
        <v>0</v>
      </c>
      <c r="K46" s="706">
        <f t="shared" si="5"/>
        <v>31.796132939636063</v>
      </c>
      <c r="L46" s="706">
        <f t="shared" si="5"/>
        <v>0</v>
      </c>
      <c r="M46" s="706">
        <f t="shared" ca="1" si="5"/>
        <v>0</v>
      </c>
      <c r="N46" s="706">
        <f t="shared" si="5"/>
        <v>0</v>
      </c>
      <c r="O46" s="706">
        <f t="shared" ca="1" si="5"/>
        <v>0</v>
      </c>
      <c r="P46" s="706">
        <f t="shared" si="5"/>
        <v>0</v>
      </c>
      <c r="Q46" s="706">
        <f t="shared" si="5"/>
        <v>0</v>
      </c>
      <c r="R46" s="706">
        <f ca="1">SUM(R39:R45)</f>
        <v>64448.280176897664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351.30607144566289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351.30607144566289</v>
      </c>
    </row>
    <row r="50" spans="1:18">
      <c r="A50" s="799" t="s">
        <v>306</v>
      </c>
      <c r="B50" s="809"/>
      <c r="C50" s="677">
        <f ca="1">transport!B18</f>
        <v>6.9585546313625226</v>
      </c>
      <c r="D50" s="677">
        <f>transport!C18</f>
        <v>0</v>
      </c>
      <c r="E50" s="677">
        <f>transport!D18</f>
        <v>22.45171910810247</v>
      </c>
      <c r="F50" s="677">
        <f>transport!E18</f>
        <v>42.810119573371416</v>
      </c>
      <c r="G50" s="677">
        <f>transport!F18</f>
        <v>0</v>
      </c>
      <c r="H50" s="677">
        <f>transport!G18</f>
        <v>28828.770914160385</v>
      </c>
      <c r="I50" s="677">
        <f>transport!H18</f>
        <v>4678.5111638526823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33579.502471325904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6.9585546313625226</v>
      </c>
      <c r="D52" s="706">
        <f t="shared" ref="D52:Q52" ca="1" si="6">SUM(D48:D51)</f>
        <v>0</v>
      </c>
      <c r="E52" s="706">
        <f t="shared" si="6"/>
        <v>22.45171910810247</v>
      </c>
      <c r="F52" s="706">
        <f t="shared" si="6"/>
        <v>42.810119573371416</v>
      </c>
      <c r="G52" s="706">
        <f t="shared" si="6"/>
        <v>0</v>
      </c>
      <c r="H52" s="706">
        <f t="shared" si="6"/>
        <v>29180.076985606047</v>
      </c>
      <c r="I52" s="706">
        <f t="shared" si="6"/>
        <v>4678.5111638526823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33930.808542771571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342.40035684577731</v>
      </c>
      <c r="D54" s="677">
        <f ca="1">+landbouw!C12</f>
        <v>0</v>
      </c>
      <c r="E54" s="677">
        <f>+landbouw!D12</f>
        <v>45.608968844040511</v>
      </c>
      <c r="F54" s="677">
        <f>+landbouw!E12</f>
        <v>13.334231688770725</v>
      </c>
      <c r="G54" s="677">
        <f>+landbouw!F12</f>
        <v>2222.9122323774582</v>
      </c>
      <c r="H54" s="677">
        <f>+landbouw!G12</f>
        <v>0</v>
      </c>
      <c r="I54" s="677">
        <f>+landbouw!H12</f>
        <v>0</v>
      </c>
      <c r="J54" s="677">
        <f>+landbouw!I12</f>
        <v>0</v>
      </c>
      <c r="K54" s="677">
        <f>+landbouw!J12</f>
        <v>102.4954765670853</v>
      </c>
      <c r="L54" s="677">
        <f>+landbouw!K12</f>
        <v>0</v>
      </c>
      <c r="M54" s="677">
        <f>+landbouw!L12</f>
        <v>0</v>
      </c>
      <c r="N54" s="677">
        <f>+landbouw!M12</f>
        <v>0</v>
      </c>
      <c r="O54" s="677">
        <f>+landbouw!N12</f>
        <v>0</v>
      </c>
      <c r="P54" s="677">
        <f>+landbouw!O12</f>
        <v>0</v>
      </c>
      <c r="Q54" s="678">
        <f>+landbouw!P12</f>
        <v>0</v>
      </c>
      <c r="R54" s="705">
        <f ca="1">SUM(C54:Q54)</f>
        <v>2726.7512663231323</v>
      </c>
    </row>
    <row r="55" spans="1:18" ht="15" thickBot="1">
      <c r="A55" s="799" t="s">
        <v>823</v>
      </c>
      <c r="B55" s="809"/>
      <c r="C55" s="677">
        <f ca="1">C25*'EF ele_warmte'!B12</f>
        <v>233.64003537151993</v>
      </c>
      <c r="D55" s="677"/>
      <c r="E55" s="677">
        <f>E25*EF_CO2_aardgas</f>
        <v>630.12378950648031</v>
      </c>
      <c r="F55" s="677"/>
      <c r="G55" s="677"/>
      <c r="H55" s="677"/>
      <c r="I55" s="677"/>
      <c r="J55" s="677"/>
      <c r="K55" s="677"/>
      <c r="L55" s="677"/>
      <c r="M55" s="677"/>
      <c r="N55" s="677"/>
      <c r="O55" s="677"/>
      <c r="P55" s="677"/>
      <c r="Q55" s="678"/>
      <c r="R55" s="705">
        <f ca="1">SUM(C55:Q55)</f>
        <v>863.76382487800026</v>
      </c>
    </row>
    <row r="56" spans="1:18" ht="15.75" thickBot="1">
      <c r="A56" s="797" t="s">
        <v>824</v>
      </c>
      <c r="B56" s="810"/>
      <c r="C56" s="706">
        <f ca="1">SUM(C54:C55)</f>
        <v>576.04039221729727</v>
      </c>
      <c r="D56" s="706">
        <f t="shared" ref="D56:Q56" ca="1" si="7">SUM(D54:D55)</f>
        <v>0</v>
      </c>
      <c r="E56" s="706">
        <f t="shared" si="7"/>
        <v>675.73275835052084</v>
      </c>
      <c r="F56" s="706">
        <f t="shared" si="7"/>
        <v>13.334231688770725</v>
      </c>
      <c r="G56" s="706">
        <f t="shared" si="7"/>
        <v>2222.9122323774582</v>
      </c>
      <c r="H56" s="706">
        <f t="shared" si="7"/>
        <v>0</v>
      </c>
      <c r="I56" s="706">
        <f t="shared" si="7"/>
        <v>0</v>
      </c>
      <c r="J56" s="706">
        <f t="shared" si="7"/>
        <v>0</v>
      </c>
      <c r="K56" s="706">
        <f t="shared" si="7"/>
        <v>102.4954765670853</v>
      </c>
      <c r="L56" s="706">
        <f t="shared" si="7"/>
        <v>0</v>
      </c>
      <c r="M56" s="706">
        <f t="shared" si="7"/>
        <v>0</v>
      </c>
      <c r="N56" s="706">
        <f t="shared" si="7"/>
        <v>0</v>
      </c>
      <c r="O56" s="706">
        <f t="shared" si="7"/>
        <v>0</v>
      </c>
      <c r="P56" s="706">
        <f t="shared" si="7"/>
        <v>0</v>
      </c>
      <c r="Q56" s="707">
        <f t="shared" si="7"/>
        <v>0</v>
      </c>
      <c r="R56" s="708">
        <f ca="1">SUM(R54:R55)</f>
        <v>3590.5150912011327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23594.047379813652</v>
      </c>
      <c r="D61" s="714">
        <f t="shared" ref="D61:Q61" ca="1" si="8">D46+D52+D56</f>
        <v>0</v>
      </c>
      <c r="E61" s="714">
        <f t="shared" ca="1" si="8"/>
        <v>35793.521373808871</v>
      </c>
      <c r="F61" s="714">
        <f t="shared" si="8"/>
        <v>2621.7118054511761</v>
      </c>
      <c r="G61" s="714">
        <f t="shared" ca="1" si="8"/>
        <v>5967.443492831213</v>
      </c>
      <c r="H61" s="714">
        <f t="shared" si="8"/>
        <v>29180.076985606047</v>
      </c>
      <c r="I61" s="714">
        <f t="shared" si="8"/>
        <v>4678.5111638526823</v>
      </c>
      <c r="J61" s="714">
        <f t="shared" si="8"/>
        <v>0</v>
      </c>
      <c r="K61" s="714">
        <f t="shared" si="8"/>
        <v>134.29160950672136</v>
      </c>
      <c r="L61" s="714">
        <f t="shared" si="8"/>
        <v>0</v>
      </c>
      <c r="M61" s="714">
        <f t="shared" ca="1" si="8"/>
        <v>0</v>
      </c>
      <c r="N61" s="714">
        <f t="shared" si="8"/>
        <v>0</v>
      </c>
      <c r="O61" s="714">
        <f t="shared" ca="1" si="8"/>
        <v>0</v>
      </c>
      <c r="P61" s="714">
        <f t="shared" si="8"/>
        <v>0</v>
      </c>
      <c r="Q61" s="714">
        <f t="shared" si="8"/>
        <v>0</v>
      </c>
      <c r="R61" s="714">
        <f ca="1">R46+R52+R56</f>
        <v>101969.60381087037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0.17133133015971153</v>
      </c>
      <c r="D63" s="755">
        <f t="shared" ca="1" si="9"/>
        <v>0</v>
      </c>
      <c r="E63" s="990">
        <f t="shared" ca="1" si="9"/>
        <v>0.20199999999999999</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26181.211503870407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3839.3509156778605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29.099999999999994</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34.235294117647058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900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2250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30949.662419548265</v>
      </c>
      <c r="C78" s="729">
        <f>SUM(C72:C77)</f>
        <v>0</v>
      </c>
      <c r="D78" s="730">
        <f t="shared" ref="D78:H78" si="10">SUM(D76:D77)</f>
        <v>0</v>
      </c>
      <c r="E78" s="730">
        <f t="shared" si="10"/>
        <v>0</v>
      </c>
      <c r="F78" s="730">
        <f t="shared" si="10"/>
        <v>0</v>
      </c>
      <c r="G78" s="730">
        <f t="shared" si="10"/>
        <v>0</v>
      </c>
      <c r="H78" s="730">
        <f t="shared" si="10"/>
        <v>0</v>
      </c>
      <c r="I78" s="730">
        <f>SUM(I76:I77)</f>
        <v>2250</v>
      </c>
      <c r="J78" s="730">
        <f>SUM(J76:J77)</f>
        <v>34.235294117647058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41.571428571428562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48.907563025210081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41.571428571428562</v>
      </c>
      <c r="C90" s="729">
        <f>SUM(C87:C89)</f>
        <v>0</v>
      </c>
      <c r="D90" s="729">
        <f t="shared" ref="D90:H90" si="12">SUM(D87:D89)</f>
        <v>0</v>
      </c>
      <c r="E90" s="729">
        <f t="shared" si="12"/>
        <v>0</v>
      </c>
      <c r="F90" s="729">
        <f t="shared" si="12"/>
        <v>0</v>
      </c>
      <c r="G90" s="729">
        <f t="shared" si="12"/>
        <v>0</v>
      </c>
      <c r="H90" s="729">
        <f t="shared" si="12"/>
        <v>0</v>
      </c>
      <c r="I90" s="729">
        <f>SUM(I87:I89)</f>
        <v>0</v>
      </c>
      <c r="J90" s="729">
        <f>SUM(J87:J89)</f>
        <v>48.907563025210081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26181.211503870407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3839.3509156778605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29.099999999999994</v>
      </c>
      <c r="C8" s="544">
        <f>B48</f>
        <v>0</v>
      </c>
      <c r="D8" s="1010"/>
      <c r="E8" s="1010">
        <f>E48</f>
        <v>0</v>
      </c>
      <c r="F8" s="1011"/>
      <c r="G8" s="545"/>
      <c r="H8" s="1010">
        <f>I48</f>
        <v>0</v>
      </c>
      <c r="I8" s="1010">
        <f>G48+F48</f>
        <v>0</v>
      </c>
      <c r="J8" s="1010">
        <f>H48+D48+C48</f>
        <v>34.235294117647058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900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30949.662419548265</v>
      </c>
      <c r="C10" s="557">
        <f t="shared" ref="C10:L10" si="0">SUM(C8:C9)</f>
        <v>0</v>
      </c>
      <c r="D10" s="557">
        <f t="shared" si="0"/>
        <v>0</v>
      </c>
      <c r="E10" s="557">
        <f t="shared" si="0"/>
        <v>0</v>
      </c>
      <c r="F10" s="557">
        <f t="shared" si="0"/>
        <v>0</v>
      </c>
      <c r="G10" s="557">
        <f t="shared" si="0"/>
        <v>0</v>
      </c>
      <c r="H10" s="557">
        <f t="shared" si="0"/>
        <v>0</v>
      </c>
      <c r="I10" s="557">
        <f t="shared" si="0"/>
        <v>2250</v>
      </c>
      <c r="J10" s="557">
        <f t="shared" si="0"/>
        <v>34.235294117647058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41.571428571428562</v>
      </c>
      <c r="C17" s="569">
        <f>B49</f>
        <v>0</v>
      </c>
      <c r="D17" s="570"/>
      <c r="E17" s="570">
        <f>E49</f>
        <v>0</v>
      </c>
      <c r="F17" s="1016"/>
      <c r="G17" s="571"/>
      <c r="H17" s="569">
        <f>I49</f>
        <v>0</v>
      </c>
      <c r="I17" s="570">
        <f>G49+F49</f>
        <v>0</v>
      </c>
      <c r="J17" s="570">
        <f>H49+D49+C49</f>
        <v>48.907563025210081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41.571428571428562</v>
      </c>
      <c r="C20" s="556">
        <f>SUM(C17:C19)</f>
        <v>0</v>
      </c>
      <c r="D20" s="556">
        <f t="shared" ref="D20:L20" si="1">SUM(D17:D19)</f>
        <v>0</v>
      </c>
      <c r="E20" s="556">
        <f t="shared" si="1"/>
        <v>0</v>
      </c>
      <c r="F20" s="556">
        <f t="shared" si="1"/>
        <v>0</v>
      </c>
      <c r="G20" s="556">
        <f t="shared" si="1"/>
        <v>0</v>
      </c>
      <c r="H20" s="556">
        <f t="shared" si="1"/>
        <v>0</v>
      </c>
      <c r="I20" s="556">
        <f t="shared" si="1"/>
        <v>0</v>
      </c>
      <c r="J20" s="556">
        <f t="shared" si="1"/>
        <v>48.907563025210081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43005</v>
      </c>
      <c r="C28" s="770">
        <v>9900</v>
      </c>
      <c r="D28" s="627"/>
      <c r="E28" s="626"/>
      <c r="F28" s="626" t="s">
        <v>887</v>
      </c>
      <c r="G28" s="626" t="s">
        <v>888</v>
      </c>
      <c r="H28" s="626" t="s">
        <v>889</v>
      </c>
      <c r="I28" s="626" t="s">
        <v>890</v>
      </c>
      <c r="J28" s="769">
        <v>42003</v>
      </c>
      <c r="K28" s="769">
        <v>42466</v>
      </c>
      <c r="L28" s="626" t="s">
        <v>891</v>
      </c>
      <c r="M28" s="626">
        <v>9.6999999999999993</v>
      </c>
      <c r="N28" s="626">
        <v>29.099999999999994</v>
      </c>
      <c r="O28" s="626">
        <v>41.571428571428562</v>
      </c>
      <c r="P28" s="626">
        <v>0</v>
      </c>
      <c r="Q28" s="626">
        <v>83.142857142857139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29.099999999999994</v>
      </c>
      <c r="O29" s="584">
        <f>SUM(O28:O28)</f>
        <v>41.571428571428562</v>
      </c>
      <c r="P29" s="584">
        <f>SUM(P28:P28)</f>
        <v>0</v>
      </c>
      <c r="Q29" s="584">
        <f>SUM(Q28:Q28)</f>
        <v>83.142857142857139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29.099999999999994</v>
      </c>
      <c r="O32" s="589">
        <f>SUMIF($Z$28:$Z$28,"landbouw",O28:O28)</f>
        <v>41.571428571428562</v>
      </c>
      <c r="P32" s="589">
        <f>SUMIF($Z$28:$Z$28,"landbouw",P28:P28)</f>
        <v>0</v>
      </c>
      <c r="Q32" s="589">
        <f>SUMIF($Z$28:$Z$28,"landbouw",Q28:Q28)</f>
        <v>83.142857142857139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43005</v>
      </c>
      <c r="C35" s="770">
        <v>9900</v>
      </c>
      <c r="D35" s="629" t="s">
        <v>892</v>
      </c>
      <c r="E35" s="629" t="s">
        <v>893</v>
      </c>
      <c r="F35" s="629" t="s">
        <v>894</v>
      </c>
      <c r="G35" s="629" t="s">
        <v>895</v>
      </c>
      <c r="H35" s="629" t="s">
        <v>896</v>
      </c>
      <c r="I35" s="629" t="s">
        <v>897</v>
      </c>
      <c r="J35" s="769">
        <v>39066</v>
      </c>
      <c r="K35" s="769">
        <v>39142</v>
      </c>
      <c r="L35" s="629" t="s">
        <v>898</v>
      </c>
      <c r="M35" s="629">
        <v>200</v>
      </c>
      <c r="N35" s="629">
        <v>900</v>
      </c>
      <c r="O35" s="629">
        <v>0</v>
      </c>
      <c r="P35" s="629">
        <v>0</v>
      </c>
      <c r="Q35" s="629">
        <v>0</v>
      </c>
      <c r="R35" s="629">
        <v>0</v>
      </c>
      <c r="S35" s="629">
        <v>0</v>
      </c>
      <c r="T35" s="629">
        <v>0</v>
      </c>
      <c r="U35" s="629">
        <v>2250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200</v>
      </c>
      <c r="N36" s="584">
        <f>SUM(N35:N35)</f>
        <v>900</v>
      </c>
      <c r="O36" s="584">
        <f>SUM(O35:O35)</f>
        <v>0</v>
      </c>
      <c r="P36" s="584">
        <f>SUM(P35:P35)</f>
        <v>0</v>
      </c>
      <c r="Q36" s="584">
        <f>SUM(Q35:Q35)</f>
        <v>0</v>
      </c>
      <c r="R36" s="584">
        <f>SUM(R35:R35)</f>
        <v>0</v>
      </c>
      <c r="S36" s="584">
        <f>SUM(S35:S35)</f>
        <v>0</v>
      </c>
      <c r="T36" s="584">
        <f>SUM(T35:T35)</f>
        <v>0</v>
      </c>
      <c r="U36" s="584">
        <f>SUM(U35:U35)</f>
        <v>2250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200</v>
      </c>
      <c r="N38" s="584">
        <f>SUMIF($Z$35:$Z$36,"tertiair",N35:N36)</f>
        <v>900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2250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34.235294117647058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48.907563025210081</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34750.353349645098</v>
      </c>
      <c r="C4" s="451">
        <f>huishoudens!C8</f>
        <v>0</v>
      </c>
      <c r="D4" s="451">
        <f>huishoudens!D8</f>
        <v>94230.492216529397</v>
      </c>
      <c r="E4" s="451">
        <f>huishoudens!E8</f>
        <v>8792.0005501849428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10692.179275223047</v>
      </c>
      <c r="O4" s="451">
        <f>huishoudens!O8</f>
        <v>221.99333333333334</v>
      </c>
      <c r="P4" s="452">
        <f>huishoudens!P8</f>
        <v>1182.1333333333332</v>
      </c>
      <c r="Q4" s="453">
        <f>SUM(B4:P4)</f>
        <v>149869.15205824916</v>
      </c>
    </row>
    <row r="5" spans="1:17">
      <c r="A5" s="450" t="s">
        <v>155</v>
      </c>
      <c r="B5" s="451">
        <f ca="1">tertiair!B16</f>
        <v>35719.038804232383</v>
      </c>
      <c r="C5" s="451">
        <f ca="1">tertiair!C16</f>
        <v>0</v>
      </c>
      <c r="D5" s="451">
        <f ca="1">tertiair!D16</f>
        <v>53926.702601912788</v>
      </c>
      <c r="E5" s="451">
        <f>tertiair!E16</f>
        <v>437.56038755440642</v>
      </c>
      <c r="F5" s="451">
        <f ca="1">tertiair!F16</f>
        <v>6188.3812758558424</v>
      </c>
      <c r="G5" s="451">
        <f>tertiair!G16</f>
        <v>0</v>
      </c>
      <c r="H5" s="451">
        <f>tertiair!H16</f>
        <v>0</v>
      </c>
      <c r="I5" s="451">
        <f>tertiair!I16</f>
        <v>0</v>
      </c>
      <c r="J5" s="451">
        <f>tertiair!J16</f>
        <v>0.10925023772208357</v>
      </c>
      <c r="K5" s="451">
        <f>tertiair!K16</f>
        <v>0</v>
      </c>
      <c r="L5" s="451">
        <f ca="1">tertiair!L16</f>
        <v>0</v>
      </c>
      <c r="M5" s="451">
        <f>tertiair!M16</f>
        <v>0</v>
      </c>
      <c r="N5" s="451">
        <f ca="1">tertiair!N16</f>
        <v>4429.9653365658378</v>
      </c>
      <c r="O5" s="451">
        <f>tertiair!O16</f>
        <v>4.6900000000000004</v>
      </c>
      <c r="P5" s="452">
        <f>tertiair!P16</f>
        <v>133.46666666666667</v>
      </c>
      <c r="Q5" s="450">
        <f t="shared" ref="Q5:Q14" ca="1" si="0">SUM(B5:P5)</f>
        <v>100839.91432302566</v>
      </c>
    </row>
    <row r="6" spans="1:17">
      <c r="A6" s="450" t="s">
        <v>193</v>
      </c>
      <c r="B6" s="451">
        <f>'openbare verlichting'!B8</f>
        <v>1459.0650000000001</v>
      </c>
      <c r="C6" s="451"/>
      <c r="D6" s="451"/>
      <c r="E6" s="451"/>
      <c r="F6" s="451"/>
      <c r="G6" s="451"/>
      <c r="H6" s="451"/>
      <c r="I6" s="451"/>
      <c r="J6" s="451"/>
      <c r="K6" s="451"/>
      <c r="L6" s="451"/>
      <c r="M6" s="451"/>
      <c r="N6" s="451"/>
      <c r="O6" s="451"/>
      <c r="P6" s="452"/>
      <c r="Q6" s="450">
        <f t="shared" si="0"/>
        <v>1459.0650000000001</v>
      </c>
    </row>
    <row r="7" spans="1:17">
      <c r="A7" s="450" t="s">
        <v>111</v>
      </c>
      <c r="B7" s="451">
        <f>landbouw!B8</f>
        <v>1998.469027974036</v>
      </c>
      <c r="C7" s="451">
        <f>landbouw!C8</f>
        <v>41.571428571428562</v>
      </c>
      <c r="D7" s="451">
        <f>landbouw!D8</f>
        <v>225.78697447544806</v>
      </c>
      <c r="E7" s="451">
        <f>landbouw!E8</f>
        <v>58.741108761104513</v>
      </c>
      <c r="F7" s="451">
        <f>landbouw!F8</f>
        <v>8325.5139789417899</v>
      </c>
      <c r="G7" s="451">
        <f>landbouw!G8</f>
        <v>0</v>
      </c>
      <c r="H7" s="451">
        <f>landbouw!H8</f>
        <v>0</v>
      </c>
      <c r="I7" s="451">
        <f>landbouw!I8</f>
        <v>0</v>
      </c>
      <c r="J7" s="451">
        <f>landbouw!J8</f>
        <v>289.53524453978901</v>
      </c>
      <c r="K7" s="451">
        <f>landbouw!K8</f>
        <v>0</v>
      </c>
      <c r="L7" s="451">
        <f>landbouw!L8</f>
        <v>0</v>
      </c>
      <c r="M7" s="451">
        <f>landbouw!M8</f>
        <v>0</v>
      </c>
      <c r="N7" s="451">
        <f>landbouw!N8</f>
        <v>0</v>
      </c>
      <c r="O7" s="451">
        <f>landbouw!O8</f>
        <v>0</v>
      </c>
      <c r="P7" s="452">
        <f>landbouw!P8</f>
        <v>0</v>
      </c>
      <c r="Q7" s="450">
        <f t="shared" si="0"/>
        <v>10939.617763263597</v>
      </c>
    </row>
    <row r="8" spans="1:17">
      <c r="A8" s="450" t="s">
        <v>634</v>
      </c>
      <c r="B8" s="451">
        <f>industrie!B18</f>
        <v>62378.843276899366</v>
      </c>
      <c r="C8" s="451">
        <f>industrie!C18</f>
        <v>0</v>
      </c>
      <c r="D8" s="451">
        <f>industrie!D18</f>
        <v>25582.096747648149</v>
      </c>
      <c r="E8" s="451">
        <f>industrie!E18</f>
        <v>2072.4983318158665</v>
      </c>
      <c r="F8" s="451">
        <f>industrie!F18</f>
        <v>7836.0803737836868</v>
      </c>
      <c r="G8" s="451">
        <f>industrie!G18</f>
        <v>0</v>
      </c>
      <c r="H8" s="451">
        <f>industrie!H18</f>
        <v>0</v>
      </c>
      <c r="I8" s="451">
        <f>industrie!I18</f>
        <v>0</v>
      </c>
      <c r="J8" s="451">
        <f>industrie!J18</f>
        <v>89.710334337521033</v>
      </c>
      <c r="K8" s="451">
        <f>industrie!K18</f>
        <v>0</v>
      </c>
      <c r="L8" s="451">
        <f>industrie!L18</f>
        <v>0</v>
      </c>
      <c r="M8" s="451">
        <f>industrie!M18</f>
        <v>0</v>
      </c>
      <c r="N8" s="451">
        <f>industrie!N18</f>
        <v>14255.991038152417</v>
      </c>
      <c r="O8" s="451">
        <f>industrie!O18</f>
        <v>0</v>
      </c>
      <c r="P8" s="452">
        <f>industrie!P18</f>
        <v>0</v>
      </c>
      <c r="Q8" s="450">
        <f t="shared" si="0"/>
        <v>112215.22010263699</v>
      </c>
    </row>
    <row r="9" spans="1:17" s="456" customFormat="1">
      <c r="A9" s="454" t="s">
        <v>560</v>
      </c>
      <c r="B9" s="455">
        <f>transport!B14</f>
        <v>40.614606942442471</v>
      </c>
      <c r="C9" s="455">
        <f>transport!C14</f>
        <v>0</v>
      </c>
      <c r="D9" s="455">
        <f>transport!D14</f>
        <v>111.14712429753698</v>
      </c>
      <c r="E9" s="455">
        <f>transport!E14</f>
        <v>188.59083512498421</v>
      </c>
      <c r="F9" s="455">
        <f>transport!F14</f>
        <v>0</v>
      </c>
      <c r="G9" s="455">
        <f>transport!G14</f>
        <v>107972.92477213626</v>
      </c>
      <c r="H9" s="455">
        <f>transport!H14</f>
        <v>18789.201461255754</v>
      </c>
      <c r="I9" s="455">
        <f>transport!I14</f>
        <v>0</v>
      </c>
      <c r="J9" s="455">
        <f>transport!J14</f>
        <v>0</v>
      </c>
      <c r="K9" s="455">
        <f>transport!K14</f>
        <v>0</v>
      </c>
      <c r="L9" s="455">
        <f>transport!L14</f>
        <v>0</v>
      </c>
      <c r="M9" s="455">
        <f>transport!M14</f>
        <v>6861.5174530159684</v>
      </c>
      <c r="N9" s="455">
        <f>transport!N14</f>
        <v>0</v>
      </c>
      <c r="O9" s="455">
        <f>transport!O14</f>
        <v>0</v>
      </c>
      <c r="P9" s="455">
        <f>transport!P14</f>
        <v>0</v>
      </c>
      <c r="Q9" s="454">
        <f>SUM(B9:P9)</f>
        <v>133963.99625277295</v>
      </c>
    </row>
    <row r="10" spans="1:17">
      <c r="A10" s="450" t="s">
        <v>550</v>
      </c>
      <c r="B10" s="451">
        <f>transport!B54</f>
        <v>0</v>
      </c>
      <c r="C10" s="451">
        <f>transport!C54</f>
        <v>0</v>
      </c>
      <c r="D10" s="451">
        <f>transport!D54</f>
        <v>0</v>
      </c>
      <c r="E10" s="451">
        <f>transport!E54</f>
        <v>0</v>
      </c>
      <c r="F10" s="451">
        <f>transport!F54</f>
        <v>0</v>
      </c>
      <c r="G10" s="451">
        <f>transport!G54</f>
        <v>1315.7530765755164</v>
      </c>
      <c r="H10" s="451">
        <f>transport!H54</f>
        <v>0</v>
      </c>
      <c r="I10" s="451">
        <f>transport!I54</f>
        <v>0</v>
      </c>
      <c r="J10" s="451">
        <f>transport!J54</f>
        <v>0</v>
      </c>
      <c r="K10" s="451">
        <f>transport!K54</f>
        <v>0</v>
      </c>
      <c r="L10" s="451">
        <f>transport!L54</f>
        <v>0</v>
      </c>
      <c r="M10" s="451">
        <f>transport!M54</f>
        <v>74.723321294783872</v>
      </c>
      <c r="N10" s="451">
        <f>transport!N54</f>
        <v>0</v>
      </c>
      <c r="O10" s="451">
        <f>transport!O54</f>
        <v>0</v>
      </c>
      <c r="P10" s="452">
        <f>transport!P54</f>
        <v>0</v>
      </c>
      <c r="Q10" s="450">
        <f t="shared" si="0"/>
        <v>1390.4763978703002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1363.6737376271201</v>
      </c>
      <c r="C14" s="458"/>
      <c r="D14" s="458">
        <f>'SEAP template'!E25</f>
        <v>3119.42470052713</v>
      </c>
      <c r="E14" s="458"/>
      <c r="F14" s="458"/>
      <c r="G14" s="458"/>
      <c r="H14" s="458"/>
      <c r="I14" s="458"/>
      <c r="J14" s="458"/>
      <c r="K14" s="458"/>
      <c r="L14" s="458"/>
      <c r="M14" s="458"/>
      <c r="N14" s="458"/>
      <c r="O14" s="458"/>
      <c r="P14" s="459"/>
      <c r="Q14" s="450">
        <f t="shared" si="0"/>
        <v>4483.0984381542503</v>
      </c>
    </row>
    <row r="15" spans="1:17" s="460" customFormat="1">
      <c r="A15" s="1005" t="s">
        <v>554</v>
      </c>
      <c r="B15" s="953">
        <f ca="1">SUM(B4:B14)</f>
        <v>137710.05780332044</v>
      </c>
      <c r="C15" s="953">
        <f t="shared" ref="C15:Q15" ca="1" si="1">SUM(C4:C14)</f>
        <v>41.571428571428562</v>
      </c>
      <c r="D15" s="953">
        <f t="shared" ca="1" si="1"/>
        <v>177195.65036539047</v>
      </c>
      <c r="E15" s="953">
        <f t="shared" si="1"/>
        <v>11549.391213441304</v>
      </c>
      <c r="F15" s="953">
        <f t="shared" ca="1" si="1"/>
        <v>22349.97562858132</v>
      </c>
      <c r="G15" s="953">
        <f t="shared" si="1"/>
        <v>109288.67784871178</v>
      </c>
      <c r="H15" s="953">
        <f t="shared" si="1"/>
        <v>18789.201461255754</v>
      </c>
      <c r="I15" s="953">
        <f t="shared" si="1"/>
        <v>0</v>
      </c>
      <c r="J15" s="953">
        <f t="shared" si="1"/>
        <v>379.35482911503215</v>
      </c>
      <c r="K15" s="953">
        <f t="shared" si="1"/>
        <v>0</v>
      </c>
      <c r="L15" s="953">
        <f t="shared" ca="1" si="1"/>
        <v>0</v>
      </c>
      <c r="M15" s="953">
        <f t="shared" si="1"/>
        <v>6936.2407743107524</v>
      </c>
      <c r="N15" s="953">
        <f t="shared" ca="1" si="1"/>
        <v>29378.135649941301</v>
      </c>
      <c r="O15" s="953">
        <f t="shared" si="1"/>
        <v>226.68333333333334</v>
      </c>
      <c r="P15" s="953">
        <f t="shared" si="1"/>
        <v>1315.6</v>
      </c>
      <c r="Q15" s="953">
        <f t="shared" ca="1" si="1"/>
        <v>515160.54033597291</v>
      </c>
    </row>
    <row r="17" spans="1:17">
      <c r="A17" s="461" t="s">
        <v>555</v>
      </c>
      <c r="B17" s="760">
        <f ca="1">huishoudens!B10</f>
        <v>0.17133133015971153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5953.8242629146816</v>
      </c>
      <c r="C22" s="451">
        <f t="shared" ref="C22:C32" ca="1" si="3">C4*$C$17</f>
        <v>0</v>
      </c>
      <c r="D22" s="451">
        <f t="shared" ref="D22:D32" si="4">D4*$D$17</f>
        <v>19034.559427738939</v>
      </c>
      <c r="E22" s="451">
        <f t="shared" ref="E22:E32" si="5">E4*$E$17</f>
        <v>1995.7841248919822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26984.167815545603</v>
      </c>
    </row>
    <row r="23" spans="1:17">
      <c r="A23" s="450" t="s">
        <v>155</v>
      </c>
      <c r="B23" s="451">
        <f t="shared" ca="1" si="2"/>
        <v>6119.790430355486</v>
      </c>
      <c r="C23" s="451">
        <f t="shared" ca="1" si="3"/>
        <v>0</v>
      </c>
      <c r="D23" s="451">
        <f t="shared" ca="1" si="4"/>
        <v>10893.193925586384</v>
      </c>
      <c r="E23" s="451">
        <f t="shared" si="5"/>
        <v>99.326207974850263</v>
      </c>
      <c r="F23" s="451">
        <f t="shared" ca="1" si="6"/>
        <v>1652.29780065351</v>
      </c>
      <c r="G23" s="451">
        <f t="shared" si="7"/>
        <v>0</v>
      </c>
      <c r="H23" s="451">
        <f t="shared" si="8"/>
        <v>0</v>
      </c>
      <c r="I23" s="451">
        <f t="shared" si="9"/>
        <v>0</v>
      </c>
      <c r="J23" s="451">
        <f t="shared" si="10"/>
        <v>3.8674584153617582E-2</v>
      </c>
      <c r="K23" s="451">
        <f t="shared" si="11"/>
        <v>0</v>
      </c>
      <c r="L23" s="451">
        <f t="shared" ca="1" si="12"/>
        <v>0</v>
      </c>
      <c r="M23" s="451">
        <f t="shared" si="13"/>
        <v>0</v>
      </c>
      <c r="N23" s="451">
        <f t="shared" ca="1" si="14"/>
        <v>0</v>
      </c>
      <c r="O23" s="451">
        <f t="shared" si="15"/>
        <v>0</v>
      </c>
      <c r="P23" s="452">
        <f t="shared" si="16"/>
        <v>0</v>
      </c>
      <c r="Q23" s="450">
        <f t="shared" ref="Q23:Q32" ca="1" si="17">SUM(B23:P23)</f>
        <v>18764.647039154381</v>
      </c>
    </row>
    <row r="24" spans="1:17">
      <c r="A24" s="450" t="s">
        <v>193</v>
      </c>
      <c r="B24" s="451">
        <f t="shared" ca="1" si="2"/>
        <v>249.98354723947952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249.98354723947952</v>
      </c>
    </row>
    <row r="25" spans="1:17">
      <c r="A25" s="450" t="s">
        <v>111</v>
      </c>
      <c r="B25" s="451">
        <f t="shared" ca="1" si="2"/>
        <v>342.40035684577731</v>
      </c>
      <c r="C25" s="451">
        <f t="shared" ca="1" si="3"/>
        <v>0</v>
      </c>
      <c r="D25" s="451">
        <f t="shared" si="4"/>
        <v>45.608968844040511</v>
      </c>
      <c r="E25" s="451">
        <f t="shared" si="5"/>
        <v>13.334231688770725</v>
      </c>
      <c r="F25" s="451">
        <f t="shared" si="6"/>
        <v>2222.9122323774582</v>
      </c>
      <c r="G25" s="451">
        <f t="shared" si="7"/>
        <v>0</v>
      </c>
      <c r="H25" s="451">
        <f t="shared" si="8"/>
        <v>0</v>
      </c>
      <c r="I25" s="451">
        <f t="shared" si="9"/>
        <v>0</v>
      </c>
      <c r="J25" s="451">
        <f t="shared" si="10"/>
        <v>102.4954765670853</v>
      </c>
      <c r="K25" s="451">
        <f t="shared" si="11"/>
        <v>0</v>
      </c>
      <c r="L25" s="451">
        <f t="shared" si="12"/>
        <v>0</v>
      </c>
      <c r="M25" s="451">
        <f t="shared" si="13"/>
        <v>0</v>
      </c>
      <c r="N25" s="451">
        <f t="shared" si="14"/>
        <v>0</v>
      </c>
      <c r="O25" s="451">
        <f t="shared" si="15"/>
        <v>0</v>
      </c>
      <c r="P25" s="452">
        <f t="shared" si="16"/>
        <v>0</v>
      </c>
      <c r="Q25" s="450">
        <f t="shared" ca="1" si="17"/>
        <v>2726.7512663231323</v>
      </c>
    </row>
    <row r="26" spans="1:17">
      <c r="A26" s="450" t="s">
        <v>634</v>
      </c>
      <c r="B26" s="451">
        <f t="shared" ca="1" si="2"/>
        <v>10687.450192455346</v>
      </c>
      <c r="C26" s="451">
        <f t="shared" ca="1" si="3"/>
        <v>0</v>
      </c>
      <c r="D26" s="451">
        <f t="shared" si="4"/>
        <v>5167.5835430249263</v>
      </c>
      <c r="E26" s="451">
        <f t="shared" si="5"/>
        <v>470.45712132220171</v>
      </c>
      <c r="F26" s="451">
        <f t="shared" si="6"/>
        <v>2092.2334598002444</v>
      </c>
      <c r="G26" s="451">
        <f t="shared" si="7"/>
        <v>0</v>
      </c>
      <c r="H26" s="451">
        <f t="shared" si="8"/>
        <v>0</v>
      </c>
      <c r="I26" s="451">
        <f t="shared" si="9"/>
        <v>0</v>
      </c>
      <c r="J26" s="451">
        <f t="shared" si="10"/>
        <v>31.757458355482445</v>
      </c>
      <c r="K26" s="451">
        <f t="shared" si="11"/>
        <v>0</v>
      </c>
      <c r="L26" s="451">
        <f t="shared" si="12"/>
        <v>0</v>
      </c>
      <c r="M26" s="451">
        <f t="shared" si="13"/>
        <v>0</v>
      </c>
      <c r="N26" s="451">
        <f t="shared" si="14"/>
        <v>0</v>
      </c>
      <c r="O26" s="451">
        <f t="shared" si="15"/>
        <v>0</v>
      </c>
      <c r="P26" s="452">
        <f t="shared" si="16"/>
        <v>0</v>
      </c>
      <c r="Q26" s="450">
        <f t="shared" ca="1" si="17"/>
        <v>18449.4817749582</v>
      </c>
    </row>
    <row r="27" spans="1:17" s="456" customFormat="1">
      <c r="A27" s="454" t="s">
        <v>560</v>
      </c>
      <c r="B27" s="754">
        <f t="shared" ca="1" si="2"/>
        <v>6.9585546313625226</v>
      </c>
      <c r="C27" s="455">
        <f t="shared" ca="1" si="3"/>
        <v>0</v>
      </c>
      <c r="D27" s="455">
        <f t="shared" si="4"/>
        <v>22.45171910810247</v>
      </c>
      <c r="E27" s="455">
        <f t="shared" si="5"/>
        <v>42.810119573371416</v>
      </c>
      <c r="F27" s="455">
        <f t="shared" si="6"/>
        <v>0</v>
      </c>
      <c r="G27" s="455">
        <f t="shared" si="7"/>
        <v>28828.770914160385</v>
      </c>
      <c r="H27" s="455">
        <f t="shared" si="8"/>
        <v>4678.5111638526823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33579.502471325904</v>
      </c>
    </row>
    <row r="28" spans="1:17">
      <c r="A28" s="450" t="s">
        <v>550</v>
      </c>
      <c r="B28" s="451">
        <f t="shared" ca="1" si="2"/>
        <v>0</v>
      </c>
      <c r="C28" s="451">
        <f t="shared" ca="1" si="3"/>
        <v>0</v>
      </c>
      <c r="D28" s="451">
        <f t="shared" si="4"/>
        <v>0</v>
      </c>
      <c r="E28" s="451">
        <f t="shared" si="5"/>
        <v>0</v>
      </c>
      <c r="F28" s="451">
        <f t="shared" si="6"/>
        <v>0</v>
      </c>
      <c r="G28" s="451">
        <f t="shared" si="7"/>
        <v>351.30607144566289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351.30607144566289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233.64003537151993</v>
      </c>
      <c r="C32" s="451">
        <f t="shared" ca="1" si="3"/>
        <v>0</v>
      </c>
      <c r="D32" s="451">
        <f t="shared" si="4"/>
        <v>630.12378950648031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863.76382487800026</v>
      </c>
    </row>
    <row r="33" spans="1:17" s="460" customFormat="1">
      <c r="A33" s="1005" t="s">
        <v>554</v>
      </c>
      <c r="B33" s="953">
        <f ca="1">SUM(B22:B32)</f>
        <v>23594.047379813652</v>
      </c>
      <c r="C33" s="953">
        <f t="shared" ref="C33:Q33" ca="1" si="18">SUM(C22:C32)</f>
        <v>0</v>
      </c>
      <c r="D33" s="953">
        <f t="shared" ca="1" si="18"/>
        <v>35793.521373808871</v>
      </c>
      <c r="E33" s="953">
        <f t="shared" si="18"/>
        <v>2621.7118054511761</v>
      </c>
      <c r="F33" s="953">
        <f t="shared" ca="1" si="18"/>
        <v>5967.443492831213</v>
      </c>
      <c r="G33" s="953">
        <f t="shared" si="18"/>
        <v>29180.076985606047</v>
      </c>
      <c r="H33" s="953">
        <f t="shared" si="18"/>
        <v>4678.5111638526823</v>
      </c>
      <c r="I33" s="953">
        <f t="shared" si="18"/>
        <v>0</v>
      </c>
      <c r="J33" s="953">
        <f t="shared" si="18"/>
        <v>134.29160950672136</v>
      </c>
      <c r="K33" s="953">
        <f t="shared" si="18"/>
        <v>0</v>
      </c>
      <c r="L33" s="953">
        <f t="shared" ca="1" si="18"/>
        <v>0</v>
      </c>
      <c r="M33" s="953">
        <f t="shared" si="18"/>
        <v>0</v>
      </c>
      <c r="N33" s="953">
        <f t="shared" ca="1" si="18"/>
        <v>0</v>
      </c>
      <c r="O33" s="953">
        <f t="shared" si="18"/>
        <v>0</v>
      </c>
      <c r="P33" s="953">
        <f t="shared" si="18"/>
        <v>0</v>
      </c>
      <c r="Q33" s="953">
        <f t="shared" ca="1" si="18"/>
        <v>101969.60381087037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26181.211503870407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3839.3509156778605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29.099999999999994</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34.235294117647058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900</v>
      </c>
      <c r="C9" s="1022">
        <f>'SEAP template'!C77</f>
        <v>0</v>
      </c>
      <c r="D9" s="1022">
        <f>'SEAP template'!D77</f>
        <v>0</v>
      </c>
      <c r="E9" s="1022">
        <f>'SEAP template'!E77</f>
        <v>0</v>
      </c>
      <c r="F9" s="1022">
        <f>'SEAP template'!F77</f>
        <v>0</v>
      </c>
      <c r="G9" s="1022">
        <f>'SEAP template'!G77</f>
        <v>0</v>
      </c>
      <c r="H9" s="1022">
        <f>'SEAP template'!H77</f>
        <v>0</v>
      </c>
      <c r="I9" s="1022">
        <f>'SEAP template'!I77</f>
        <v>2250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30949.662419548265</v>
      </c>
      <c r="C10" s="1026">
        <f>SUM(C4:C9)</f>
        <v>0</v>
      </c>
      <c r="D10" s="1026">
        <f t="shared" ref="D10:H10" si="0">SUM(D8:D9)</f>
        <v>0</v>
      </c>
      <c r="E10" s="1026">
        <f t="shared" si="0"/>
        <v>0</v>
      </c>
      <c r="F10" s="1026">
        <f t="shared" si="0"/>
        <v>0</v>
      </c>
      <c r="G10" s="1026">
        <f t="shared" si="0"/>
        <v>0</v>
      </c>
      <c r="H10" s="1026">
        <f t="shared" si="0"/>
        <v>0</v>
      </c>
      <c r="I10" s="1026">
        <f>SUM(I8:I9)</f>
        <v>2250</v>
      </c>
      <c r="J10" s="1026">
        <f>SUM(J8:J9)</f>
        <v>34.235294117647058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0.17133133015971153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41.571428571428562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48.907563025210081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41.571428571428562</v>
      </c>
      <c r="C20" s="1026">
        <f>SUM(C17:C19)</f>
        <v>0</v>
      </c>
      <c r="D20" s="1026">
        <f t="shared" ref="D20:H20" si="2">SUM(D17:D19)</f>
        <v>0</v>
      </c>
      <c r="E20" s="1026">
        <f t="shared" si="2"/>
        <v>0</v>
      </c>
      <c r="F20" s="1026">
        <f t="shared" si="2"/>
        <v>0</v>
      </c>
      <c r="G20" s="1026">
        <f t="shared" si="2"/>
        <v>0</v>
      </c>
      <c r="H20" s="1026">
        <f t="shared" si="2"/>
        <v>0</v>
      </c>
      <c r="I20" s="1026">
        <f>SUM(I17:I19)</f>
        <v>0</v>
      </c>
      <c r="J20" s="1026">
        <f>SUM(J17:J19)</f>
        <v>48.907563025210081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0.17133133015971153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2020-06-20T15:46:23Z</dcterms:modified>
</cp:coreProperties>
</file>