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1" i="18"/>
  <c r="V41" i="18"/>
  <c r="U41" i="18"/>
  <c r="T41" i="18"/>
  <c r="L6" i="17" s="1"/>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R38" i="18"/>
  <c r="Q38" i="18"/>
  <c r="P38" i="18"/>
  <c r="C9" i="18" s="1"/>
  <c r="O38" i="18"/>
  <c r="N38" i="18"/>
  <c r="B9" i="18" s="1"/>
  <c r="M38" i="18"/>
  <c r="W34" i="18"/>
  <c r="V34" i="18"/>
  <c r="U34" i="18"/>
  <c r="T34" i="18"/>
  <c r="S34" i="18"/>
  <c r="R34" i="18"/>
  <c r="Q34" i="18"/>
  <c r="N6" i="17" s="1"/>
  <c r="P34" i="18"/>
  <c r="D6" i="17" s="1"/>
  <c r="O34" i="18"/>
  <c r="N34" i="18"/>
  <c r="M34" i="18"/>
  <c r="W33" i="18"/>
  <c r="V33" i="18"/>
  <c r="U33" i="18"/>
  <c r="T33" i="18"/>
  <c r="S33" i="18"/>
  <c r="F13" i="15" s="1"/>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0" i="18"/>
  <c r="H8" i="18" s="1"/>
  <c r="E50" i="18"/>
  <c r="E8" i="18" s="1"/>
  <c r="G50" i="18"/>
  <c r="I8" i="18" s="1"/>
  <c r="F50" i="18"/>
  <c r="H50" i="18"/>
  <c r="D50" i="18"/>
  <c r="C50" i="18"/>
  <c r="B50" i="18"/>
  <c r="C8" i="18" s="1"/>
  <c r="I51" i="18"/>
  <c r="H17" i="18" s="1"/>
  <c r="E51" i="18"/>
  <c r="E17" i="18" s="1"/>
  <c r="C51" i="18"/>
  <c r="B51" i="18"/>
  <c r="C17" i="18" s="1"/>
  <c r="H51" i="18"/>
  <c r="D51" i="18"/>
  <c r="G51" i="18"/>
  <c r="F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O9"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s="1"/>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<sst xmlns="http://schemas.openxmlformats.org/spreadsheetml/2006/main" count="2425" uniqueCount="900">
  <si>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</si>
  <si>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</si>
  <si>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</si>
  <si>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</si>
  <si>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</si>
  <si>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</si>
  <si>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</si>
  <si>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</si>
  <si>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</si>
  <si>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</si>
  <si>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</si>
  <si>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</si>
  <si>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</si>
  <si>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</si>
  <si>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</si>
  <si>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</si>
  <si>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</si>
  <si>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</si>
  <si>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</si>
  <si>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</si>
  <si>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</si>
  <si>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</si>
  <si>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</si>
  <si>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</si>
  <si>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</si>
  <si>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</si>
  <si>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</si>
  <si>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</si>
  <si>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</si>
  <si>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</si>
  <si>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</si>
  <si>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</si>
  <si>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</si>
  <si>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</si>
  <si>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</si>
  <si>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</si>
  <si>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</si>
  <si>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</si>
  <si>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</si>
  <si>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</si>
  <si>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</si>
  <si>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</si>
  <si>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</si>
  <si>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</si>
  <si>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</si>
  <si>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</si>
  <si>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</si>
  <si>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</si>
  <si>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</si>
  <si>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</si>
  <si>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</si>
  <si>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</si>
  <si>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</si>
  <si>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</si>
  <si>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</si>
  <si>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</si>
  <si>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</si>
  <si>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</si>
  <si>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</si>
  <si>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</si>
  <si>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</si>
  <si>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</si>
  <si>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</si>
  <si>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</si>
  <si>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</si>
  <si>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</si>
  <si>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</si>
  <si>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</si>
  <si>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</si>
  <si>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</si>
  <si>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</si>
  <si>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</si>
  <si>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</si>
  <si>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</si>
  <si>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</si>
  <si>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</si>
  <si>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</si>
  <si>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</si>
  <si>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</si>
  <si>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</si>
  <si>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</si>
  <si>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</si>
  <si>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</si>
  <si>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</si>
  <si>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</si>
  <si>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</si>
  <si>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</si>
  <si>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</si>
  <si>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</si>
  <si>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</si>
  <si>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</si>
  <si>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</si>
  <si>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</si>
  <si>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</si>
  <si>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</si>
  <si>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</si>
  <si>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</si>
  <si>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</si>
  <si>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</si>
  <si>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</si>
  <si>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</si>
  <si>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</si>
  <si>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</si>
  <si>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</si>
  <si>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</si>
  <si>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</si>
  <si>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</si>
  <si>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</si>
  <si>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</si>
  <si>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</si>
  <si>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</si>
  <si>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</si>
  <si>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</si>
  <si>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</si>
  <si>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</si>
  <si>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</si>
  <si>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</si>
  <si>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</si>
  <si>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</si>
  <si>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</si>
  <si>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</si>
  <si>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</si>
  <si>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</si>
  <si>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</si>
  <si>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</si>
  <si>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</si>
  <si>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</si>
  <si>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</si>
  <si>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</si>
  <si>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</si>
  <si>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</si>
  <si>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</si>
  <si>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</si>
  <si>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</si>
  <si>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</si>
  <si>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</si>
  <si>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</si>
  <si>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</si>
  <si>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</si>
  <si>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</si>
  <si>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</si>
  <si>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</si>
  <si>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</si>
  <si>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</si>
  <si>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</si>
  <si>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</si>
  <si>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</si>
  <si>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</si>
  <si>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</si>
  <si>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</si>
  <si>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</si>
  <si>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</si>
  <si>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</si>
  <si>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</si>
  <si>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</si>
  <si>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</si>
  <si>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</si>
  <si>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</si>
  <si>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</si>
  <si>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</si>
  <si>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</si>
  <si>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</si>
  <si>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</si>
  <si>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</si>
  <si>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</si>
  <si>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</si>
  <si>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</si>
  <si>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</si>
  <si>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</si>
  <si>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</si>
  <si>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</si>
  <si>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</si>
  <si>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</si>
  <si>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</si>
  <si>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</si>
  <si>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</si>
  <si>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</si>
  <si>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</si>
  <si>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</si>
  <si>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</si>
  <si>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</si>
  <si>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</si>
  <si>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</si>
  <si>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</si>
  <si>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</si>
  <si>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</si>
  <si>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</si>
  <si>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</si>
  <si>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</si>
  <si>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</si>
  <si>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</si>
  <si>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</si>
  <si>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</si>
  <si>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</si>
  <si>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</si>
  <si>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</si>
  <si>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</si>
  <si>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</si>
  <si>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</si>
  <si>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</si>
  <si>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</si>
  <si>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</si>
  <si>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</si>
  <si>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</si>
  <si>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</si>
  <si>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</si>
  <si>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</si>
  <si>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</si>
  <si>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</si>
  <si>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</si>
  <si>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</si>
  <si>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</si>
  <si>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</si>
  <si>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</si>
  <si>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</si>
  <si>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</si>
  <si>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</si>
  <si>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</si>
  <si>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</si>
  <si>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</si>
  <si>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</si>
  <si>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</si>
  <si>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</si>
  <si>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</si>
  <si>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</si>
  <si>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</si>
  <si>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</si>
  <si>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</si>
  <si>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</si>
  <si>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</si>
  <si>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</si>
  <si>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</si>
  <si>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</si>
  <si>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</si>
  <si>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</si>
  <si>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</si>
  <si>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</si>
  <si>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</si>
  <si>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</si>
  <si>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</si>
  <si>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</si>
  <si>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</si>
  <si>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</si>
  <si>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</si>
  <si>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</si>
  <si>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</si>
  <si>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</si>
  <si>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</si>
  <si>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</si>
  <si>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</si>
  <si>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</si>
  <si>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</si>
  <si>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</si>
  <si>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</si>
  <si>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</si>
  <si>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</si>
  <si>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</si>
  <si>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</si>
  <si>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</si>
  <si>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</si>
  <si>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</si>
  <si>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</si>
  <si>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</si>
  <si>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</si>
  <si>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</si>
  <si>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</si>
  <si>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</si>
  <si>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</si>
  <si>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</si>
  <si>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</si>
  <si>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</si>
  <si>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</si>
  <si>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</si>
  <si>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</si>
  <si>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</si>
  <si>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</si>
  <si>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</si>
  <si>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</si>
  <si>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</si>
  <si>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</si>
  <si>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</si>
  <si>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</si>
  <si>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</si>
  <si>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</si>
  <si>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</si>
  <si>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</si>
  <si>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</si>
  <si>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</si>
  <si>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</si>
  <si>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</si>
  <si>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</si>
  <si>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</si>
  <si>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</si>
  <si>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</si>
  <si>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</si>
  <si>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</si>
  <si>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</si>
  <si>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</si>
  <si>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</si>
  <si>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</si>
  <si>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</si>
  <si>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</si>
  <si>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</si>
  <si>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</si>
  <si>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</si>
  <si>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</si>
  <si>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</si>
  <si>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</si>
  <si>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</si>
  <si>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</si>
  <si>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</si>
  <si>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</si>
  <si>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</si>
  <si>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</si>
  <si>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</si>
  <si>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</si>
  <si>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</si>
  <si>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</si>
  <si>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</si>
  <si>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</si>
  <si>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</si>
  <si>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</si>
  <si>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</si>
  <si>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</si>
  <si>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</si>
  <si>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</si>
  <si>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</si>
  <si>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</si>
  <si>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</si>
  <si>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</si>
  <si>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</si>
  <si>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</si>
  <si>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</si>
  <si>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</si>
  <si>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</si>
  <si>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</si>
  <si>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</si>
  <si>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</si>
  <si>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</si>
  <si>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</si>
  <si>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</si>
  <si>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</si>
  <si>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</si>
  <si>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</si>
  <si>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</si>
  <si>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</si>
  <si>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</si>
  <si>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</si>
  <si>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</si>
  <si>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</si>
  <si>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</si>
  <si>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</si>
  <si>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</si>
  <si>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</si>
  <si>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</si>
  <si>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</si>
  <si>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</si>
  <si>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</si>
  <si>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</si>
  <si>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</si>
  <si>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</si>
  <si>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</si>
  <si>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</si>
  <si>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</si>
  <si>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</si>
  <si>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</si>
  <si>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</si>
  <si>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</si>
  <si>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</si>
  <si>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</si>
  <si>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</si>
  <si>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</si>
  <si>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</si>
  <si>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</si>
  <si>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</si>
  <si>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</si>
  <si>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</si>
  <si>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</si>
  <si>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</si>
  <si>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</si>
  <si>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</si>
  <si>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</si>
  <si>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</si>
  <si>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</si>
  <si>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</si>
  <si>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</si>
  <si>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</si>
  <si>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</si>
  <si>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</si>
  <si>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</si>
  <si>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</si>
  <si>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</si>
  <si>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</si>
  <si>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</si>
  <si>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</si>
  <si>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</si>
  <si>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</si>
  <si>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</si>
  <si>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</si>
  <si>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</si>
  <si>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</si>
  <si>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</si>
  <si>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</si>
  <si>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</si>
  <si>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</si>
  <si>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</si>
  <si>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</si>
  <si>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</si>
  <si>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</si>
  <si>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</si>
  <si>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</si>
  <si>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</si>
  <si>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</si>
  <si>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</si>
  <si>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</si>
  <si>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</si>
  <si>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</si>
  <si>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</si>
  <si>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</si>
  <si>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</si>
  <si>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</si>
  <si>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</si>
  <si>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</si>
  <si>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</si>
  <si>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</si>
  <si>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</si>
  <si>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</si>
  <si>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</si>
  <si>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</si>
  <si>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</si>
  <si>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</si>
  <si>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</si>
  <si>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</si>
  <si>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</si>
  <si>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</si>
  <si>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</si>
  <si>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</si>
  <si>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</si>
  <si>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</si>
  <si>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</si>
  <si>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</si>
  <si>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</si>
  <si>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</si>
  <si>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</si>
  <si>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</si>
  <si>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</si>
  <si>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</si>
  <si>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</si>
  <si>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</si>
  <si>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</si>
  <si>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</si>
  <si>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</si>
  <si>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</si>
  <si>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</si>
  <si>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</si>
  <si>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</si>
  <si>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</si>
  <si>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</si>
  <si>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</si>
  <si>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</si>
  <si>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</si>
  <si>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</si>
  <si>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</si>
  <si>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</si>
  <si>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</si>
  <si>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</si>
  <si>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</si>
  <si>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</si>
  <si>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</si>
  <si>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</si>
  <si>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</si>
  <si>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</si>
  <si>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</si>
  <si>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</si>
  <si>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</si>
  <si>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</si>
  <si>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</si>
  <si>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</si>
  <si>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</si>
  <si>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</si>
  <si>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</si>
  <si>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</si>
  <si>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</si>
  <si>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</si>
  <si>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</si>
  <si>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</si>
  <si>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</si>
  <si>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</si>
  <si>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</si>
  <si>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</si>
  <si>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</si>
  <si>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</si>
  <si>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</si>
  <si>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</si>
  <si>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</si>
  <si>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</si>
  <si>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</si>
  <si>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</si>
  <si>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</si>
  <si>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</si>
  <si>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</si>
  <si>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</si>
  <si>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</si>
  <si>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</si>
  <si>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</si>
  <si>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</si>
  <si>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</si>
  <si>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</si>
  <si>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</si>
  <si>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</si>
  <si>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</si>
  <si>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</si>
  <si>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</si>
  <si>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</si>
  <si>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</si>
  <si>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</si>
  <si>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</si>
  <si>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</si>
  <si>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</si>
  <si>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</si>
  <si>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</si>
  <si>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</si>
  <si>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</si>
  <si>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</si>
  <si>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</si>
  <si>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</si>
  <si>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</si>
  <si>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</si>
  <si>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</si>
  <si>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</si>
  <si>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</si>
  <si>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</si>
  <si>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</si>
  <si>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</si>
  <si>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</si>
  <si>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</si>
  <si>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</si>
  <si>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</si>
  <si>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</si>
  <si>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</si>
  <si>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</si>
  <si>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</si>
  <si>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</si>
  <si>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</si>
  <si>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</si>
  <si>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</si>
  <si>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</si>
  <si>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</si>
  <si>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</si>
  <si>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</si>
  <si>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</si>
  <si>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</si>
  <si>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</si>
  <si>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</si>
  <si>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</si>
  <si>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</si>
  <si>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</si>
  <si>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</si>
  <si>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</si>
  <si>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</si>
  <si>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</si>
  <si>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</si>
  <si>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</si>
  <si>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</si>
  <si>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</si>
  <si>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</si>
  <si>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</si>
  <si>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</si>
  <si>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</si>
  <si>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</si>
  <si>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</si>
  <si>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</si>
  <si>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</si>
  <si>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</si>
  <si>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</si>
  <si>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</si>
  <si>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</si>
  <si>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</si>
  <si>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</si>
  <si>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</si>
  <si>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</si>
  <si>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</si>
  <si>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</si>
  <si>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</si>
  <si>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</si>
  <si>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</si>
  <si>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</si>
  <si>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</si>
  <si>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</si>
  <si>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</si>
  <si>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</si>
  <si>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</si>
  <si>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</si>
  <si>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</si>
  <si>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</si>
  <si>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</si>
  <si>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</si>
  <si>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</si>
  <si>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</si>
  <si>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</si>
  <si>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</si>
  <si>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</si>
  <si>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</si>
  <si>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</si>
  <si>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</si>
  <si>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</si>
  <si>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</si>
  <si>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</si>
  <si>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</si>
  <si>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</si>
  <si>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</si>
  <si>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</si>
  <si>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</si>
  <si>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</si>
  <si>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</si>
  <si>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</si>
  <si>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</si>
  <si>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</si>
  <si>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</si>
  <si>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</si>
  <si>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</si>
  <si>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</si>
  <si>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</si>
  <si>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</si>
  <si>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</si>
  <si>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</si>
  <si>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</si>
  <si>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</si>
  <si>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</si>
  <si>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</si>
  <si>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</si>
  <si>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</si>
  <si>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</si>
  <si>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</si>
  <si>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</si>
  <si>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</si>
  <si>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</si>
  <si>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</si>
  <si>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</si>
  <si>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</si>
  <si>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</si>
  <si>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</si>
  <si>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</si>
  <si>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</si>
  <si>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</si>
  <si>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</si>
  <si>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</si>
  <si>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</si>
  <si>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</si>
  <si>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</si>
  <si>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</si>
  <si>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</si>
  <si>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</si>
  <si>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</si>
  <si>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</si>
  <si>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</si>
  <si>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</si>
  <si>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</si>
  <si>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</si>
  <si>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</si>
  <si>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</si>
  <si>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</si>
  <si>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</si>
  <si>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</si>
  <si>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</si>
  <si>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</si>
  <si>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</si>
  <si>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</si>
  <si>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</si>
  <si>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</si>
  <si>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</si>
  <si>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</si>
  <si>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</si>
  <si>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</si>
  <si>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</si>
  <si>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</si>
  <si>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</si>
  <si>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</si>
  <si>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</si>
  <si>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</si>
  <si>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</si>
  <si>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</si>
  <si>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</si>
  <si>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</si>
  <si>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</si>
  <si>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</si>
  <si>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</si>
  <si>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</si>
  <si>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</si>
  <si>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</si>
  <si>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</si>
  <si>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</si>
  <si>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</si>
  <si>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</si>
  <si>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</si>
  <si>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</si>
  <si>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</si>
  <si>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</si>
  <si>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</si>
  <si>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</si>
  <si>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</si>
  <si>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</si>
  <si>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</si>
  <si>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</si>
  <si>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</si>
  <si>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</si>
  <si>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</si>
  <si>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</si>
  <si>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</si>
  <si>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</si>
  <si>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</si>
  <si>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</si>
  <si>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</si>
  <si>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</si>
  <si>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</si>
  <si>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</si>
  <si>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</si>
  <si>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</si>
  <si>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</si>
  <si>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</si>
  <si>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</si>
  <si>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</si>
  <si>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</si>
  <si>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</si>
  <si>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</si>
  <si>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</si>
  <si>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</si>
  <si>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</si>
  <si>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</si>
  <si>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</si>
  <si>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</si>
  <si>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</si>
  <si>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</si>
  <si>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</si>
  <si>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</si>
  <si>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</si>
  <si>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</si>
  <si>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</si>
  <si>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</si>
  <si>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</si>
  <si>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</si>
  <si>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</si>
  <si>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</si>
  <si>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</si>
  <si>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</si>
  <si>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</si>
  <si>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</si>
  <si>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</si>
  <si>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</si>
  <si>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</si>
  <si>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</si>
  <si>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</si>
  <si>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</si>
  <si>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</si>
  <si>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</si>
  <si>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</si>
  <si>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</si>
  <si>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</si>
  <si>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</si>
  <si>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</si>
  <si>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</si>
  <si>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</si>
  <si>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</si>
  <si>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</si>
  <si>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</si>
  <si>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</si>
  <si>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</si>
  <si>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</si>
  <si>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</si>
  <si>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</si>
  <si>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</si>
  <si>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</si>
  <si>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</si>
  <si>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</si>
  <si>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</si>
  <si>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</si>
  <si>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</si>
  <si>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</si>
  <si>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</si>
  <si>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</si>
  <si>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</si>
  <si>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</si>
  <si>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</si>
  <si>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</si>
  <si>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</si>
  <si>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</si>
  <si>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</si>
  <si>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</si>
  <si>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</si>
  <si>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</si>
  <si>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</si>
  <si>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</si>
  <si>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</si>
  <si>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</si>
  <si>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</si>
  <si>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</si>
  <si>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</si>
  <si>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</si>
  <si>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</si>
  <si>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</si>
  <si>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</si>
  <si>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</si>
  <si>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</si>
  <si>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</si>
  <si>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</si>
  <si>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</si>
  <si>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</si>
  <si>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</si>
  <si>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</si>
  <si>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</si>
  <si>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</si>
  <si>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</si>
  <si>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</si>
  <si>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</si>
  <si>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</si>
  <si>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</si>
  <si>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</si>
  <si>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</si>
  <si>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</si>
  <si>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</si>
  <si>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</si>
  <si>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</si>
  <si>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</si>
  <si>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</si>
  <si>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</si>
  <si>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</si>
  <si>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</si>
  <si>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</si>
  <si>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</si>
  <si>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</si>
  <si>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</si>
  <si>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</si>
  <si>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</si>
  <si>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</si>
  <si>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</si>
  <si>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</si>
  <si>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</si>
  <si>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</si>
  <si>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</si>
  <si>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</si>
  <si>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</si>
  <si>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</si>
  <si>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</si>
  <si>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</si>
  <si>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</si>
  <si>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</si>
  <si>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</si>
  <si>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</si>
  <si>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</si>
  <si>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</si>
  <si>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</si>
  <si>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</si>
  <si>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</si>
  <si>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</si>
  <si>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</si>
  <si>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</si>
  <si>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</si>
  <si>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</si>
  <si>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</si>
  <si>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</si>
  <si>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</si>
  <si>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</si>
  <si>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</si>
  <si>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</si>
  <si>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</si>
  <si>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</si>
  <si>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</si>
  <si>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</si>
  <si>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</si>
  <si>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</si>
  <si>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</si>
  <si>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</si>
  <si>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</si>
  <si>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</si>
  <si>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</si>
  <si>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</si>
  <si>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</si>
  <si>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</si>
  <si>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</si>
  <si>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</si>
  <si>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</si>
  <si>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</si>
  <si>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</si>
  <si>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43002</t>
  </si>
  <si>
    <t>ASSENEDE</t>
  </si>
  <si>
    <t>Fluvius</t>
  </si>
  <si>
    <t>referentietaak LNE (2017); Jaarverslag De Lijn</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</si>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</sst>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133018.15000761044</c:v>
                </c:pt>
                <c:pt idx="1">
                  <c:v>21023.686886111824</c:v>
                </c:pt>
                <c:pt idx="2">
                  <c:v>1022.98</c:v>
                </c:pt>
                <c:pt idx="3">
                  <c:v>47947.895786946778</c:v>
                </c:pt>
                <c:pt idx="4">
                  <c:v>9211.7998600542487</c:v>
                </c:pt>
                <c:pt idx="5">
                  <c:v>92209.623329715847</c:v>
                </c:pt>
                <c:pt idx="6">
                  <c:v>1501.8605873254394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133018.15000761044</c:v>
                </c:pt>
                <c:pt idx="1">
                  <c:v>21023.686886111824</c:v>
                </c:pt>
                <c:pt idx="2">
                  <c:v>1022.98</c:v>
                </c:pt>
                <c:pt idx="3">
                  <c:v>47947.895786946778</c:v>
                </c:pt>
                <c:pt idx="4">
                  <c:v>9211.7998600542487</c:v>
                </c:pt>
                <c:pt idx="5">
                  <c:v>92209.623329715847</c:v>
                </c:pt>
                <c:pt idx="6">
                  <c:v>1501.8605873254394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23111.920045434061</c:v>
                </c:pt>
                <c:pt idx="2">
                  <c:v>3284.787832390844</c:v>
                </c:pt>
                <c:pt idx="3">
                  <c:v>106.51729928140607</c:v>
                </c:pt>
                <c:pt idx="4">
                  <c:v>11268.849170060763</c:v>
                </c:pt>
                <c:pt idx="5">
                  <c:v>1499.2350256391362</c:v>
                </c:pt>
                <c:pt idx="6">
                  <c:v>23072.526182842154</c:v>
                </c:pt>
                <c:pt idx="7">
                  <c:v>379.44746390552564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23111.920045434061</c:v>
                </c:pt>
                <c:pt idx="2">
                  <c:v>3284.787832390844</c:v>
                </c:pt>
                <c:pt idx="3">
                  <c:v>106.51729928140607</c:v>
                </c:pt>
                <c:pt idx="4">
                  <c:v>11268.849170060763</c:v>
                </c:pt>
                <c:pt idx="5">
                  <c:v>1499.2350256391362</c:v>
                </c:pt>
                <c:pt idx="6">
                  <c:v>23072.526182842154</c:v>
                </c:pt>
                <c:pt idx="7">
                  <c:v>379.44746390552564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43002</v>
      </c>
      <c r="B6" s="390"/>
      <c r="C6" s="391"/>
    </row>
    <row r="7" spans="1:7" s="388" customFormat="1" ht="15.75" customHeight="1">
      <c r="A7" s="392" t="str">
        <f>txtMunicipality</f>
        <v>ASSENEDE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0.10412451786096118</v>
      </c>
      <c r="C17" s="498">
        <f ca="1">'EF ele_warmte'!B22</f>
        <v>0.23439895896360519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0.10412451786096118</v>
      </c>
      <c r="C29" s="499">
        <f ca="1">'EF ele_warmte'!B22</f>
        <v>0.23439895896360519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5971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6795.95</v>
      </c>
      <c r="C14" s="330"/>
      <c r="D14" s="330"/>
      <c r="E14" s="330"/>
      <c r="F14" s="330"/>
    </row>
    <row r="15" spans="1:6">
      <c r="A15" s="1293" t="s">
        <v>183</v>
      </c>
      <c r="B15" s="1294">
        <v>98</v>
      </c>
      <c r="C15" s="330"/>
      <c r="D15" s="330"/>
      <c r="E15" s="330"/>
      <c r="F15" s="330"/>
    </row>
    <row r="16" spans="1:6">
      <c r="A16" s="1293" t="s">
        <v>6</v>
      </c>
      <c r="B16" s="1294">
        <v>3875</v>
      </c>
      <c r="C16" s="330"/>
      <c r="D16" s="330"/>
      <c r="E16" s="330"/>
      <c r="F16" s="330"/>
    </row>
    <row r="17" spans="1:6">
      <c r="A17" s="1293" t="s">
        <v>7</v>
      </c>
      <c r="B17" s="1294">
        <v>2212</v>
      </c>
      <c r="C17" s="330"/>
      <c r="D17" s="330"/>
      <c r="E17" s="330"/>
      <c r="F17" s="330"/>
    </row>
    <row r="18" spans="1:6">
      <c r="A18" s="1293" t="s">
        <v>8</v>
      </c>
      <c r="B18" s="1294">
        <v>4016</v>
      </c>
      <c r="C18" s="330"/>
      <c r="D18" s="330"/>
      <c r="E18" s="330"/>
      <c r="F18" s="330"/>
    </row>
    <row r="19" spans="1:6">
      <c r="A19" s="1293" t="s">
        <v>9</v>
      </c>
      <c r="B19" s="1294">
        <v>3532</v>
      </c>
      <c r="C19" s="330"/>
      <c r="D19" s="330"/>
      <c r="E19" s="330"/>
      <c r="F19" s="330"/>
    </row>
    <row r="20" spans="1:6">
      <c r="A20" s="1293" t="s">
        <v>10</v>
      </c>
      <c r="B20" s="1294">
        <v>2086</v>
      </c>
      <c r="C20" s="330"/>
      <c r="D20" s="330"/>
      <c r="E20" s="330"/>
      <c r="F20" s="330"/>
    </row>
    <row r="21" spans="1:6">
      <c r="A21" s="1293" t="s">
        <v>11</v>
      </c>
      <c r="B21" s="1294">
        <v>21145</v>
      </c>
      <c r="C21" s="330"/>
      <c r="D21" s="330"/>
      <c r="E21" s="330"/>
      <c r="F21" s="330"/>
    </row>
    <row r="22" spans="1:6">
      <c r="A22" s="1293" t="s">
        <v>12</v>
      </c>
      <c r="B22" s="1294">
        <v>36187</v>
      </c>
      <c r="C22" s="330"/>
      <c r="D22" s="330"/>
      <c r="E22" s="330"/>
      <c r="F22" s="330"/>
    </row>
    <row r="23" spans="1:6">
      <c r="A23" s="1293" t="s">
        <v>13</v>
      </c>
      <c r="B23" s="1294">
        <v>901</v>
      </c>
      <c r="C23" s="330"/>
      <c r="D23" s="330"/>
      <c r="E23" s="330"/>
      <c r="F23" s="330"/>
    </row>
    <row r="24" spans="1:6">
      <c r="A24" s="1293" t="s">
        <v>14</v>
      </c>
      <c r="B24" s="1294">
        <v>38</v>
      </c>
      <c r="C24" s="330"/>
      <c r="D24" s="330"/>
      <c r="E24" s="330"/>
      <c r="F24" s="330"/>
    </row>
    <row r="25" spans="1:6">
      <c r="A25" s="1293" t="s">
        <v>15</v>
      </c>
      <c r="B25" s="1294">
        <v>4910</v>
      </c>
      <c r="C25" s="330"/>
      <c r="D25" s="330"/>
      <c r="E25" s="330"/>
      <c r="F25" s="330"/>
    </row>
    <row r="26" spans="1:6">
      <c r="A26" s="1293" t="s">
        <v>16</v>
      </c>
      <c r="B26" s="1294">
        <v>145</v>
      </c>
      <c r="C26" s="330"/>
      <c r="D26" s="330"/>
      <c r="E26" s="330"/>
      <c r="F26" s="330"/>
    </row>
    <row r="27" spans="1:6">
      <c r="A27" s="1293" t="s">
        <v>17</v>
      </c>
      <c r="B27" s="1294">
        <v>1771</v>
      </c>
      <c r="C27" s="330"/>
      <c r="D27" s="330"/>
      <c r="E27" s="330"/>
      <c r="F27" s="330"/>
    </row>
    <row r="28" spans="1:6" s="43" customFormat="1">
      <c r="A28" s="1295" t="s">
        <v>18</v>
      </c>
      <c r="B28" s="1296">
        <v>339002</v>
      </c>
      <c r="C28" s="336"/>
      <c r="D28" s="336"/>
      <c r="E28" s="336"/>
      <c r="F28" s="336"/>
    </row>
    <row r="29" spans="1:6">
      <c r="A29" s="1295" t="s">
        <v>734</v>
      </c>
      <c r="B29" s="1296">
        <v>189</v>
      </c>
      <c r="C29" s="336"/>
      <c r="D29" s="336"/>
      <c r="E29" s="336"/>
      <c r="F29" s="336"/>
    </row>
    <row r="30" spans="1:6">
      <c r="A30" s="1288" t="s">
        <v>735</v>
      </c>
      <c r="B30" s="1297">
        <v>48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6</v>
      </c>
      <c r="F38" s="1294">
        <v>32769.320024949797</v>
      </c>
    </row>
    <row r="39" spans="1:6">
      <c r="A39" s="1293" t="s">
        <v>29</v>
      </c>
      <c r="B39" s="1293" t="s">
        <v>30</v>
      </c>
      <c r="C39" s="1294">
        <v>2771</v>
      </c>
      <c r="D39" s="1294">
        <v>44059857.931278102</v>
      </c>
      <c r="E39" s="1294">
        <v>5606</v>
      </c>
      <c r="F39" s="1294">
        <v>23533475.288249899</v>
      </c>
    </row>
    <row r="40" spans="1:6">
      <c r="A40" s="1293" t="s">
        <v>29</v>
      </c>
      <c r="B40" s="1293" t="s">
        <v>28</v>
      </c>
      <c r="C40" s="1294">
        <v>0</v>
      </c>
      <c r="D40" s="1294">
        <v>0</v>
      </c>
      <c r="E40" s="1294">
        <v>0</v>
      </c>
      <c r="F40" s="1294">
        <v>0</v>
      </c>
    </row>
    <row r="41" spans="1:6">
      <c r="A41" s="1293" t="s">
        <v>31</v>
      </c>
      <c r="B41" s="1293" t="s">
        <v>32</v>
      </c>
      <c r="C41" s="1294">
        <v>32</v>
      </c>
      <c r="D41" s="1294">
        <v>717155.60174360103</v>
      </c>
      <c r="E41" s="1294">
        <v>114</v>
      </c>
      <c r="F41" s="1294">
        <v>701593.68147505401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2859207.7515005101</v>
      </c>
      <c r="E44" s="1294">
        <v>17</v>
      </c>
      <c r="F44" s="1294">
        <v>2643781.8486586502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33</v>
      </c>
      <c r="D48" s="1294">
        <v>494117.27141860698</v>
      </c>
      <c r="E48" s="1294">
        <v>58</v>
      </c>
      <c r="F48" s="1294">
        <v>566403.12031106197</v>
      </c>
    </row>
    <row r="49" spans="1:6">
      <c r="A49" s="1293" t="s">
        <v>31</v>
      </c>
      <c r="B49" s="1293" t="s">
        <v>39</v>
      </c>
      <c r="C49" s="1294">
        <v>0</v>
      </c>
      <c r="D49" s="1294">
        <v>0</v>
      </c>
      <c r="E49" s="1294">
        <v>0</v>
      </c>
      <c r="F49" s="1294">
        <v>0</v>
      </c>
    </row>
    <row r="50" spans="1:6">
      <c r="A50" s="1293" t="s">
        <v>31</v>
      </c>
      <c r="B50" s="1293" t="s">
        <v>40</v>
      </c>
      <c r="C50" s="1294">
        <v>4</v>
      </c>
      <c r="D50" s="1294">
        <v>123349.961555507</v>
      </c>
      <c r="E50" s="1294">
        <v>4</v>
      </c>
      <c r="F50" s="1294">
        <v>174590.58379515499</v>
      </c>
    </row>
    <row r="51" spans="1:6">
      <c r="A51" s="1293" t="s">
        <v>41</v>
      </c>
      <c r="B51" s="1293" t="s">
        <v>42</v>
      </c>
      <c r="C51" s="1294">
        <v>12</v>
      </c>
      <c r="D51" s="1294">
        <v>1000158.76733955</v>
      </c>
      <c r="E51" s="1294">
        <v>265</v>
      </c>
      <c r="F51" s="1294">
        <v>5456379.2628719201</v>
      </c>
    </row>
    <row r="52" spans="1:6">
      <c r="A52" s="1293" t="s">
        <v>41</v>
      </c>
      <c r="B52" s="1293" t="s">
        <v>28</v>
      </c>
      <c r="C52" s="1294">
        <v>12</v>
      </c>
      <c r="D52" s="1294">
        <v>23032746.586657301</v>
      </c>
      <c r="E52" s="1294">
        <v>24</v>
      </c>
      <c r="F52" s="1294">
        <v>1124907.0978218999</v>
      </c>
    </row>
    <row r="53" spans="1:6">
      <c r="A53" s="1293" t="s">
        <v>43</v>
      </c>
      <c r="B53" s="1293" t="s">
        <v>44</v>
      </c>
      <c r="C53" s="1294">
        <v>86</v>
      </c>
      <c r="D53" s="1294">
        <v>2325059.6842784202</v>
      </c>
      <c r="E53" s="1294">
        <v>221</v>
      </c>
      <c r="F53" s="1294">
        <v>782791.69254183304</v>
      </c>
    </row>
    <row r="54" spans="1:6">
      <c r="A54" s="1293" t="s">
        <v>45</v>
      </c>
      <c r="B54" s="1293" t="s">
        <v>46</v>
      </c>
      <c r="C54" s="1294">
        <v>0</v>
      </c>
      <c r="D54" s="1294">
        <v>0</v>
      </c>
      <c r="E54" s="1294">
        <v>4</v>
      </c>
      <c r="F54" s="1294">
        <v>1022980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26</v>
      </c>
      <c r="D57" s="1294">
        <v>1212822.3092715801</v>
      </c>
      <c r="E57" s="1294">
        <v>97</v>
      </c>
      <c r="F57" s="1294">
        <v>879555.19924327102</v>
      </c>
    </row>
    <row r="58" spans="1:6">
      <c r="A58" s="1293" t="s">
        <v>48</v>
      </c>
      <c r="B58" s="1293" t="s">
        <v>50</v>
      </c>
      <c r="C58" s="1294">
        <v>0</v>
      </c>
      <c r="D58" s="1294">
        <v>0</v>
      </c>
      <c r="E58" s="1294">
        <v>8</v>
      </c>
      <c r="F58" s="1294">
        <v>40802.497681534602</v>
      </c>
    </row>
    <row r="59" spans="1:6">
      <c r="A59" s="1293" t="s">
        <v>48</v>
      </c>
      <c r="B59" s="1293" t="s">
        <v>51</v>
      </c>
      <c r="C59" s="1294">
        <v>17</v>
      </c>
      <c r="D59" s="1294">
        <v>635266.912350956</v>
      </c>
      <c r="E59" s="1294">
        <v>88</v>
      </c>
      <c r="F59" s="1294">
        <v>1897909.1903981599</v>
      </c>
    </row>
    <row r="60" spans="1:6">
      <c r="A60" s="1293" t="s">
        <v>48</v>
      </c>
      <c r="B60" s="1293" t="s">
        <v>52</v>
      </c>
      <c r="C60" s="1294">
        <v>25</v>
      </c>
      <c r="D60" s="1294">
        <v>1028467.82530149</v>
      </c>
      <c r="E60" s="1294">
        <v>51</v>
      </c>
      <c r="F60" s="1294">
        <v>673765.86756301799</v>
      </c>
    </row>
    <row r="61" spans="1:6">
      <c r="A61" s="1293" t="s">
        <v>48</v>
      </c>
      <c r="B61" s="1293" t="s">
        <v>53</v>
      </c>
      <c r="C61" s="1294">
        <v>35</v>
      </c>
      <c r="D61" s="1294">
        <v>1183009.0510233601</v>
      </c>
      <c r="E61" s="1294">
        <v>132</v>
      </c>
      <c r="F61" s="1294">
        <v>1360496.3310698001</v>
      </c>
    </row>
    <row r="62" spans="1:6">
      <c r="A62" s="1293" t="s">
        <v>48</v>
      </c>
      <c r="B62" s="1293" t="s">
        <v>54</v>
      </c>
      <c r="C62" s="1294">
        <v>0</v>
      </c>
      <c r="D62" s="1294">
        <v>0</v>
      </c>
      <c r="E62" s="1294">
        <v>0</v>
      </c>
      <c r="F62" s="1294">
        <v>0</v>
      </c>
    </row>
    <row r="63" spans="1:6">
      <c r="A63" s="1293" t="s">
        <v>48</v>
      </c>
      <c r="B63" s="1293" t="s">
        <v>28</v>
      </c>
      <c r="C63" s="1294">
        <v>150</v>
      </c>
      <c r="D63" s="1294">
        <v>6658703.8546677995</v>
      </c>
      <c r="E63" s="1294">
        <v>199</v>
      </c>
      <c r="F63" s="1294">
        <v>3726027.41157238</v>
      </c>
    </row>
    <row r="64" spans="1:6">
      <c r="A64" s="1293" t="s">
        <v>55</v>
      </c>
      <c r="B64" s="1293" t="s">
        <v>56</v>
      </c>
      <c r="C64" s="1294">
        <v>0</v>
      </c>
      <c r="D64" s="1294">
        <v>0</v>
      </c>
      <c r="E64" s="1294">
        <v>0</v>
      </c>
      <c r="F64" s="1294">
        <v>0</v>
      </c>
    </row>
    <row r="65" spans="1:6">
      <c r="A65" s="1293" t="s">
        <v>55</v>
      </c>
      <c r="B65" s="1293" t="s">
        <v>28</v>
      </c>
      <c r="C65" s="1294">
        <v>4</v>
      </c>
      <c r="D65" s="1294">
        <v>60624.672837603503</v>
      </c>
      <c r="E65" s="1294">
        <v>2</v>
      </c>
      <c r="F65" s="1294">
        <v>8701.4924848559003</v>
      </c>
    </row>
    <row r="66" spans="1:6">
      <c r="A66" s="1293" t="s">
        <v>55</v>
      </c>
      <c r="B66" s="1293" t="s">
        <v>57</v>
      </c>
      <c r="C66" s="1294">
        <v>0</v>
      </c>
      <c r="D66" s="1294">
        <v>0</v>
      </c>
      <c r="E66" s="1294">
        <v>7</v>
      </c>
      <c r="F66" s="1294">
        <v>171458.91148729299</v>
      </c>
    </row>
    <row r="67" spans="1:6">
      <c r="A67" s="1295" t="s">
        <v>55</v>
      </c>
      <c r="B67" s="1295" t="s">
        <v>58</v>
      </c>
      <c r="C67" s="1294">
        <v>0</v>
      </c>
      <c r="D67" s="1294">
        <v>0</v>
      </c>
      <c r="E67" s="1294">
        <v>0</v>
      </c>
      <c r="F67" s="1294">
        <v>0</v>
      </c>
    </row>
    <row r="68" spans="1:6">
      <c r="A68" s="1288" t="s">
        <v>55</v>
      </c>
      <c r="B68" s="1288" t="s">
        <v>59</v>
      </c>
      <c r="C68" s="1297">
        <v>3</v>
      </c>
      <c r="D68" s="1297">
        <v>52164.743617036598</v>
      </c>
      <c r="E68" s="1297">
        <v>20</v>
      </c>
      <c r="F68" s="1297">
        <v>143626.674092781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75454976</v>
      </c>
      <c r="E73" s="449"/>
      <c r="F73" s="330"/>
    </row>
    <row r="74" spans="1:6">
      <c r="A74" s="1293" t="s">
        <v>63</v>
      </c>
      <c r="B74" s="1293" t="s">
        <v>656</v>
      </c>
      <c r="C74" s="1307" t="s">
        <v>658</v>
      </c>
      <c r="D74" s="1308">
        <v>7049812.5</v>
      </c>
      <c r="E74" s="449"/>
      <c r="F74" s="330"/>
    </row>
    <row r="75" spans="1:6">
      <c r="A75" s="1293" t="s">
        <v>64</v>
      </c>
      <c r="B75" s="1293" t="s">
        <v>655</v>
      </c>
      <c r="C75" s="1307" t="s">
        <v>659</v>
      </c>
      <c r="D75" s="1308">
        <v>24477348</v>
      </c>
      <c r="E75" s="449"/>
      <c r="F75" s="330"/>
    </row>
    <row r="76" spans="1:6">
      <c r="A76" s="1293" t="s">
        <v>64</v>
      </c>
      <c r="B76" s="1293" t="s">
        <v>656</v>
      </c>
      <c r="C76" s="1307" t="s">
        <v>660</v>
      </c>
      <c r="D76" s="1308">
        <v>1059633.5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409605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20669.377503055584</v>
      </c>
      <c r="C90" s="330"/>
      <c r="D90" s="330"/>
      <c r="E90" s="330"/>
      <c r="F90" s="330"/>
    </row>
    <row r="91" spans="1:6">
      <c r="A91" s="1293" t="s">
        <v>67</v>
      </c>
      <c r="B91" s="1294">
        <v>3588.565480890149</v>
      </c>
      <c r="C91" s="330"/>
      <c r="D91" s="330"/>
      <c r="E91" s="330"/>
      <c r="F91" s="330"/>
    </row>
    <row r="92" spans="1:6">
      <c r="A92" s="1288" t="s">
        <v>68</v>
      </c>
      <c r="B92" s="1289">
        <v>1623.738492336357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1118</v>
      </c>
      <c r="C97" s="330"/>
      <c r="D97" s="330"/>
      <c r="E97" s="330"/>
      <c r="F97" s="330"/>
    </row>
    <row r="98" spans="1:6">
      <c r="A98" s="1293" t="s">
        <v>71</v>
      </c>
      <c r="B98" s="1294">
        <v>0</v>
      </c>
      <c r="C98" s="330"/>
      <c r="D98" s="330"/>
      <c r="E98" s="330"/>
      <c r="F98" s="330"/>
    </row>
    <row r="99" spans="1:6">
      <c r="A99" s="1293" t="s">
        <v>72</v>
      </c>
      <c r="B99" s="1294">
        <v>182</v>
      </c>
      <c r="C99" s="330"/>
      <c r="D99" s="330"/>
      <c r="E99" s="330"/>
      <c r="F99" s="330"/>
    </row>
    <row r="100" spans="1:6">
      <c r="A100" s="1293" t="s">
        <v>73</v>
      </c>
      <c r="B100" s="1294">
        <v>600</v>
      </c>
      <c r="C100" s="330"/>
      <c r="D100" s="330"/>
      <c r="E100" s="330"/>
      <c r="F100" s="330"/>
    </row>
    <row r="101" spans="1:6">
      <c r="A101" s="1293" t="s">
        <v>74</v>
      </c>
      <c r="B101" s="1294">
        <v>133</v>
      </c>
      <c r="C101" s="330"/>
      <c r="D101" s="330"/>
      <c r="E101" s="330"/>
      <c r="F101" s="330"/>
    </row>
    <row r="102" spans="1:6">
      <c r="A102" s="1293" t="s">
        <v>75</v>
      </c>
      <c r="B102" s="1294">
        <v>98</v>
      </c>
      <c r="C102" s="330"/>
      <c r="D102" s="330"/>
      <c r="E102" s="330"/>
      <c r="F102" s="330"/>
    </row>
    <row r="103" spans="1:6">
      <c r="A103" s="1293" t="s">
        <v>76</v>
      </c>
      <c r="B103" s="1294">
        <v>340</v>
      </c>
      <c r="C103" s="330"/>
      <c r="D103" s="330"/>
      <c r="E103" s="330"/>
      <c r="F103" s="330"/>
    </row>
    <row r="104" spans="1:6">
      <c r="A104" s="1293" t="s">
        <v>77</v>
      </c>
      <c r="B104" s="1294">
        <v>2839</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22</v>
      </c>
      <c r="C123" s="1294">
        <v>20</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202</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48207.44550142176</v>
      </c>
      <c r="C3" s="43" t="s">
        <v>169</v>
      </c>
      <c r="D3" s="43"/>
      <c r="E3" s="154"/>
      <c r="F3" s="43"/>
      <c r="G3" s="43"/>
      <c r="H3" s="43"/>
      <c r="I3" s="43"/>
      <c r="J3" s="43"/>
      <c r="K3" s="96"/>
    </row>
    <row r="4" spans="1:11">
      <c r="A4" s="358" t="s">
        <v>170</v>
      </c>
      <c r="B4" s="49">
        <f>IF(ISERROR('SEAP template'!B78+'SEAP template'!C78),0,'SEAP template'!B78+'SEAP template'!C78)</f>
        <v>32268.98147628209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1497.1764705882354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0.10412451786096118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2138.8235294117649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9124.7142857142862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0.23439895896360519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1022.98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1022.98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0.10412451786096118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106.51729928140607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23533.475288249898</v>
      </c>
      <c r="C5" s="17">
        <f>IF(ISERROR('Eigen informatie GS &amp; warmtenet'!B57),0,'Eigen informatie GS &amp; warmtenet'!B57)</f>
        <v>0</v>
      </c>
      <c r="D5" s="30">
        <f>(SUM(HH_hh_gas_kWh,HH_rest_gas_kWh)/1000)*0.902</f>
        <v>39741.991854012849</v>
      </c>
      <c r="E5" s="17">
        <f>B46*B57</f>
        <v>17164.607695790186</v>
      </c>
      <c r="F5" s="17">
        <f>B51*B62</f>
        <v>28187.484962099137</v>
      </c>
      <c r="G5" s="18"/>
      <c r="H5" s="17"/>
      <c r="I5" s="17"/>
      <c r="J5" s="17">
        <f>B50*B61+C50*C61</f>
        <v>2365.9430525609641</v>
      </c>
      <c r="K5" s="17"/>
      <c r="L5" s="17"/>
      <c r="M5" s="17"/>
      <c r="N5" s="17">
        <f>B48*B59+C48*C59</f>
        <v>17288.221674007276</v>
      </c>
      <c r="O5" s="17">
        <f>B69*B70*B71</f>
        <v>347.06000000000006</v>
      </c>
      <c r="P5" s="17">
        <f>B77*B78*B79/1000-B77*B78*B79/1000/B80</f>
        <v>800.8</v>
      </c>
    </row>
    <row r="6" spans="1:16">
      <c r="A6" s="16" t="s">
        <v>620</v>
      </c>
      <c r="B6" s="762">
        <f>kWh_PV_kleiner_dan_10kW</f>
        <v>3588.565480890149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27122.040769140047</v>
      </c>
      <c r="C8" s="21">
        <f>C5</f>
        <v>0</v>
      </c>
      <c r="D8" s="21">
        <f>D5</f>
        <v>39741.991854012849</v>
      </c>
      <c r="E8" s="21">
        <f>E5</f>
        <v>17164.607695790186</v>
      </c>
      <c r="F8" s="21">
        <f>F5</f>
        <v>28187.484962099137</v>
      </c>
      <c r="G8" s="21"/>
      <c r="H8" s="21"/>
      <c r="I8" s="21"/>
      <c r="J8" s="21">
        <f>J5</f>
        <v>2365.9430525609641</v>
      </c>
      <c r="K8" s="21"/>
      <c r="L8" s="21">
        <f>L5</f>
        <v>0</v>
      </c>
      <c r="M8" s="21">
        <f>M5</f>
        <v>0</v>
      </c>
      <c r="N8" s="21">
        <f>N5</f>
        <v>17288.221674007276</v>
      </c>
      <c r="O8" s="21">
        <f>O5</f>
        <v>347.06000000000006</v>
      </c>
      <c r="P8" s="21">
        <f>P5</f>
        <v>800.8</v>
      </c>
    </row>
    <row r="9" spans="1:16">
      <c r="B9" s="19"/>
      <c r="C9" s="19"/>
      <c r="D9" s="258"/>
      <c r="E9" s="19"/>
      <c r="F9" s="19"/>
      <c r="G9" s="19"/>
      <c r="H9" s="19"/>
      <c r="I9" s="19"/>
      <c r="J9" s="19"/>
      <c r="K9" s="19"/>
      <c r="L9" s="19"/>
      <c r="M9" s="19"/>
      <c r="N9" s="19"/>
      <c r="O9" s="19"/>
      <c r="P9" s="19"/>
    </row>
    <row r="10" spans="1:16">
      <c r="A10" s="24" t="s">
        <v>213</v>
      </c>
      <c r="B10" s="25">
        <f ca="1">'EF ele_warmte'!B12</f>
        <v>0.10412451786096118</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2824.0694184920399</v>
      </c>
      <c r="C12" s="23">
        <f ca="1">C10*C8</f>
        <v>0</v>
      </c>
      <c r="D12" s="23">
        <f>D8*D10</f>
        <v>8027.8823545105961</v>
      </c>
      <c r="E12" s="23">
        <f>E10*E8</f>
        <v>3896.3659469443724</v>
      </c>
      <c r="F12" s="23">
        <f>F10*F8</f>
        <v>7526.0584848804701</v>
      </c>
      <c r="G12" s="23"/>
      <c r="H12" s="23"/>
      <c r="I12" s="23"/>
      <c r="J12" s="23">
        <f>J10*J8</f>
        <v>837.54384060658128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1118</v>
      </c>
      <c r="C18" s="166" t="s">
        <v>110</v>
      </c>
      <c r="D18" s="228"/>
      <c r="E18" s="15"/>
    </row>
    <row r="19" spans="1:7">
      <c r="A19" s="171" t="s">
        <v>71</v>
      </c>
      <c r="B19" s="37">
        <f>aantalw2001_ander</f>
        <v>0</v>
      </c>
      <c r="C19" s="166" t="s">
        <v>110</v>
      </c>
      <c r="D19" s="229"/>
      <c r="E19" s="15"/>
    </row>
    <row r="20" spans="1:7">
      <c r="A20" s="171" t="s">
        <v>72</v>
      </c>
      <c r="B20" s="37">
        <f>aantalw2001_propaan</f>
        <v>182</v>
      </c>
      <c r="C20" s="167">
        <f>IF(ISERROR(B20/SUM($B$20,$B$21,$B$22)*100),0,B20/SUM($B$20,$B$21,$B$22)*100)</f>
        <v>19.89071038251366</v>
      </c>
      <c r="D20" s="229"/>
      <c r="E20" s="15"/>
    </row>
    <row r="21" spans="1:7">
      <c r="A21" s="171" t="s">
        <v>73</v>
      </c>
      <c r="B21" s="37">
        <f>aantalw2001_elektriciteit</f>
        <v>600</v>
      </c>
      <c r="C21" s="167">
        <f>IF(ISERROR(B21/SUM($B$20,$B$21,$B$22)*100),0,B21/SUM($B$20,$B$21,$B$22)*100)</f>
        <v>65.573770491803273</v>
      </c>
      <c r="D21" s="229"/>
      <c r="E21" s="15"/>
    </row>
    <row r="22" spans="1:7">
      <c r="A22" s="171" t="s">
        <v>74</v>
      </c>
      <c r="B22" s="37">
        <f>aantalw2001_hout</f>
        <v>133</v>
      </c>
      <c r="C22" s="167">
        <f>IF(ISERROR(B22/SUM($B$20,$B$21,$B$22)*100),0,B22/SUM($B$20,$B$21,$B$22)*100)</f>
        <v>14.535519125683061</v>
      </c>
      <c r="D22" s="229"/>
      <c r="E22" s="15"/>
    </row>
    <row r="23" spans="1:7">
      <c r="A23" s="171" t="s">
        <v>75</v>
      </c>
      <c r="B23" s="37">
        <f>aantalw2001_niet_gespec</f>
        <v>98</v>
      </c>
      <c r="C23" s="166" t="s">
        <v>110</v>
      </c>
      <c r="D23" s="228"/>
      <c r="E23" s="15"/>
    </row>
    <row r="24" spans="1:7">
      <c r="A24" s="171" t="s">
        <v>76</v>
      </c>
      <c r="B24" s="37">
        <f>aantalw2001_steenkool</f>
        <v>340</v>
      </c>
      <c r="C24" s="166" t="s">
        <v>110</v>
      </c>
      <c r="D24" s="229"/>
      <c r="E24" s="15"/>
    </row>
    <row r="25" spans="1:7">
      <c r="A25" s="171" t="s">
        <v>77</v>
      </c>
      <c r="B25" s="37">
        <f>aantalw2001_stookolie</f>
        <v>2839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5971</v>
      </c>
      <c r="C28" s="36"/>
      <c r="D28" s="228"/>
    </row>
    <row r="29" spans="1:7" s="15" customFormat="1">
      <c r="A29" s="230" t="s">
        <v>781</v>
      </c>
      <c r="B29" s="37">
        <f>SUM(HH_hh_gas_aantal,HH_rest_gas_aantal)</f>
        <v>2771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2771</v>
      </c>
      <c r="C32" s="167">
        <f>IF(ISERROR(B32/SUM($B$32,$B$34,$B$35,$B$36,$B$38,$B$39)*100),0,B32/SUM($B$32,$B$34,$B$35,$B$36,$B$38,$B$39)*100)</f>
        <v>46.736380502614267</v>
      </c>
      <c r="D32" s="233"/>
      <c r="G32" s="15"/>
    </row>
    <row r="33" spans="1:7">
      <c r="A33" s="171" t="s">
        <v>71</v>
      </c>
      <c r="B33" s="34" t="s">
        <v>110</v>
      </c>
      <c r="C33" s="167"/>
      <c r="D33" s="233"/>
      <c r="G33" s="15"/>
    </row>
    <row r="34" spans="1:7">
      <c r="A34" s="171" t="s">
        <v>72</v>
      </c>
      <c r="B34" s="33">
        <f>IF((($B$28-$B$32-$B$39-$B$77-$B$38)*C20/100)&lt;0,0,($B$28-$B$32-$B$39-$B$77-$B$38)*C20/100)</f>
        <v>324.61639344262295</v>
      </c>
      <c r="C34" s="167">
        <f>IF(ISERROR(B34/SUM($B$32,$B$34,$B$35,$B$36,$B$38,$B$39)*100),0,B34/SUM($B$32,$B$34,$B$35,$B$36,$B$38,$B$39)*100)</f>
        <v>5.4750614512164439</v>
      </c>
      <c r="D34" s="233"/>
      <c r="G34" s="15"/>
    </row>
    <row r="35" spans="1:7">
      <c r="A35" s="171" t="s">
        <v>73</v>
      </c>
      <c r="B35" s="33">
        <f>IF((($B$28-$B$32-$B$39-$B$77-$B$38)*C21/100)&lt;0,0,($B$28-$B$32-$B$39-$B$77-$B$38)*C21/100)</f>
        <v>1070.1639344262294</v>
      </c>
      <c r="C35" s="167">
        <f>IF(ISERROR(B35/SUM($B$32,$B$34,$B$35,$B$36,$B$38,$B$39)*100),0,B35/SUM($B$32,$B$34,$B$35,$B$36,$B$38,$B$39)*100)</f>
        <v>18.049653135878387</v>
      </c>
      <c r="D35" s="233"/>
      <c r="G35" s="15"/>
    </row>
    <row r="36" spans="1:7">
      <c r="A36" s="171" t="s">
        <v>74</v>
      </c>
      <c r="B36" s="33">
        <f>IF((($B$28-$B$32-$B$39-$B$77-$B$38)*C22/100)&lt;0,0,($B$28-$B$32-$B$39-$B$77-$B$38)*C22/100)</f>
        <v>237.21967213114758</v>
      </c>
      <c r="C36" s="167">
        <f>IF(ISERROR(B36/SUM($B$32,$B$34,$B$35,$B$36,$B$38,$B$39)*100),0,B36/SUM($B$32,$B$34,$B$35,$B$36,$B$38,$B$39)*100)</f>
        <v>4.0010064451197094</v>
      </c>
      <c r="D36" s="233"/>
      <c r="G36" s="15"/>
    </row>
    <row r="37" spans="1:7">
      <c r="A37" s="171" t="s">
        <v>75</v>
      </c>
      <c r="B37" s="34" t="s">
        <v>110</v>
      </c>
      <c r="C37" s="167"/>
      <c r="D37" s="173"/>
      <c r="G37" s="15"/>
    </row>
    <row r="38" spans="1:7">
      <c r="A38" s="171" t="s">
        <v>76</v>
      </c>
      <c r="B38" s="33">
        <f>IF((B24-(B29-B18)*0.1)&lt;0,0,B24-(B29-B18)*0.1)</f>
        <v>174.7</v>
      </c>
      <c r="C38" s="167">
        <f>IF(ISERROR(B38/SUM($B$32,$B$34,$B$35,$B$36,$B$38,$B$39)*100),0,B38/SUM($B$32,$B$34,$B$35,$B$36,$B$38,$B$39)*100)</f>
        <v>2.9465339854950243</v>
      </c>
      <c r="D38" s="234"/>
      <c r="G38" s="15"/>
    </row>
    <row r="39" spans="1:7">
      <c r="A39" s="171" t="s">
        <v>77</v>
      </c>
      <c r="B39" s="33">
        <f>IF((B25-(B29-B18))&lt;0,0,B25-(B29-B18)*0.9)</f>
        <v>1351.3</v>
      </c>
      <c r="C39" s="167">
        <f>IF(ISERROR(B39/SUM($B$32,$B$34,$B$35,$B$36,$B$38,$B$39)*100),0,B39/SUM($B$32,$B$34,$B$35,$B$36,$B$38,$B$39)*100)</f>
        <v>22.791364479676169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2771</v>
      </c>
      <c r="C44" s="34" t="s">
        <v>110</v>
      </c>
      <c r="D44" s="174"/>
    </row>
    <row r="45" spans="1:7">
      <c r="A45" s="171" t="s">
        <v>71</v>
      </c>
      <c r="B45" s="33" t="str">
        <f t="shared" si="0"/>
        <v>-</v>
      </c>
      <c r="C45" s="34" t="s">
        <v>110</v>
      </c>
      <c r="D45" s="174"/>
    </row>
    <row r="46" spans="1:7">
      <c r="A46" s="171" t="s">
        <v>72</v>
      </c>
      <c r="B46" s="33">
        <f t="shared" si="0"/>
        <v>324.61639344262295</v>
      </c>
      <c r="C46" s="34" t="s">
        <v>110</v>
      </c>
      <c r="D46" s="174"/>
    </row>
    <row r="47" spans="1:7">
      <c r="A47" s="171" t="s">
        <v>73</v>
      </c>
      <c r="B47" s="33">
        <f t="shared" si="0"/>
        <v>1070.1639344262294</v>
      </c>
      <c r="C47" s="34" t="s">
        <v>110</v>
      </c>
      <c r="D47" s="174"/>
    </row>
    <row r="48" spans="1:7">
      <c r="A48" s="171" t="s">
        <v>74</v>
      </c>
      <c r="B48" s="33">
        <f t="shared" si="0"/>
        <v>237.21967213114758</v>
      </c>
      <c r="C48" s="33">
        <f>B48*10</f>
        <v>2372.1967213114758</v>
      </c>
      <c r="D48" s="234"/>
    </row>
    <row r="49" spans="1:6">
      <c r="A49" s="171" t="s">
        <v>75</v>
      </c>
      <c r="B49" s="33" t="str">
        <f t="shared" si="0"/>
        <v>-</v>
      </c>
      <c r="C49" s="34" t="s">
        <v>110</v>
      </c>
      <c r="D49" s="234"/>
    </row>
    <row r="50" spans="1:6">
      <c r="A50" s="171" t="s">
        <v>76</v>
      </c>
      <c r="B50" s="33">
        <f t="shared" si="0"/>
        <v>174.7</v>
      </c>
      <c r="C50" s="33">
        <f>B50*2</f>
        <v>349.4</v>
      </c>
      <c r="D50" s="234"/>
    </row>
    <row r="51" spans="1:6">
      <c r="A51" s="171" t="s">
        <v>77</v>
      </c>
      <c r="B51" s="33">
        <f t="shared" si="0"/>
        <v>1351.3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8578.5564975281632</v>
      </c>
      <c r="C5" s="17">
        <f>IF(ISERROR('Eigen informatie GS &amp; warmtenet'!B58),0,'Eigen informatie GS &amp; warmtenet'!B58)</f>
        <v>0</v>
      </c>
      <c r="D5" s="30">
        <f>SUM(D6:D12)</f>
        <v>9667.8794972588985</v>
      </c>
      <c r="E5" s="17">
        <f>SUM(E6:E12)</f>
        <v>125.81437011855519</v>
      </c>
      <c r="F5" s="17">
        <f>SUM(F6:F12)</f>
        <v>1535.8363303156552</v>
      </c>
      <c r="G5" s="18"/>
      <c r="H5" s="17"/>
      <c r="I5" s="17"/>
      <c r="J5" s="17">
        <f>SUM(J6:J12)</f>
        <v>2.8114365023470672E-2</v>
      </c>
      <c r="K5" s="17"/>
      <c r="L5" s="17"/>
      <c r="M5" s="17"/>
      <c r="N5" s="17">
        <f>SUM(N6:N12)</f>
        <v>1112.4454098588617</v>
      </c>
      <c r="O5" s="17">
        <f>B38*B39*B40</f>
        <v>3.1266666666666669</v>
      </c>
      <c r="P5" s="17">
        <f>B46*B47*B48/1000-B46*B47*B48/1000/B49</f>
        <v>0</v>
      </c>
      <c r="R5" s="32"/>
    </row>
    <row r="6" spans="1:18">
      <c r="A6" s="32" t="s">
        <v>53</v>
      </c>
      <c r="B6" s="37">
        <f>B26</f>
        <v>1360.4963310698001</v>
      </c>
      <c r="C6" s="33"/>
      <c r="D6" s="37">
        <f>IF(ISERROR(TER_kantoor_gas_kWh/1000),0,TER_kantoor_gas_kWh/1000)*0.902</f>
        <v>1067.0741640230708</v>
      </c>
      <c r="E6" s="33">
        <f>$C$26*'E Balans VL '!I12/100/3.6*1000000</f>
        <v>8.5271385091547514E-3</v>
      </c>
      <c r="F6" s="33">
        <f>$C$26*('E Balans VL '!L12+'E Balans VL '!N12)/100/3.6*1000000</f>
        <v>204.44458266658211</v>
      </c>
      <c r="G6" s="34"/>
      <c r="H6" s="33"/>
      <c r="I6" s="33"/>
      <c r="J6" s="33">
        <f>$C$26*('E Balans VL '!D12+'E Balans VL '!E12)/100/3.6*1000000</f>
        <v>0</v>
      </c>
      <c r="K6" s="33"/>
      <c r="L6" s="33"/>
      <c r="M6" s="33"/>
      <c r="N6" s="33">
        <f>$C$26*'E Balans VL '!Y12/100/3.6*1000000</f>
        <v>1.3011130249500593</v>
      </c>
      <c r="O6" s="33"/>
      <c r="P6" s="33"/>
      <c r="R6" s="32"/>
    </row>
    <row r="7" spans="1:18">
      <c r="A7" s="32" t="s">
        <v>52</v>
      </c>
      <c r="B7" s="37">
        <f t="shared" ref="B7:B12" si="0">B27</f>
        <v>673.76586756301799</v>
      </c>
      <c r="C7" s="33"/>
      <c r="D7" s="37">
        <f>IF(ISERROR(TER_horeca_gas_kWh/1000),0,TER_horeca_gas_kWh/1000)*0.902</f>
        <v>927.67797842194398</v>
      </c>
      <c r="E7" s="33">
        <f>$C$27*'E Balans VL '!I9/100/3.6*1000000</f>
        <v>9.6482149955329888</v>
      </c>
      <c r="F7" s="33">
        <f>$C$27*('E Balans VL '!L9+'E Balans VL '!N9)/100/3.6*1000000</f>
        <v>85.320980487898751</v>
      </c>
      <c r="G7" s="34"/>
      <c r="H7" s="33"/>
      <c r="I7" s="33"/>
      <c r="J7" s="33">
        <f>$C$27*('E Balans VL '!D9+'E Balans VL '!E9)/100/3.6*1000000</f>
        <v>0</v>
      </c>
      <c r="K7" s="33"/>
      <c r="L7" s="33"/>
      <c r="M7" s="33"/>
      <c r="N7" s="33">
        <f>$C$27*'E Balans VL '!Y9/100/3.6*1000000</f>
        <v>0.19369283166215867</v>
      </c>
      <c r="O7" s="33"/>
      <c r="P7" s="33"/>
      <c r="R7" s="32"/>
    </row>
    <row r="8" spans="1:18">
      <c r="A8" s="6" t="s">
        <v>51</v>
      </c>
      <c r="B8" s="37">
        <f t="shared" si="0"/>
        <v>1897.9091903981598</v>
      </c>
      <c r="C8" s="33"/>
      <c r="D8" s="37">
        <f>IF(ISERROR(TER_handel_gas_kWh/1000),0,TER_handel_gas_kWh/1000)*0.902</f>
        <v>573.01075494056226</v>
      </c>
      <c r="E8" s="33">
        <f>$C$28*'E Balans VL '!I13/100/3.6*1000000</f>
        <v>68.836932296065243</v>
      </c>
      <c r="F8" s="33">
        <f>$C$28*('E Balans VL '!L13+'E Balans VL '!N13)/100/3.6*1000000</f>
        <v>365.55652762305226</v>
      </c>
      <c r="G8" s="34"/>
      <c r="H8" s="33"/>
      <c r="I8" s="33"/>
      <c r="J8" s="33">
        <f>$C$28*('E Balans VL '!D13+'E Balans VL '!E13)/100/3.6*1000000</f>
        <v>0</v>
      </c>
      <c r="K8" s="33"/>
      <c r="L8" s="33"/>
      <c r="M8" s="33"/>
      <c r="N8" s="33">
        <f>$C$28*'E Balans VL '!Y13/100/3.6*1000000</f>
        <v>2.6290409181303969</v>
      </c>
      <c r="O8" s="33"/>
      <c r="P8" s="33"/>
      <c r="R8" s="32"/>
    </row>
    <row r="9" spans="1:18">
      <c r="A9" s="32" t="s">
        <v>50</v>
      </c>
      <c r="B9" s="37">
        <f t="shared" si="0"/>
        <v>40.802497681534604</v>
      </c>
      <c r="C9" s="33"/>
      <c r="D9" s="37">
        <f>IF(ISERROR(TER_gezond_gas_kWh/1000),0,TER_gezond_gas_kWh/1000)*0.902</f>
        <v>0</v>
      </c>
      <c r="E9" s="33">
        <f>$C$29*'E Balans VL '!I10/100/3.6*1000000</f>
        <v>2.5546392067492701E-3</v>
      </c>
      <c r="F9" s="33">
        <f>$C$29*('E Balans VL '!L10+'E Balans VL '!N10)/100/3.6*1000000</f>
        <v>6.0613352623661969</v>
      </c>
      <c r="G9" s="34"/>
      <c r="H9" s="33"/>
      <c r="I9" s="33"/>
      <c r="J9" s="33">
        <f>$C$29*('E Balans VL '!D10+'E Balans VL '!E10)/100/3.6*1000000</f>
        <v>0</v>
      </c>
      <c r="K9" s="33"/>
      <c r="L9" s="33"/>
      <c r="M9" s="33"/>
      <c r="N9" s="33">
        <f>$C$29*'E Balans VL '!Y10/100/3.6*1000000</f>
        <v>0.63113697124245915</v>
      </c>
      <c r="O9" s="33"/>
      <c r="P9" s="33"/>
      <c r="R9" s="32"/>
    </row>
    <row r="10" spans="1:18">
      <c r="A10" s="32" t="s">
        <v>49</v>
      </c>
      <c r="B10" s="37">
        <f t="shared" si="0"/>
        <v>879.55519924327098</v>
      </c>
      <c r="C10" s="33"/>
      <c r="D10" s="37">
        <f>IF(ISERROR(TER_ander_gas_kWh/1000),0,TER_ander_gas_kWh/1000)*0.902</f>
        <v>1093.9657229629652</v>
      </c>
      <c r="E10" s="33">
        <f>$C$30*'E Balans VL '!I14/100/3.6*1000000</f>
        <v>1.0483983675058934</v>
      </c>
      <c r="F10" s="33">
        <f>$C$30*('E Balans VL '!L14+'E Balans VL '!N14)/100/3.6*1000000</f>
        <v>230.13074207500776</v>
      </c>
      <c r="G10" s="34"/>
      <c r="H10" s="33"/>
      <c r="I10" s="33"/>
      <c r="J10" s="33">
        <f>$C$30*('E Balans VL '!D14+'E Balans VL '!E14)/100/3.6*1000000</f>
        <v>1.9091695614389819E-2</v>
      </c>
      <c r="K10" s="33"/>
      <c r="L10" s="33"/>
      <c r="M10" s="33"/>
      <c r="N10" s="33">
        <f>$C$30*'E Balans VL '!Y14/100/3.6*1000000</f>
        <v>746.89675278460959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3726.0274115723801</v>
      </c>
      <c r="C12" s="33"/>
      <c r="D12" s="37">
        <f>IF(ISERROR(TER_rest_gas_kWh/1000),0,TER_rest_gas_kWh/1000)*0.902</f>
        <v>6006.1508769103557</v>
      </c>
      <c r="E12" s="33">
        <f>$C$32*'E Balans VL '!I8/100/3.6*1000000</f>
        <v>46.269742681735146</v>
      </c>
      <c r="F12" s="33">
        <f>$C$32*('E Balans VL '!L8+'E Balans VL '!N8)/100/3.6*1000000</f>
        <v>644.32216220074827</v>
      </c>
      <c r="G12" s="34"/>
      <c r="H12" s="33"/>
      <c r="I12" s="33"/>
      <c r="J12" s="33">
        <f>$C$32*('E Balans VL '!D8+'E Balans VL '!E8)/100/3.6*1000000</f>
        <v>9.0226694090808548E-3</v>
      </c>
      <c r="K12" s="33"/>
      <c r="L12" s="33"/>
      <c r="M12" s="33"/>
      <c r="N12" s="33">
        <f>$C$32*'E Balans VL '!Y8/100/3.6*1000000</f>
        <v>360.79367332826712</v>
      </c>
      <c r="O12" s="33"/>
      <c r="P12" s="33"/>
      <c r="R12" s="32"/>
    </row>
    <row r="13" spans="1:18">
      <c r="A13" s="16" t="s">
        <v>487</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8578.5564975281632</v>
      </c>
      <c r="C16" s="21">
        <f t="shared" ca="1" si="1"/>
        <v>0</v>
      </c>
      <c r="D16" s="21">
        <f t="shared" ca="1" si="1"/>
        <v>9667.8794972588985</v>
      </c>
      <c r="E16" s="21">
        <f t="shared" si="1"/>
        <v>125.81437011855519</v>
      </c>
      <c r="F16" s="21">
        <f t="shared" ca="1" si="1"/>
        <v>1535.8363303156552</v>
      </c>
      <c r="G16" s="21">
        <f t="shared" si="1"/>
        <v>0</v>
      </c>
      <c r="H16" s="21">
        <f t="shared" si="1"/>
        <v>0</v>
      </c>
      <c r="I16" s="21">
        <f t="shared" si="1"/>
        <v>0</v>
      </c>
      <c r="J16" s="21">
        <f t="shared" si="1"/>
        <v>2.8114365023470672E-2</v>
      </c>
      <c r="K16" s="21">
        <f t="shared" si="1"/>
        <v>0</v>
      </c>
      <c r="L16" s="21">
        <f t="shared" ca="1" si="1"/>
        <v>0</v>
      </c>
      <c r="M16" s="21">
        <f t="shared" si="1"/>
        <v>0</v>
      </c>
      <c r="N16" s="21">
        <f t="shared" ca="1" si="1"/>
        <v>1112.4454098588617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0.10412451786096118</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893.23805924813576</v>
      </c>
      <c r="C20" s="23">
        <f t="shared" ref="C20:P20" ca="1" si="2">C16*C18</f>
        <v>0</v>
      </c>
      <c r="D20" s="23">
        <f t="shared" ca="1" si="2"/>
        <v>1952.9116584462977</v>
      </c>
      <c r="E20" s="23">
        <f t="shared" si="2"/>
        <v>28.559862016912028</v>
      </c>
      <c r="F20" s="23">
        <f t="shared" ca="1" si="2"/>
        <v>410.06830019427997</v>
      </c>
      <c r="G20" s="23">
        <f t="shared" si="2"/>
        <v>0</v>
      </c>
      <c r="H20" s="23">
        <f t="shared" si="2"/>
        <v>0</v>
      </c>
      <c r="I20" s="23">
        <f t="shared" si="2"/>
        <v>0</v>
      </c>
      <c r="J20" s="23">
        <f t="shared" si="2"/>
        <v>9.9524852183086182E-3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1360.4963310698001</v>
      </c>
      <c r="C26" s="39">
        <f>IF(ISERROR(B26*3.6/1000000/'E Balans VL '!Z12*100),0,B26*3.6/1000000/'E Balans VL '!Z12*100)</f>
        <v>2.8758737238540708E-2</v>
      </c>
      <c r="D26" s="237" t="s">
        <v>744</v>
      </c>
      <c r="F26" s="6"/>
    </row>
    <row r="27" spans="1:18">
      <c r="A27" s="231" t="s">
        <v>52</v>
      </c>
      <c r="B27" s="33">
        <f>IF(ISERROR(TER_horeca_ele_kWh/1000),0,TER_horeca_ele_kWh/1000)</f>
        <v>673.76586756301799</v>
      </c>
      <c r="C27" s="39">
        <f>IF(ISERROR(B27*3.6/1000000/'E Balans VL '!Z9*100),0,B27*3.6/1000000/'E Balans VL '!Z9*100)</f>
        <v>5.3112712214633456E-2</v>
      </c>
      <c r="D27" s="237" t="s">
        <v>744</v>
      </c>
      <c r="F27" s="6"/>
    </row>
    <row r="28" spans="1:18">
      <c r="A28" s="171" t="s">
        <v>51</v>
      </c>
      <c r="B28" s="33">
        <f>IF(ISERROR(TER_handel_ele_kWh/1000),0,TER_handel_ele_kWh/1000)</f>
        <v>1897.9091903981598</v>
      </c>
      <c r="C28" s="39">
        <f>IF(ISERROR(B28*3.6/1000000/'E Balans VL '!Z13*100),0,B28*3.6/1000000/'E Balans VL '!Z13*100)</f>
        <v>5.5084993117776232E-2</v>
      </c>
      <c r="D28" s="237" t="s">
        <v>744</v>
      </c>
      <c r="F28" s="6"/>
    </row>
    <row r="29" spans="1:18">
      <c r="A29" s="231" t="s">
        <v>50</v>
      </c>
      <c r="B29" s="33">
        <f>IF(ISERROR(TER_gezond_ele_kWh/1000),0,TER_gezond_ele_kWh/1000)</f>
        <v>40.802497681534604</v>
      </c>
      <c r="C29" s="39">
        <f>IF(ISERROR(B29*3.6/1000000/'E Balans VL '!Z10*100),0,B29*3.6/1000000/'E Balans VL '!Z10*100)</f>
        <v>4.2971730005627951E-3</v>
      </c>
      <c r="D29" s="237" t="s">
        <v>744</v>
      </c>
      <c r="F29" s="6"/>
    </row>
    <row r="30" spans="1:18">
      <c r="A30" s="231" t="s">
        <v>49</v>
      </c>
      <c r="B30" s="33">
        <f>IF(ISERROR(TER_ander_ele_kWh/1000),0,TER_ander_ele_kWh/1000)</f>
        <v>879.55519924327098</v>
      </c>
      <c r="C30" s="39">
        <f>IF(ISERROR(B30*3.6/1000000/'E Balans VL '!Z14*100),0,B30*3.6/1000000/'E Balans VL '!Z14*100)</f>
        <v>6.4876182534622642E-2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3726.0274115723801</v>
      </c>
      <c r="C32" s="39">
        <f>IF(ISERROR(B32*3.6/1000000/'E Balans VL '!Z8*100),0,B32*3.6/1000000/'E Balans VL '!Z8*100)</f>
        <v>3.0660259798605302E-2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4086.3692342399208</v>
      </c>
      <c r="C5" s="17">
        <f>IF(ISERROR('Eigen informatie GS &amp; warmtenet'!B59),0,'Eigen informatie GS &amp; warmtenet'!B59)</f>
        <v>0</v>
      </c>
      <c r="D5" s="30">
        <f>SUM(D6:D15)</f>
        <v>3782.83518876884</v>
      </c>
      <c r="E5" s="17">
        <f>SUM(E6:E15)</f>
        <v>261.04034273254257</v>
      </c>
      <c r="F5" s="17">
        <f>SUM(F6:F15)</f>
        <v>934.97049887930507</v>
      </c>
      <c r="G5" s="18"/>
      <c r="H5" s="17"/>
      <c r="I5" s="17"/>
      <c r="J5" s="17">
        <f>SUM(J6:J15)</f>
        <v>2.0277124002027009</v>
      </c>
      <c r="K5" s="17"/>
      <c r="L5" s="17"/>
      <c r="M5" s="17"/>
      <c r="N5" s="17">
        <f>SUM(N6:N15)</f>
        <v>144.55688303343811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2643.7818486586502</v>
      </c>
      <c r="C8" s="33"/>
      <c r="D8" s="37">
        <f>IF( ISERROR(IND_metaal_Gas_kWH/1000),0,IND_metaal_Gas_kWH/1000)*0.902</f>
        <v>2579.0053918534604</v>
      </c>
      <c r="E8" s="33">
        <f>C30*'E Balans VL '!I18/100/3.6*1000000</f>
        <v>24.307020709624048</v>
      </c>
      <c r="F8" s="33">
        <f>C30*'E Balans VL '!L18/100/3.6*1000000+C30*'E Balans VL '!N18/100/3.6*1000000</f>
        <v>247.89871699661035</v>
      </c>
      <c r="G8" s="34"/>
      <c r="H8" s="33"/>
      <c r="I8" s="33"/>
      <c r="J8" s="40">
        <f>C30*'E Balans VL '!D18/100/3.6*1000000+C30*'E Balans VL '!E18/100/3.6*1000000</f>
        <v>0</v>
      </c>
      <c r="K8" s="33"/>
      <c r="L8" s="33"/>
      <c r="M8" s="33"/>
      <c r="N8" s="33">
        <f>C30*'E Balans VL '!Y18/100/3.6*1000000</f>
        <v>37.717917104605128</v>
      </c>
      <c r="O8" s="33"/>
      <c r="P8" s="33"/>
      <c r="R8" s="32"/>
    </row>
    <row r="9" spans="1:18">
      <c r="A9" s="6" t="s">
        <v>32</v>
      </c>
      <c r="B9" s="37">
        <f t="shared" si="0"/>
        <v>701.59368147505404</v>
      </c>
      <c r="C9" s="33"/>
      <c r="D9" s="37">
        <f>IF( ISERROR(IND_andere_gas_kWh/1000),0,IND_andere_gas_kWh/1000)*0.902</f>
        <v>646.87435277272812</v>
      </c>
      <c r="E9" s="33">
        <f>C31*'E Balans VL '!I19/100/3.6*1000000</f>
        <v>205.08949151313558</v>
      </c>
      <c r="F9" s="33">
        <f>C31*'E Balans VL '!L19/100/3.6*1000000+C31*'E Balans VL '!N19/100/3.6*1000000</f>
        <v>563.78362882722172</v>
      </c>
      <c r="G9" s="34"/>
      <c r="H9" s="33"/>
      <c r="I9" s="33"/>
      <c r="J9" s="40">
        <f>C31*'E Balans VL '!D19/100/3.6*1000000+C31*'E Balans VL '!E19/100/3.6*1000000</f>
        <v>0</v>
      </c>
      <c r="K9" s="33"/>
      <c r="L9" s="33"/>
      <c r="M9" s="33"/>
      <c r="N9" s="33">
        <f>C31*'E Balans VL '!Y19/100/3.6*1000000</f>
        <v>55.032055492205565</v>
      </c>
      <c r="O9" s="33"/>
      <c r="P9" s="33"/>
      <c r="R9" s="32"/>
    </row>
    <row r="10" spans="1:18">
      <c r="A10" s="6" t="s">
        <v>40</v>
      </c>
      <c r="B10" s="37">
        <f t="shared" si="0"/>
        <v>174.590583795155</v>
      </c>
      <c r="C10" s="33"/>
      <c r="D10" s="37">
        <f>IF( ISERROR(IND_voed_gas_kWh/1000),0,IND_voed_gas_kWh/1000)*0.902</f>
        <v>111.26166532306732</v>
      </c>
      <c r="E10" s="33">
        <f>C32*'E Balans VL '!I20/100/3.6*1000000</f>
        <v>0.36934908707771424</v>
      </c>
      <c r="F10" s="33">
        <f>C32*'E Balans VL '!L20/100/3.6*1000000+C32*'E Balans VL '!N20/100/3.6*1000000</f>
        <v>11.10064765674759</v>
      </c>
      <c r="G10" s="34"/>
      <c r="H10" s="33"/>
      <c r="I10" s="33"/>
      <c r="J10" s="40">
        <f>C32*'E Balans VL '!D20/100/3.6*1000000+C32*'E Balans VL '!E20/100/3.6*1000000</f>
        <v>0</v>
      </c>
      <c r="K10" s="33"/>
      <c r="L10" s="33"/>
      <c r="M10" s="33"/>
      <c r="N10" s="33">
        <f>C32*'E Balans VL '!Y20/100/3.6*1000000</f>
        <v>12.048473183844976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566.40312031106191</v>
      </c>
      <c r="C15" s="33"/>
      <c r="D15" s="37">
        <f>IF( ISERROR(IND_rest_gas_kWh/1000),0,IND_rest_gas_kWh/1000)*0.902</f>
        <v>445.69377881958354</v>
      </c>
      <c r="E15" s="33">
        <f>C37*'E Balans VL '!I15/100/3.6*1000000</f>
        <v>31.274481422705229</v>
      </c>
      <c r="F15" s="33">
        <f>C37*'E Balans VL '!L15/100/3.6*1000000+C37*'E Balans VL '!N15/100/3.6*1000000</f>
        <v>112.18750539872548</v>
      </c>
      <c r="G15" s="34"/>
      <c r="H15" s="33"/>
      <c r="I15" s="33"/>
      <c r="J15" s="40">
        <f>C37*'E Balans VL '!D15/100/3.6*1000000+C37*'E Balans VL '!E15/100/3.6*1000000</f>
        <v>2.0277124002027009</v>
      </c>
      <c r="K15" s="33"/>
      <c r="L15" s="33"/>
      <c r="M15" s="33"/>
      <c r="N15" s="33">
        <f>C37*'E Balans VL '!Y15/100/3.6*1000000</f>
        <v>39.758437252782436</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4086.3692342399208</v>
      </c>
      <c r="C18" s="21">
        <f>C5+C16</f>
        <v>0</v>
      </c>
      <c r="D18" s="21">
        <f>MAX((D5+D16),0)</f>
        <v>3782.83518876884</v>
      </c>
      <c r="E18" s="21">
        <f>MAX((E5+E16),0)</f>
        <v>261.04034273254257</v>
      </c>
      <c r="F18" s="21">
        <f>MAX((F5+F16),0)</f>
        <v>934.97049887930507</v>
      </c>
      <c r="G18" s="21"/>
      <c r="H18" s="21"/>
      <c r="I18" s="21"/>
      <c r="J18" s="21">
        <f>MAX((J5+J16),0)</f>
        <v>2.0277124002027009</v>
      </c>
      <c r="K18" s="21"/>
      <c r="L18" s="21">
        <f>MAX((L5+L16),0)</f>
        <v>0</v>
      </c>
      <c r="M18" s="21"/>
      <c r="N18" s="21">
        <f>MAX((N5+N16),0)</f>
        <v>144.55688303343811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0.10412451786096118</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425.4912263170969</v>
      </c>
      <c r="C22" s="23">
        <f ca="1">C18*C20</f>
        <v>0</v>
      </c>
      <c r="D22" s="23">
        <f>D18*D20</f>
        <v>764.13270813130578</v>
      </c>
      <c r="E22" s="23">
        <f>E18*E20</f>
        <v>59.256157800287163</v>
      </c>
      <c r="F22" s="23">
        <f>F18*F20</f>
        <v>249.63712320077445</v>
      </c>
      <c r="G22" s="23"/>
      <c r="H22" s="23"/>
      <c r="I22" s="23"/>
      <c r="J22" s="23">
        <f>J18*J20</f>
        <v>0.71781018967175614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2643.7818486586502</v>
      </c>
      <c r="C30" s="39">
        <f>IF(ISERROR(B30*3.6/1000000/'E Balans VL '!Z18*100),0,B30*3.6/1000000/'E Balans VL '!Z18*100)</f>
        <v>0.14982989646353162</v>
      </c>
      <c r="D30" s="237" t="s">
        <v>744</v>
      </c>
    </row>
    <row r="31" spans="1:18">
      <c r="A31" s="6" t="s">
        <v>32</v>
      </c>
      <c r="B31" s="37">
        <f>IF( ISERROR(IND_ander_ele_kWh/1000),0,IND_ander_ele_kWh/1000)</f>
        <v>701.59368147505404</v>
      </c>
      <c r="C31" s="39">
        <f>IF(ISERROR(B31*3.6/1000000/'E Balans VL '!Z19*100),0,B31*3.6/1000000/'E Balans VL '!Z19*100)</f>
        <v>3.1821368006464609E-2</v>
      </c>
      <c r="D31" s="237" t="s">
        <v>744</v>
      </c>
    </row>
    <row r="32" spans="1:18">
      <c r="A32" s="171" t="s">
        <v>40</v>
      </c>
      <c r="B32" s="37">
        <f>IF( ISERROR(IND_voed_ele_kWh/1000),0,IND_voed_ele_kWh/1000)</f>
        <v>174.590583795155</v>
      </c>
      <c r="C32" s="39">
        <f>IF(ISERROR(B32*3.6/1000000/'E Balans VL '!Z20*100),0,B32*3.6/1000000/'E Balans VL '!Z20*100)</f>
        <v>5.4008793311131698E-3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566.40312031106191</v>
      </c>
      <c r="C37" s="39">
        <f>IF(ISERROR(B37*3.6/1000000/'E Balans VL '!Z15*100),0,B37*3.6/1000000/'E Balans VL '!Z15*100)</f>
        <v>4.4894403376526896E-3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6581.2863606938199</v>
      </c>
      <c r="C5" s="17">
        <f>'Eigen informatie GS &amp; warmtenet'!B60</f>
        <v>0</v>
      </c>
      <c r="D5" s="30">
        <f>IF(ISERROR(SUM(LB_lb_gas_kWh,LB_rest_gas_kWh)/1000),0,SUM(LB_lb_gas_kWh,LB_rest_gas_kWh)/1000)*0.902</f>
        <v>21677.68062930516</v>
      </c>
      <c r="E5" s="17">
        <f>B17*'E Balans VL '!I25/3.6*1000000/100</f>
        <v>193.44410770949017</v>
      </c>
      <c r="F5" s="17">
        <f>B17*('E Balans VL '!L25/3.6*1000000+'E Balans VL '!N25/3.6*1000000)/100</f>
        <v>27417.283344601929</v>
      </c>
      <c r="G5" s="18"/>
      <c r="H5" s="17"/>
      <c r="I5" s="17"/>
      <c r="J5" s="17">
        <f>('E Balans VL '!D25+'E Balans VL '!E25)/3.6*1000000*landbouw!B17/100</f>
        <v>953.48705892209591</v>
      </c>
      <c r="K5" s="17"/>
      <c r="L5" s="17">
        <f>L6*(-1)</f>
        <v>0</v>
      </c>
      <c r="M5" s="17"/>
      <c r="N5" s="17">
        <f>N6*(-1)</f>
        <v>249.42857142857139</v>
      </c>
      <c r="O5" s="17"/>
      <c r="P5" s="17"/>
      <c r="R5" s="32"/>
    </row>
    <row r="6" spans="1:18">
      <c r="A6" s="16" t="s">
        <v>487</v>
      </c>
      <c r="B6" s="17" t="s">
        <v>210</v>
      </c>
      <c r="C6" s="17">
        <f>'lokale energieproductie'!O41+'lokale energieproductie'!O34</f>
        <v>9124.7142857142862</v>
      </c>
      <c r="D6" s="308">
        <f>('lokale energieproductie'!P34+'lokale energieproductie'!P41)*(-1)</f>
        <v>-18000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6581.2863606938199</v>
      </c>
      <c r="C8" s="21">
        <f>C5+C6</f>
        <v>9124.7142857142862</v>
      </c>
      <c r="D8" s="21">
        <f>MAX((D5+D6),0)</f>
        <v>3677.6806293051595</v>
      </c>
      <c r="E8" s="21">
        <f>MAX((E5+E6),0)</f>
        <v>193.44410770949017</v>
      </c>
      <c r="F8" s="21">
        <f>MAX((F5+F6),0)</f>
        <v>27417.283344601929</v>
      </c>
      <c r="G8" s="21"/>
      <c r="H8" s="21"/>
      <c r="I8" s="21"/>
      <c r="J8" s="21">
        <f>MAX((J5+J6),0)</f>
        <v>953.48705892209591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0.10412451786096118</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685.27326921216388</v>
      </c>
      <c r="C12" s="23">
        <f ca="1">C8*C10</f>
        <v>2138.8235294117649</v>
      </c>
      <c r="D12" s="23">
        <f>D8*D10</f>
        <v>742.89148711964231</v>
      </c>
      <c r="E12" s="23">
        <f>E8*E10</f>
        <v>43.911812450054271</v>
      </c>
      <c r="F12" s="23">
        <f>F8*F10</f>
        <v>7320.4146530087155</v>
      </c>
      <c r="G12" s="23"/>
      <c r="H12" s="23"/>
      <c r="I12" s="23"/>
      <c r="J12" s="23">
        <f>J8*J10</f>
        <v>337.53441885842193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0.93390518273870526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1291.9691171020484</v>
      </c>
      <c r="C26" s="247">
        <f>B26*'GWP N2O_CH4'!B5</f>
        <v>27131.351459143014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464.09622343938787</v>
      </c>
      <c r="C27" s="247">
        <f>B27*'GWP N2O_CH4'!B5</f>
        <v>9746.0206922271445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16.643336658660584</v>
      </c>
      <c r="C28" s="247">
        <f>B28*'GWP N2O_CH4'!B4</f>
        <v>5159.4343641847809</v>
      </c>
      <c r="D28" s="50"/>
    </row>
    <row r="29" spans="1:4">
      <c r="A29" s="41" t="s">
        <v>276</v>
      </c>
      <c r="B29" s="247">
        <f>B34*'ha_N2O bodem landbouw'!B4</f>
        <v>44.21608434457157</v>
      </c>
      <c r="C29" s="247">
        <f>B29*'GWP N2O_CH4'!B4</f>
        <v>13706.986146817188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1.0089958072025845E-2</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1.203154102007236E-4</v>
      </c>
      <c r="C5" s="437" t="s">
        <v>210</v>
      </c>
      <c r="D5" s="422">
        <f>SUM(D6:D11)</f>
        <v>3.4858011111858723E-4</v>
      </c>
      <c r="E5" s="422">
        <f>SUM(E6:E11)</f>
        <v>5.8775628193621964E-4</v>
      </c>
      <c r="F5" s="435" t="s">
        <v>210</v>
      </c>
      <c r="G5" s="422">
        <f>SUM(G6:G11)</f>
        <v>0.25547631530398313</v>
      </c>
      <c r="H5" s="422">
        <f>SUM(H6:H11)</f>
        <v>5.876528686564008E-2</v>
      </c>
      <c r="I5" s="437" t="s">
        <v>210</v>
      </c>
      <c r="J5" s="437" t="s">
        <v>210</v>
      </c>
      <c r="K5" s="437" t="s">
        <v>210</v>
      </c>
      <c r="L5" s="437" t="s">
        <v>210</v>
      </c>
      <c r="M5" s="422">
        <f>SUM(M6:M11)</f>
        <v>1.6656390014098327E-2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9.0845444454246398E-5</v>
      </c>
      <c r="C6" s="423"/>
      <c r="D6" s="865">
        <f>vkm_GW_PW*SUMIFS(TableVerdeelsleutelVkm[CNG],TableVerdeelsleutelVkm[Voertuigtype],"Lichte voertuigen")*SUMIFS(TableECFTransport[EnergieConsumptieFactor (PJ per km)],TableECFTransport[Index],CONCATENATE($A6,"_CNG_CNG"))</f>
        <v>2.2513719295113601E-4</v>
      </c>
      <c r="E6" s="865">
        <f>vkm_GW_PW*SUMIFS(TableVerdeelsleutelVkm[LPG],TableVerdeelsleutelVkm[Voertuigtype],"Lichte voertuigen")*SUMIFS(TableECFTransport[EnergieConsumptieFactor (PJ per km)],TableECFTransport[Index],CONCATENATE($A6,"_LPG_LPG"))</f>
        <v>3.8650434042953859E-4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0.1184305427074541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3.8251749575061902E-2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8.0455216120351777E-3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6.6232127443386579E-2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1.1079430174849178E-6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3.8696488720897943E-3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2.9469965746477202E-5</v>
      </c>
      <c r="C8" s="423"/>
      <c r="D8" s="425">
        <f>vkm_NGW_PW*SUMIFS(TableVerdeelsleutelVkm[CNG],TableVerdeelsleutelVkm[Voertuigtype],"Lichte voertuigen")*SUMIFS(TableECFTransport[EnergieConsumptieFactor (PJ per km)],TableECFTransport[Index],CONCATENATE($A8,"_CNG_CNG"))</f>
        <v>1.2344291816745125E-4</v>
      </c>
      <c r="E8" s="425">
        <f>vkm_NGW_PW*SUMIFS(TableVerdeelsleutelVkm[LPG],TableVerdeelsleutelVkm[Voertuigtype],"Lichte voertuigen")*SUMIFS(TableECFTransport[EnergieConsumptieFactor (PJ per km)],TableECFTransport[Index],CONCATENATE($A8,"_LPG_LPG"))</f>
        <v>2.0125194150668108E-4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5.8005586052704575E-2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2.0512165412631993E-2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3.9929000928646628E-3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1.2808059100437842E-2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2.6393492869918434E-7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7.4831943710869202E-4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33.420947277978776</v>
      </c>
      <c r="C14" s="21"/>
      <c r="D14" s="21">
        <f t="shared" ref="D14:M14" si="0">((D5)*10^9/3600)+D12</f>
        <v>96.827808644052013</v>
      </c>
      <c r="E14" s="21">
        <f t="shared" si="0"/>
        <v>163.26563387117213</v>
      </c>
      <c r="F14" s="21"/>
      <c r="G14" s="21">
        <f t="shared" si="0"/>
        <v>70965.643139995314</v>
      </c>
      <c r="H14" s="21">
        <f t="shared" si="0"/>
        <v>16323.690796011133</v>
      </c>
      <c r="I14" s="21"/>
      <c r="J14" s="21"/>
      <c r="K14" s="21"/>
      <c r="L14" s="21"/>
      <c r="M14" s="21">
        <f t="shared" si="0"/>
        <v>4626.775003916202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0.10412451786096118</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3.4799400217761427</v>
      </c>
      <c r="C18" s="23"/>
      <c r="D18" s="23">
        <f t="shared" ref="D18:M18" si="1">D14*D16</f>
        <v>19.559217346098507</v>
      </c>
      <c r="E18" s="23">
        <f t="shared" si="1"/>
        <v>37.061298888756077</v>
      </c>
      <c r="F18" s="23"/>
      <c r="G18" s="23">
        <f t="shared" si="1"/>
        <v>18947.82671837875</v>
      </c>
      <c r="H18" s="23">
        <f t="shared" si="1"/>
        <v>4064.5990082067719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5.1161455807486591E-3</v>
      </c>
      <c r="H50" s="319">
        <f t="shared" si="2"/>
        <v>0</v>
      </c>
      <c r="I50" s="319">
        <f t="shared" si="2"/>
        <v>0</v>
      </c>
      <c r="J50" s="319">
        <f t="shared" si="2"/>
        <v>0</v>
      </c>
      <c r="K50" s="319">
        <f t="shared" si="2"/>
        <v>0</v>
      </c>
      <c r="L50" s="319">
        <f t="shared" si="2"/>
        <v>0</v>
      </c>
      <c r="M50" s="319">
        <f t="shared" si="2"/>
        <v>2.9055253362292191E-4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5.1161455807486591E-3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2.9055253362292191E-4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1421.151550207961</v>
      </c>
      <c r="H54" s="21">
        <f t="shared" si="3"/>
        <v>0</v>
      </c>
      <c r="I54" s="21">
        <f t="shared" si="3"/>
        <v>0</v>
      </c>
      <c r="J54" s="21">
        <f t="shared" si="3"/>
        <v>0</v>
      </c>
      <c r="K54" s="21">
        <f t="shared" si="3"/>
        <v>0</v>
      </c>
      <c r="L54" s="21">
        <f t="shared" si="3"/>
        <v>0</v>
      </c>
      <c r="M54" s="21">
        <f t="shared" si="3"/>
        <v>80.709037117478303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0.10412451786096118</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379.44746390552564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9601.5364975281627</v>
      </c>
      <c r="D10" s="979">
        <f ca="1">tertiair!C16</f>
        <v>0</v>
      </c>
      <c r="E10" s="979">
        <f ca="1">tertiair!D16</f>
        <v>9667.8794972588985</v>
      </c>
      <c r="F10" s="979">
        <f>tertiair!E16</f>
        <v>125.81437011855519</v>
      </c>
      <c r="G10" s="979">
        <f ca="1">tertiair!F16</f>
        <v>1535.8363303156552</v>
      </c>
      <c r="H10" s="979">
        <f>tertiair!G16</f>
        <v>0</v>
      </c>
      <c r="I10" s="979">
        <f>tertiair!H16</f>
        <v>0</v>
      </c>
      <c r="J10" s="979">
        <f>tertiair!I16</f>
        <v>0</v>
      </c>
      <c r="K10" s="979">
        <f>tertiair!J16</f>
        <v>2.8114365023470672E-2</v>
      </c>
      <c r="L10" s="979">
        <f>tertiair!K16</f>
        <v>0</v>
      </c>
      <c r="M10" s="979">
        <f ca="1">tertiair!L16</f>
        <v>0</v>
      </c>
      <c r="N10" s="979">
        <f>tertiair!M16</f>
        <v>0</v>
      </c>
      <c r="O10" s="979">
        <f ca="1">tertiair!N16</f>
        <v>1112.4454098588617</v>
      </c>
      <c r="P10" s="979">
        <f>tertiair!O16</f>
        <v>3.1266666666666669</v>
      </c>
      <c r="Q10" s="980">
        <f>tertiair!P16</f>
        <v>0</v>
      </c>
      <c r="R10" s="674">
        <f ca="1">SUM(C10:Q10)</f>
        <v>22046.666886111823</v>
      </c>
      <c r="S10" s="67"/>
    </row>
    <row r="11" spans="1:19" s="447" customFormat="1">
      <c r="A11" s="783" t="s">
        <v>224</v>
      </c>
      <c r="B11" s="788"/>
      <c r="C11" s="979">
        <f>huishoudens!B8</f>
        <v>27122.040769140047</v>
      </c>
      <c r="D11" s="979">
        <f>huishoudens!C8</f>
        <v>0</v>
      </c>
      <c r="E11" s="979">
        <f>huishoudens!D8</f>
        <v>39741.991854012849</v>
      </c>
      <c r="F11" s="979">
        <f>huishoudens!E8</f>
        <v>17164.607695790186</v>
      </c>
      <c r="G11" s="979">
        <f>huishoudens!F8</f>
        <v>28187.484962099137</v>
      </c>
      <c r="H11" s="979">
        <f>huishoudens!G8</f>
        <v>0</v>
      </c>
      <c r="I11" s="979">
        <f>huishoudens!H8</f>
        <v>0</v>
      </c>
      <c r="J11" s="979">
        <f>huishoudens!I8</f>
        <v>0</v>
      </c>
      <c r="K11" s="979">
        <f>huishoudens!J8</f>
        <v>2365.9430525609641</v>
      </c>
      <c r="L11" s="979">
        <f>huishoudens!K8</f>
        <v>0</v>
      </c>
      <c r="M11" s="979">
        <f>huishoudens!L8</f>
        <v>0</v>
      </c>
      <c r="N11" s="979">
        <f>huishoudens!M8</f>
        <v>0</v>
      </c>
      <c r="O11" s="979">
        <f>huishoudens!N8</f>
        <v>17288.221674007276</v>
      </c>
      <c r="P11" s="979">
        <f>huishoudens!O8</f>
        <v>347.06000000000006</v>
      </c>
      <c r="Q11" s="980">
        <f>huishoudens!P8</f>
        <v>800.8</v>
      </c>
      <c r="R11" s="674">
        <f>SUM(C11:Q11)</f>
        <v>133018.15000761044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4086.3692342399208</v>
      </c>
      <c r="D13" s="979">
        <f>industrie!C18</f>
        <v>0</v>
      </c>
      <c r="E13" s="979">
        <f>industrie!D18</f>
        <v>3782.83518876884</v>
      </c>
      <c r="F13" s="979">
        <f>industrie!E18</f>
        <v>261.04034273254257</v>
      </c>
      <c r="G13" s="979">
        <f>industrie!F18</f>
        <v>934.97049887930507</v>
      </c>
      <c r="H13" s="979">
        <f>industrie!G18</f>
        <v>0</v>
      </c>
      <c r="I13" s="979">
        <f>industrie!H18</f>
        <v>0</v>
      </c>
      <c r="J13" s="979">
        <f>industrie!I18</f>
        <v>0</v>
      </c>
      <c r="K13" s="979">
        <f>industrie!J18</f>
        <v>2.0277124002027009</v>
      </c>
      <c r="L13" s="979">
        <f>industrie!K18</f>
        <v>0</v>
      </c>
      <c r="M13" s="979">
        <f>industrie!L18</f>
        <v>0</v>
      </c>
      <c r="N13" s="979">
        <f>industrie!M18</f>
        <v>0</v>
      </c>
      <c r="O13" s="979">
        <f>industrie!N18</f>
        <v>144.55688303343811</v>
      </c>
      <c r="P13" s="979">
        <f>industrie!O18</f>
        <v>0</v>
      </c>
      <c r="Q13" s="980">
        <f>industrie!P18</f>
        <v>0</v>
      </c>
      <c r="R13" s="674">
        <f>SUM(C13:Q13)</f>
        <v>9211.7998600542487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40809.946500908132</v>
      </c>
      <c r="D16" s="706">
        <f t="shared" ref="D16:R16" ca="1" si="0">SUM(D9:D15)</f>
        <v>0</v>
      </c>
      <c r="E16" s="706">
        <f t="shared" ca="1" si="0"/>
        <v>53192.706540040592</v>
      </c>
      <c r="F16" s="706">
        <f t="shared" si="0"/>
        <v>17551.462408641284</v>
      </c>
      <c r="G16" s="706">
        <f t="shared" ca="1" si="0"/>
        <v>30658.291791294097</v>
      </c>
      <c r="H16" s="706">
        <f t="shared" si="0"/>
        <v>0</v>
      </c>
      <c r="I16" s="706">
        <f t="shared" si="0"/>
        <v>0</v>
      </c>
      <c r="J16" s="706">
        <f t="shared" si="0"/>
        <v>0</v>
      </c>
      <c r="K16" s="706">
        <f t="shared" si="0"/>
        <v>2367.9988793261905</v>
      </c>
      <c r="L16" s="706">
        <f t="shared" si="0"/>
        <v>0</v>
      </c>
      <c r="M16" s="706">
        <f t="shared" ca="1" si="0"/>
        <v>0</v>
      </c>
      <c r="N16" s="706">
        <f t="shared" si="0"/>
        <v>0</v>
      </c>
      <c r="O16" s="706">
        <f t="shared" ca="1" si="0"/>
        <v>18545.223966899575</v>
      </c>
      <c r="P16" s="706">
        <f t="shared" si="0"/>
        <v>350.18666666666672</v>
      </c>
      <c r="Q16" s="706">
        <f t="shared" si="0"/>
        <v>800.8</v>
      </c>
      <c r="R16" s="706">
        <f t="shared" ca="1" si="0"/>
        <v>164276.61675377653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1421.151550207961</v>
      </c>
      <c r="I19" s="979">
        <f>transport!H54</f>
        <v>0</v>
      </c>
      <c r="J19" s="979">
        <f>transport!I54</f>
        <v>0</v>
      </c>
      <c r="K19" s="979">
        <f>transport!J54</f>
        <v>0</v>
      </c>
      <c r="L19" s="979">
        <f>transport!K54</f>
        <v>0</v>
      </c>
      <c r="M19" s="979">
        <f>transport!L54</f>
        <v>0</v>
      </c>
      <c r="N19" s="979">
        <f>transport!M54</f>
        <v>80.709037117478303</v>
      </c>
      <c r="O19" s="979">
        <f>transport!N54</f>
        <v>0</v>
      </c>
      <c r="P19" s="979">
        <f>transport!O54</f>
        <v>0</v>
      </c>
      <c r="Q19" s="980">
        <f>transport!P54</f>
        <v>0</v>
      </c>
      <c r="R19" s="674">
        <f>SUM(C19:Q19)</f>
        <v>1501.8605873254394</v>
      </c>
      <c r="S19" s="67"/>
    </row>
    <row r="20" spans="1:19" s="447" customFormat="1">
      <c r="A20" s="783" t="s">
        <v>306</v>
      </c>
      <c r="B20" s="788"/>
      <c r="C20" s="979">
        <f>transport!B14</f>
        <v>33.420947277978776</v>
      </c>
      <c r="D20" s="979">
        <f>transport!C14</f>
        <v>0</v>
      </c>
      <c r="E20" s="979">
        <f>transport!D14</f>
        <v>96.827808644052013</v>
      </c>
      <c r="F20" s="979">
        <f>transport!E14</f>
        <v>163.26563387117213</v>
      </c>
      <c r="G20" s="979">
        <f>transport!F14</f>
        <v>0</v>
      </c>
      <c r="H20" s="979">
        <f>transport!G14</f>
        <v>70965.643139995314</v>
      </c>
      <c r="I20" s="979">
        <f>transport!H14</f>
        <v>16323.690796011133</v>
      </c>
      <c r="J20" s="979">
        <f>transport!I14</f>
        <v>0</v>
      </c>
      <c r="K20" s="979">
        <f>transport!J14</f>
        <v>0</v>
      </c>
      <c r="L20" s="979">
        <f>transport!K14</f>
        <v>0</v>
      </c>
      <c r="M20" s="979">
        <f>transport!L14</f>
        <v>0</v>
      </c>
      <c r="N20" s="979">
        <f>transport!M14</f>
        <v>4626.775003916202</v>
      </c>
      <c r="O20" s="979">
        <f>transport!N14</f>
        <v>0</v>
      </c>
      <c r="P20" s="979">
        <f>transport!O14</f>
        <v>0</v>
      </c>
      <c r="Q20" s="980">
        <f>transport!P14</f>
        <v>0</v>
      </c>
      <c r="R20" s="674">
        <f>SUM(C20:Q20)</f>
        <v>92209.623329715847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33.420947277978776</v>
      </c>
      <c r="D22" s="786">
        <f t="shared" ref="D22:R22" si="1">SUM(D18:D21)</f>
        <v>0</v>
      </c>
      <c r="E22" s="786">
        <f t="shared" si="1"/>
        <v>96.827808644052013</v>
      </c>
      <c r="F22" s="786">
        <f t="shared" si="1"/>
        <v>163.26563387117213</v>
      </c>
      <c r="G22" s="786">
        <f t="shared" si="1"/>
        <v>0</v>
      </c>
      <c r="H22" s="786">
        <f t="shared" si="1"/>
        <v>72386.794690203271</v>
      </c>
      <c r="I22" s="786">
        <f t="shared" si="1"/>
        <v>16323.690796011133</v>
      </c>
      <c r="J22" s="786">
        <f t="shared" si="1"/>
        <v>0</v>
      </c>
      <c r="K22" s="786">
        <f t="shared" si="1"/>
        <v>0</v>
      </c>
      <c r="L22" s="786">
        <f t="shared" si="1"/>
        <v>0</v>
      </c>
      <c r="M22" s="786">
        <f t="shared" si="1"/>
        <v>0</v>
      </c>
      <c r="N22" s="786">
        <f t="shared" si="1"/>
        <v>4707.4840410336801</v>
      </c>
      <c r="O22" s="786">
        <f t="shared" si="1"/>
        <v>0</v>
      </c>
      <c r="P22" s="786">
        <f t="shared" si="1"/>
        <v>0</v>
      </c>
      <c r="Q22" s="786">
        <f t="shared" si="1"/>
        <v>0</v>
      </c>
      <c r="R22" s="786">
        <f t="shared" si="1"/>
        <v>93711.483917041289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6581.2863606938199</v>
      </c>
      <c r="D24" s="979">
        <f>+landbouw!C8</f>
        <v>9124.7142857142862</v>
      </c>
      <c r="E24" s="979">
        <f>+landbouw!D8</f>
        <v>3677.6806293051595</v>
      </c>
      <c r="F24" s="979">
        <f>+landbouw!E8</f>
        <v>193.44410770949017</v>
      </c>
      <c r="G24" s="979">
        <f>+landbouw!F8</f>
        <v>27417.283344601929</v>
      </c>
      <c r="H24" s="979">
        <f>+landbouw!G8</f>
        <v>0</v>
      </c>
      <c r="I24" s="979">
        <f>+landbouw!H8</f>
        <v>0</v>
      </c>
      <c r="J24" s="979">
        <f>+landbouw!I8</f>
        <v>0</v>
      </c>
      <c r="K24" s="979">
        <f>+landbouw!J8</f>
        <v>953.48705892209591</v>
      </c>
      <c r="L24" s="979">
        <f>+landbouw!K8</f>
        <v>0</v>
      </c>
      <c r="M24" s="979">
        <f>+landbouw!L8</f>
        <v>0</v>
      </c>
      <c r="N24" s="979">
        <f>+landbouw!M8</f>
        <v>0</v>
      </c>
      <c r="O24" s="979">
        <f>+landbouw!N8</f>
        <v>0</v>
      </c>
      <c r="P24" s="979">
        <f>+landbouw!O8</f>
        <v>0</v>
      </c>
      <c r="Q24" s="980">
        <f>+landbouw!P8</f>
        <v>0</v>
      </c>
      <c r="R24" s="674">
        <f>SUM(C24:Q24)</f>
        <v>47947.895786946778</v>
      </c>
      <c r="S24" s="67"/>
    </row>
    <row r="25" spans="1:19" s="447" customFormat="1" ht="15" thickBot="1">
      <c r="A25" s="805" t="s">
        <v>823</v>
      </c>
      <c r="B25" s="982"/>
      <c r="C25" s="983">
        <f>IF(Onbekend_ele_kWh="---",0,Onbekend_ele_kWh)/1000+IF(REST_rest_ele_kWh="---",0,REST_rest_ele_kWh)/1000</f>
        <v>782.79169254183307</v>
      </c>
      <c r="D25" s="983"/>
      <c r="E25" s="983">
        <f>IF(onbekend_gas_kWh="---",0,onbekend_gas_kWh)/1000+IF(REST_rest_gas_kWh="---",0,REST_rest_gas_kWh)/1000</f>
        <v>2325.0596842784203</v>
      </c>
      <c r="F25" s="983"/>
      <c r="G25" s="983"/>
      <c r="H25" s="983"/>
      <c r="I25" s="983"/>
      <c r="J25" s="983"/>
      <c r="K25" s="983"/>
      <c r="L25" s="983"/>
      <c r="M25" s="983"/>
      <c r="N25" s="983"/>
      <c r="O25" s="983"/>
      <c r="P25" s="983"/>
      <c r="Q25" s="984"/>
      <c r="R25" s="674">
        <f>SUM(C25:Q25)</f>
        <v>3107.8513768202533</v>
      </c>
      <c r="S25" s="67"/>
    </row>
    <row r="26" spans="1:19" s="447" customFormat="1" ht="15.75" thickBot="1">
      <c r="A26" s="679" t="s">
        <v>824</v>
      </c>
      <c r="B26" s="791"/>
      <c r="C26" s="786">
        <f>SUM(C24:C25)</f>
        <v>7364.078053235653</v>
      </c>
      <c r="D26" s="786">
        <f t="shared" ref="D26:R26" si="2">SUM(D24:D25)</f>
        <v>9124.7142857142862</v>
      </c>
      <c r="E26" s="786">
        <f t="shared" si="2"/>
        <v>6002.7403135835793</v>
      </c>
      <c r="F26" s="786">
        <f t="shared" si="2"/>
        <v>193.44410770949017</v>
      </c>
      <c r="G26" s="786">
        <f t="shared" si="2"/>
        <v>27417.283344601929</v>
      </c>
      <c r="H26" s="786">
        <f t="shared" si="2"/>
        <v>0</v>
      </c>
      <c r="I26" s="786">
        <f t="shared" si="2"/>
        <v>0</v>
      </c>
      <c r="J26" s="786">
        <f t="shared" si="2"/>
        <v>0</v>
      </c>
      <c r="K26" s="786">
        <f t="shared" si="2"/>
        <v>953.48705892209591</v>
      </c>
      <c r="L26" s="786">
        <f t="shared" si="2"/>
        <v>0</v>
      </c>
      <c r="M26" s="786">
        <f t="shared" si="2"/>
        <v>0</v>
      </c>
      <c r="N26" s="786">
        <f t="shared" si="2"/>
        <v>0</v>
      </c>
      <c r="O26" s="786">
        <f t="shared" si="2"/>
        <v>0</v>
      </c>
      <c r="P26" s="786">
        <f t="shared" si="2"/>
        <v>0</v>
      </c>
      <c r="Q26" s="786">
        <f t="shared" si="2"/>
        <v>0</v>
      </c>
      <c r="R26" s="786">
        <f t="shared" si="2"/>
        <v>51055.747163767031</v>
      </c>
      <c r="S26" s="67"/>
    </row>
    <row r="27" spans="1:19" s="447" customFormat="1" ht="17.25" thickTop="1" thickBot="1">
      <c r="A27" s="680" t="s">
        <v>115</v>
      </c>
      <c r="B27" s="779"/>
      <c r="C27" s="681">
        <f ca="1">C22+C16+C26</f>
        <v>48207.44550142176</v>
      </c>
      <c r="D27" s="681">
        <f t="shared" ref="D27:R27" ca="1" si="3">D22+D16+D26</f>
        <v>9124.7142857142862</v>
      </c>
      <c r="E27" s="681">
        <f t="shared" ca="1" si="3"/>
        <v>59292.274662268224</v>
      </c>
      <c r="F27" s="681">
        <f t="shared" si="3"/>
        <v>17908.172150221944</v>
      </c>
      <c r="G27" s="681">
        <f t="shared" ca="1" si="3"/>
        <v>58075.575135896026</v>
      </c>
      <c r="H27" s="681">
        <f t="shared" si="3"/>
        <v>72386.794690203271</v>
      </c>
      <c r="I27" s="681">
        <f t="shared" si="3"/>
        <v>16323.690796011133</v>
      </c>
      <c r="J27" s="681">
        <f t="shared" si="3"/>
        <v>0</v>
      </c>
      <c r="K27" s="681">
        <f t="shared" si="3"/>
        <v>3321.4859382482864</v>
      </c>
      <c r="L27" s="681">
        <f t="shared" si="3"/>
        <v>0</v>
      </c>
      <c r="M27" s="681">
        <f t="shared" ca="1" si="3"/>
        <v>0</v>
      </c>
      <c r="N27" s="681">
        <f t="shared" si="3"/>
        <v>4707.4840410336801</v>
      </c>
      <c r="O27" s="681">
        <f t="shared" ca="1" si="3"/>
        <v>18545.223966899575</v>
      </c>
      <c r="P27" s="681">
        <f t="shared" si="3"/>
        <v>350.18666666666672</v>
      </c>
      <c r="Q27" s="681">
        <f t="shared" si="3"/>
        <v>800.8</v>
      </c>
      <c r="R27" s="681">
        <f t="shared" ca="1" si="3"/>
        <v>309043.84783458489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999.75535852954181</v>
      </c>
      <c r="D40" s="979">
        <f ca="1">tertiair!C20</f>
        <v>0</v>
      </c>
      <c r="E40" s="979">
        <f ca="1">tertiair!D20</f>
        <v>1952.9116584462977</v>
      </c>
      <c r="F40" s="979">
        <f>tertiair!E20</f>
        <v>28.559862016912028</v>
      </c>
      <c r="G40" s="979">
        <f ca="1">tertiair!F20</f>
        <v>410.06830019427997</v>
      </c>
      <c r="H40" s="979">
        <f>tertiair!G20</f>
        <v>0</v>
      </c>
      <c r="I40" s="979">
        <f>tertiair!H20</f>
        <v>0</v>
      </c>
      <c r="J40" s="979">
        <f>tertiair!I20</f>
        <v>0</v>
      </c>
      <c r="K40" s="979">
        <f>tertiair!J20</f>
        <v>9.9524852183086182E-3</v>
      </c>
      <c r="L40" s="979">
        <f>tertiair!K20</f>
        <v>0</v>
      </c>
      <c r="M40" s="979">
        <f ca="1">tertiair!L20</f>
        <v>0</v>
      </c>
      <c r="N40" s="979">
        <f>tertiair!M20</f>
        <v>0</v>
      </c>
      <c r="O40" s="979">
        <f ca="1">tertiair!N20</f>
        <v>0</v>
      </c>
      <c r="P40" s="979">
        <f>tertiair!O20</f>
        <v>0</v>
      </c>
      <c r="Q40" s="748">
        <f>tertiair!P20</f>
        <v>0</v>
      </c>
      <c r="R40" s="824">
        <f t="shared" ca="1" si="4"/>
        <v>3391.3051316722499</v>
      </c>
    </row>
    <row r="41" spans="1:18">
      <c r="A41" s="796" t="s">
        <v>224</v>
      </c>
      <c r="B41" s="803"/>
      <c r="C41" s="979">
        <f ca="1">huishoudens!B12</f>
        <v>2824.0694184920399</v>
      </c>
      <c r="D41" s="979">
        <f ca="1">huishoudens!C12</f>
        <v>0</v>
      </c>
      <c r="E41" s="979">
        <f>huishoudens!D12</f>
        <v>8027.8823545105961</v>
      </c>
      <c r="F41" s="979">
        <f>huishoudens!E12</f>
        <v>3896.3659469443724</v>
      </c>
      <c r="G41" s="979">
        <f>huishoudens!F12</f>
        <v>7526.0584848804701</v>
      </c>
      <c r="H41" s="979">
        <f>huishoudens!G12</f>
        <v>0</v>
      </c>
      <c r="I41" s="979">
        <f>huishoudens!H12</f>
        <v>0</v>
      </c>
      <c r="J41" s="979">
        <f>huishoudens!I12</f>
        <v>0</v>
      </c>
      <c r="K41" s="979">
        <f>huishoudens!J12</f>
        <v>837.54384060658128</v>
      </c>
      <c r="L41" s="979">
        <f>huishoudens!K12</f>
        <v>0</v>
      </c>
      <c r="M41" s="979">
        <f>huishoudens!L12</f>
        <v>0</v>
      </c>
      <c r="N41" s="979">
        <f>huishoudens!M12</f>
        <v>0</v>
      </c>
      <c r="O41" s="979">
        <f>huishoudens!N12</f>
        <v>0</v>
      </c>
      <c r="P41" s="979">
        <f>huishoudens!O12</f>
        <v>0</v>
      </c>
      <c r="Q41" s="748">
        <f>huishoudens!P12</f>
        <v>0</v>
      </c>
      <c r="R41" s="824">
        <f t="shared" ca="1" si="4"/>
        <v>23111.920045434061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425.4912263170969</v>
      </c>
      <c r="D43" s="979">
        <f ca="1">industrie!C22</f>
        <v>0</v>
      </c>
      <c r="E43" s="979">
        <f>industrie!D22</f>
        <v>764.13270813130578</v>
      </c>
      <c r="F43" s="979">
        <f>industrie!E22</f>
        <v>59.256157800287163</v>
      </c>
      <c r="G43" s="979">
        <f>industrie!F22</f>
        <v>249.63712320077445</v>
      </c>
      <c r="H43" s="979">
        <f>industrie!G22</f>
        <v>0</v>
      </c>
      <c r="I43" s="979">
        <f>industrie!H22</f>
        <v>0</v>
      </c>
      <c r="J43" s="979">
        <f>industrie!I22</f>
        <v>0</v>
      </c>
      <c r="K43" s="979">
        <f>industrie!J22</f>
        <v>0.71781018967175614</v>
      </c>
      <c r="L43" s="979">
        <f>industrie!K22</f>
        <v>0</v>
      </c>
      <c r="M43" s="979">
        <f>industrie!L22</f>
        <v>0</v>
      </c>
      <c r="N43" s="979">
        <f>industrie!M22</f>
        <v>0</v>
      </c>
      <c r="O43" s="979">
        <f>industrie!N22</f>
        <v>0</v>
      </c>
      <c r="P43" s="979">
        <f>industrie!O22</f>
        <v>0</v>
      </c>
      <c r="Q43" s="748">
        <f>industrie!P22</f>
        <v>0</v>
      </c>
      <c r="R43" s="823">
        <f t="shared" ca="1" si="4"/>
        <v>1499.2350256391362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4249.3160033386785</v>
      </c>
      <c r="D46" s="706">
        <f t="shared" ref="D46:Q46" ca="1" si="5">SUM(D39:D45)</f>
        <v>0</v>
      </c>
      <c r="E46" s="706">
        <f t="shared" ca="1" si="5"/>
        <v>10744.926721088201</v>
      </c>
      <c r="F46" s="706">
        <f t="shared" si="5"/>
        <v>3984.1819667615719</v>
      </c>
      <c r="G46" s="706">
        <f t="shared" ca="1" si="5"/>
        <v>8185.763908275524</v>
      </c>
      <c r="H46" s="706">
        <f t="shared" si="5"/>
        <v>0</v>
      </c>
      <c r="I46" s="706">
        <f t="shared" si="5"/>
        <v>0</v>
      </c>
      <c r="J46" s="706">
        <f t="shared" si="5"/>
        <v>0</v>
      </c>
      <c r="K46" s="706">
        <f t="shared" si="5"/>
        <v>838.27160328147136</v>
      </c>
      <c r="L46" s="706">
        <f t="shared" si="5"/>
        <v>0</v>
      </c>
      <c r="M46" s="706">
        <f t="shared" ca="1" si="5"/>
        <v>0</v>
      </c>
      <c r="N46" s="706">
        <f t="shared" si="5"/>
        <v>0</v>
      </c>
      <c r="O46" s="706">
        <f t="shared" ca="1" si="5"/>
        <v>0</v>
      </c>
      <c r="P46" s="706">
        <f t="shared" si="5"/>
        <v>0</v>
      </c>
      <c r="Q46" s="706">
        <f t="shared" si="5"/>
        <v>0</v>
      </c>
      <c r="R46" s="706">
        <f ca="1">SUM(R39:R45)</f>
        <v>28002.460202745446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379.44746390552564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379.44746390552564</v>
      </c>
    </row>
    <row r="50" spans="1:18">
      <c r="A50" s="799" t="s">
        <v>306</v>
      </c>
      <c r="B50" s="809"/>
      <c r="C50" s="677">
        <f ca="1">transport!B18</f>
        <v>3.4799400217761427</v>
      </c>
      <c r="D50" s="677">
        <f>transport!C18</f>
        <v>0</v>
      </c>
      <c r="E50" s="677">
        <f>transport!D18</f>
        <v>19.559217346098507</v>
      </c>
      <c r="F50" s="677">
        <f>transport!E18</f>
        <v>37.061298888756077</v>
      </c>
      <c r="G50" s="677">
        <f>transport!F18</f>
        <v>0</v>
      </c>
      <c r="H50" s="677">
        <f>transport!G18</f>
        <v>18947.82671837875</v>
      </c>
      <c r="I50" s="677">
        <f>transport!H18</f>
        <v>4064.5990082067719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23072.526182842154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3.4799400217761427</v>
      </c>
      <c r="D52" s="706">
        <f t="shared" ref="D52:Q52" ca="1" si="6">SUM(D48:D51)</f>
        <v>0</v>
      </c>
      <c r="E52" s="706">
        <f t="shared" si="6"/>
        <v>19.559217346098507</v>
      </c>
      <c r="F52" s="706">
        <f t="shared" si="6"/>
        <v>37.061298888756077</v>
      </c>
      <c r="G52" s="706">
        <f t="shared" si="6"/>
        <v>0</v>
      </c>
      <c r="H52" s="706">
        <f t="shared" si="6"/>
        <v>19327.274182284276</v>
      </c>
      <c r="I52" s="706">
        <f t="shared" si="6"/>
        <v>4064.5990082067719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23451.97364674768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685.27326921216388</v>
      </c>
      <c r="D54" s="677">
        <f ca="1">+landbouw!C12</f>
        <v>2138.8235294117649</v>
      </c>
      <c r="E54" s="677">
        <f>+landbouw!D12</f>
        <v>742.89148711964231</v>
      </c>
      <c r="F54" s="677">
        <f>+landbouw!E12</f>
        <v>43.911812450054271</v>
      </c>
      <c r="G54" s="677">
        <f>+landbouw!F12</f>
        <v>7320.4146530087155</v>
      </c>
      <c r="H54" s="677">
        <f>+landbouw!G12</f>
        <v>0</v>
      </c>
      <c r="I54" s="677">
        <f>+landbouw!H12</f>
        <v>0</v>
      </c>
      <c r="J54" s="677">
        <f>+landbouw!I12</f>
        <v>0</v>
      </c>
      <c r="K54" s="677">
        <f>+landbouw!J12</f>
        <v>337.53441885842193</v>
      </c>
      <c r="L54" s="677">
        <f>+landbouw!K12</f>
        <v>0</v>
      </c>
      <c r="M54" s="677">
        <f>+landbouw!L12</f>
        <v>0</v>
      </c>
      <c r="N54" s="677">
        <f>+landbouw!M12</f>
        <v>0</v>
      </c>
      <c r="O54" s="677">
        <f>+landbouw!N12</f>
        <v>0</v>
      </c>
      <c r="P54" s="677">
        <f>+landbouw!O12</f>
        <v>0</v>
      </c>
      <c r="Q54" s="678">
        <f>+landbouw!P12</f>
        <v>0</v>
      </c>
      <c r="R54" s="705">
        <f ca="1">SUM(C54:Q54)</f>
        <v>11268.849170060763</v>
      </c>
    </row>
    <row r="55" spans="1:18" ht="15" thickBot="1">
      <c r="A55" s="799" t="s">
        <v>823</v>
      </c>
      <c r="B55" s="809"/>
      <c r="C55" s="677">
        <f ca="1">C25*'EF ele_warmte'!B12</f>
        <v>81.507807571484122</v>
      </c>
      <c r="D55" s="677"/>
      <c r="E55" s="677">
        <f>E25*EF_CO2_aardgas</f>
        <v>469.66205622424093</v>
      </c>
      <c r="F55" s="677"/>
      <c r="G55" s="677"/>
      <c r="H55" s="677"/>
      <c r="I55" s="677"/>
      <c r="J55" s="677"/>
      <c r="K55" s="677"/>
      <c r="L55" s="677"/>
      <c r="M55" s="677"/>
      <c r="N55" s="677"/>
      <c r="O55" s="677"/>
      <c r="P55" s="677"/>
      <c r="Q55" s="678"/>
      <c r="R55" s="705">
        <f ca="1">SUM(C55:Q55)</f>
        <v>551.16986379572506</v>
      </c>
    </row>
    <row r="56" spans="1:18" ht="15.75" thickBot="1">
      <c r="A56" s="797" t="s">
        <v>824</v>
      </c>
      <c r="B56" s="810"/>
      <c r="C56" s="706">
        <f ca="1">SUM(C54:C55)</f>
        <v>766.78107678364802</v>
      </c>
      <c r="D56" s="706">
        <f t="shared" ref="D56:Q56" ca="1" si="7">SUM(D54:D55)</f>
        <v>2138.8235294117649</v>
      </c>
      <c r="E56" s="706">
        <f t="shared" si="7"/>
        <v>1212.5535433438831</v>
      </c>
      <c r="F56" s="706">
        <f t="shared" si="7"/>
        <v>43.911812450054271</v>
      </c>
      <c r="G56" s="706">
        <f t="shared" si="7"/>
        <v>7320.4146530087155</v>
      </c>
      <c r="H56" s="706">
        <f t="shared" si="7"/>
        <v>0</v>
      </c>
      <c r="I56" s="706">
        <f t="shared" si="7"/>
        <v>0</v>
      </c>
      <c r="J56" s="706">
        <f t="shared" si="7"/>
        <v>0</v>
      </c>
      <c r="K56" s="706">
        <f t="shared" si="7"/>
        <v>337.53441885842193</v>
      </c>
      <c r="L56" s="706">
        <f t="shared" si="7"/>
        <v>0</v>
      </c>
      <c r="M56" s="706">
        <f t="shared" si="7"/>
        <v>0</v>
      </c>
      <c r="N56" s="706">
        <f t="shared" si="7"/>
        <v>0</v>
      </c>
      <c r="O56" s="706">
        <f t="shared" si="7"/>
        <v>0</v>
      </c>
      <c r="P56" s="706">
        <f t="shared" si="7"/>
        <v>0</v>
      </c>
      <c r="Q56" s="707">
        <f t="shared" si="7"/>
        <v>0</v>
      </c>
      <c r="R56" s="708">
        <f ca="1">SUM(R54:R55)</f>
        <v>11820.019033856488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5019.5770201441028</v>
      </c>
      <c r="D61" s="714">
        <f t="shared" ref="D61:Q61" ca="1" si="8">D46+D52+D56</f>
        <v>2138.8235294117649</v>
      </c>
      <c r="E61" s="714">
        <f t="shared" ca="1" si="8"/>
        <v>11977.039481778183</v>
      </c>
      <c r="F61" s="714">
        <f t="shared" si="8"/>
        <v>4065.1550781003821</v>
      </c>
      <c r="G61" s="714">
        <f t="shared" ca="1" si="8"/>
        <v>15506.17856128424</v>
      </c>
      <c r="H61" s="714">
        <f t="shared" si="8"/>
        <v>19327.274182284276</v>
      </c>
      <c r="I61" s="714">
        <f t="shared" si="8"/>
        <v>4064.5990082067719</v>
      </c>
      <c r="J61" s="714">
        <f t="shared" si="8"/>
        <v>0</v>
      </c>
      <c r="K61" s="714">
        <f t="shared" si="8"/>
        <v>1175.8060221398932</v>
      </c>
      <c r="L61" s="714">
        <f t="shared" si="8"/>
        <v>0</v>
      </c>
      <c r="M61" s="714">
        <f t="shared" ca="1" si="8"/>
        <v>0</v>
      </c>
      <c r="N61" s="714">
        <f t="shared" si="8"/>
        <v>0</v>
      </c>
      <c r="O61" s="714">
        <f t="shared" ca="1" si="8"/>
        <v>0</v>
      </c>
      <c r="P61" s="714">
        <f t="shared" si="8"/>
        <v>0</v>
      </c>
      <c r="Q61" s="714">
        <f t="shared" si="8"/>
        <v>0</v>
      </c>
      <c r="R61" s="714">
        <f ca="1">R46+R52+R56</f>
        <v>63274.452883349615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0.10412451786096118</v>
      </c>
      <c r="D63" s="755">
        <f t="shared" ca="1" si="9"/>
        <v>0.23439895896360519</v>
      </c>
      <c r="E63" s="990">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20669.377503055584</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5212.3039732265061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87.299999999999983</v>
      </c>
      <c r="C76" s="724">
        <f>'lokale energieproductie'!B8*IFERROR(SUM(D76:H76)/SUM(D76:O76),0)</f>
        <v>6299.9999999999991</v>
      </c>
      <c r="D76" s="1000">
        <f>'lokale energieproductie'!C8</f>
        <v>7411.7647058823522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102.70588235294116</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1497.1764705882354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25968.98147628209</v>
      </c>
      <c r="C78" s="729">
        <f>SUM(C72:C77)</f>
        <v>6299.9999999999991</v>
      </c>
      <c r="D78" s="730">
        <f t="shared" ref="D78:H78" si="10">SUM(D76:D77)</f>
        <v>7411.7647058823522</v>
      </c>
      <c r="E78" s="730">
        <f t="shared" si="10"/>
        <v>0</v>
      </c>
      <c r="F78" s="730">
        <f t="shared" si="10"/>
        <v>0</v>
      </c>
      <c r="G78" s="730">
        <f t="shared" si="10"/>
        <v>0</v>
      </c>
      <c r="H78" s="730">
        <f t="shared" si="10"/>
        <v>0</v>
      </c>
      <c r="I78" s="730">
        <f>SUM(I76:I77)</f>
        <v>0</v>
      </c>
      <c r="J78" s="730">
        <f>SUM(J76:J77)</f>
        <v>102.70588235294116</v>
      </c>
      <c r="K78" s="730">
        <f t="shared" ref="K78:L78" si="11">SUM(K76:K77)</f>
        <v>0</v>
      </c>
      <c r="L78" s="730">
        <f t="shared" si="11"/>
        <v>0</v>
      </c>
      <c r="M78" s="730">
        <f>SUM(M76:M77)</f>
        <v>0</v>
      </c>
      <c r="N78" s="730">
        <f>SUM(N76:N77)</f>
        <v>0</v>
      </c>
      <c r="O78" s="834">
        <f>SUM(O76:O77)</f>
        <v>0</v>
      </c>
      <c r="P78" s="731">
        <v>0</v>
      </c>
      <c r="Q78" s="731">
        <f>SUM(Q76:Q77)</f>
        <v>1497.1764705882354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124.71428571428569</v>
      </c>
      <c r="C87" s="740">
        <f>'lokale energieproductie'!B17*IFERROR(SUM(D87:H87)/SUM(D87:O87),0)</f>
        <v>9000</v>
      </c>
      <c r="D87" s="751">
        <f>'lokale energieproductie'!C17</f>
        <v>10588.235294117647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146.72268907563023</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2138.8235294117649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124.71428571428569</v>
      </c>
      <c r="C90" s="729">
        <f>SUM(C87:C89)</f>
        <v>9000</v>
      </c>
      <c r="D90" s="729">
        <f t="shared" ref="D90:H90" si="12">SUM(D87:D89)</f>
        <v>10588.235294117647</v>
      </c>
      <c r="E90" s="729">
        <f t="shared" si="12"/>
        <v>0</v>
      </c>
      <c r="F90" s="729">
        <f t="shared" si="12"/>
        <v>0</v>
      </c>
      <c r="G90" s="729">
        <f t="shared" si="12"/>
        <v>0</v>
      </c>
      <c r="H90" s="729">
        <f t="shared" si="12"/>
        <v>0</v>
      </c>
      <c r="I90" s="729">
        <f>SUM(I87:I89)</f>
        <v>0</v>
      </c>
      <c r="J90" s="729">
        <f>SUM(J87:J89)</f>
        <v>146.72268907563023</v>
      </c>
      <c r="K90" s="729">
        <f t="shared" ref="K90:L90" si="13">SUM(K87:K89)</f>
        <v>0</v>
      </c>
      <c r="L90" s="729">
        <f t="shared" si="13"/>
        <v>0</v>
      </c>
      <c r="M90" s="729">
        <f>SUM(M87:M89)</f>
        <v>0</v>
      </c>
      <c r="N90" s="729">
        <f>SUM(N87:N89)</f>
        <v>0</v>
      </c>
      <c r="O90" s="729">
        <f>SUM(O87:O89)</f>
        <v>0</v>
      </c>
      <c r="P90" s="729">
        <v>0</v>
      </c>
      <c r="Q90" s="729">
        <f>SUM(Q87:Q89)</f>
        <v>2138.8235294117649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20669.377503055584</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5212.3039732265061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6387.2999999999993</v>
      </c>
      <c r="C8" s="544">
        <f>B50</f>
        <v>7411.7647058823522</v>
      </c>
      <c r="D8" s="1010"/>
      <c r="E8" s="1010">
        <f>E50</f>
        <v>0</v>
      </c>
      <c r="F8" s="1011"/>
      <c r="G8" s="545"/>
      <c r="H8" s="1010">
        <f>I50</f>
        <v>0</v>
      </c>
      <c r="I8" s="1010">
        <f>G50+F50</f>
        <v>0</v>
      </c>
      <c r="J8" s="1010">
        <f>H50+D50+C50</f>
        <v>102.70588235294116</v>
      </c>
      <c r="K8" s="1010"/>
      <c r="L8" s="1010"/>
      <c r="M8" s="1010"/>
      <c r="N8" s="546"/>
      <c r="O8" s="547">
        <f>C8*$C$12+D8*$D$12+E8*$E$12+F8*$F$12+G8*$G$12+H8*$H$12+I8*$I$12+J8*$J$12</f>
        <v>1497.1764705882354</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32268.98147628209</v>
      </c>
      <c r="C10" s="557">
        <f t="shared" ref="C10:L10" si="0">SUM(C8:C9)</f>
        <v>7411.7647058823522</v>
      </c>
      <c r="D10" s="557">
        <f t="shared" si="0"/>
        <v>0</v>
      </c>
      <c r="E10" s="557">
        <f t="shared" si="0"/>
        <v>0</v>
      </c>
      <c r="F10" s="557">
        <f t="shared" si="0"/>
        <v>0</v>
      </c>
      <c r="G10" s="557">
        <f t="shared" si="0"/>
        <v>0</v>
      </c>
      <c r="H10" s="557">
        <f t="shared" si="0"/>
        <v>0</v>
      </c>
      <c r="I10" s="557">
        <f t="shared" si="0"/>
        <v>0</v>
      </c>
      <c r="J10" s="557">
        <f t="shared" si="0"/>
        <v>102.70588235294116</v>
      </c>
      <c r="K10" s="557">
        <f t="shared" si="0"/>
        <v>0</v>
      </c>
      <c r="L10" s="557">
        <f t="shared" si="0"/>
        <v>0</v>
      </c>
      <c r="M10" s="1013"/>
      <c r="N10" s="1013"/>
      <c r="O10" s="558">
        <f>SUM(O4:O9)</f>
        <v>1497.1764705882354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9124.7142857142862</v>
      </c>
      <c r="C17" s="569">
        <f>B51</f>
        <v>10588.235294117647</v>
      </c>
      <c r="D17" s="570"/>
      <c r="E17" s="570">
        <f>E51</f>
        <v>0</v>
      </c>
      <c r="F17" s="1016"/>
      <c r="G17" s="571"/>
      <c r="H17" s="569">
        <f>I51</f>
        <v>0</v>
      </c>
      <c r="I17" s="570">
        <f>G51+F51</f>
        <v>0</v>
      </c>
      <c r="J17" s="570">
        <f>H51+D51+C51</f>
        <v>146.72268907563023</v>
      </c>
      <c r="K17" s="570"/>
      <c r="L17" s="570"/>
      <c r="M17" s="570"/>
      <c r="N17" s="1017"/>
      <c r="O17" s="572">
        <f>C17*$C$22+E17*$E$22+H17*$H$22+I17*$I$22+J17*$J$22+D17*$D$22+F17*$F$22+G17*$G$22+K17*$K$22+L17*$L$22</f>
        <v>2138.8235294117649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9124.7142857142862</v>
      </c>
      <c r="C20" s="556">
        <f>SUM(C17:C19)</f>
        <v>10588.235294117647</v>
      </c>
      <c r="D20" s="556">
        <f t="shared" ref="D20:L20" si="1">SUM(D17:D19)</f>
        <v>0</v>
      </c>
      <c r="E20" s="556">
        <f t="shared" si="1"/>
        <v>0</v>
      </c>
      <c r="F20" s="556">
        <f t="shared" si="1"/>
        <v>0</v>
      </c>
      <c r="G20" s="556">
        <f t="shared" si="1"/>
        <v>0</v>
      </c>
      <c r="H20" s="556">
        <f t="shared" si="1"/>
        <v>0</v>
      </c>
      <c r="I20" s="556">
        <f t="shared" si="1"/>
        <v>0</v>
      </c>
      <c r="J20" s="556">
        <f t="shared" si="1"/>
        <v>146.72268907563023</v>
      </c>
      <c r="K20" s="556">
        <f t="shared" si="1"/>
        <v>0</v>
      </c>
      <c r="L20" s="556">
        <f t="shared" si="1"/>
        <v>0</v>
      </c>
      <c r="M20" s="556"/>
      <c r="N20" s="556"/>
      <c r="O20" s="575">
        <f>SUM(O17:O19)</f>
        <v>2138.8235294117649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43002</v>
      </c>
      <c r="C28" s="770">
        <v>9960</v>
      </c>
      <c r="D28" s="627" t="s">
        <v>887</v>
      </c>
      <c r="E28" s="626" t="s">
        <v>888</v>
      </c>
      <c r="F28" s="626" t="s">
        <v>889</v>
      </c>
      <c r="G28" s="626" t="s">
        <v>890</v>
      </c>
      <c r="H28" s="626" t="s">
        <v>891</v>
      </c>
      <c r="I28" s="626" t="s">
        <v>888</v>
      </c>
      <c r="J28" s="769">
        <v>39604</v>
      </c>
      <c r="K28" s="769">
        <v>39632</v>
      </c>
      <c r="L28" s="626" t="s">
        <v>892</v>
      </c>
      <c r="M28" s="626">
        <v>1400</v>
      </c>
      <c r="N28" s="626">
        <v>6300</v>
      </c>
      <c r="O28" s="626">
        <v>9000</v>
      </c>
      <c r="P28" s="626">
        <v>18000</v>
      </c>
      <c r="Q28" s="626">
        <v>0</v>
      </c>
      <c r="R28" s="626">
        <v>0</v>
      </c>
      <c r="S28" s="626">
        <v>0</v>
      </c>
      <c r="T28" s="626">
        <v>0</v>
      </c>
      <c r="U28" s="626">
        <v>0</v>
      </c>
      <c r="V28" s="626">
        <v>0</v>
      </c>
      <c r="W28" s="626">
        <v>0</v>
      </c>
      <c r="X28" s="626">
        <v>10</v>
      </c>
      <c r="Y28" s="626" t="s">
        <v>111</v>
      </c>
      <c r="Z28" s="628" t="s">
        <v>111</v>
      </c>
    </row>
    <row r="29" spans="1:26" s="580" customFormat="1" ht="25.5">
      <c r="A29" s="579"/>
      <c r="B29" s="770">
        <v>43002</v>
      </c>
      <c r="C29" s="770">
        <v>9961</v>
      </c>
      <c r="D29" s="627" t="s">
        <v>893</v>
      </c>
      <c r="E29" s="626" t="s">
        <v>894</v>
      </c>
      <c r="F29" s="626" t="s">
        <v>895</v>
      </c>
      <c r="G29" s="626" t="s">
        <v>890</v>
      </c>
      <c r="H29" s="626" t="s">
        <v>891</v>
      </c>
      <c r="I29" s="626" t="s">
        <v>896</v>
      </c>
      <c r="J29" s="769">
        <v>41124</v>
      </c>
      <c r="K29" s="769">
        <v>41244</v>
      </c>
      <c r="L29" s="626" t="s">
        <v>892</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80" customFormat="1" ht="25.5">
      <c r="A30" s="579"/>
      <c r="B30" s="770">
        <v>43002</v>
      </c>
      <c r="C30" s="770">
        <v>9968</v>
      </c>
      <c r="D30" s="627" t="s">
        <v>897</v>
      </c>
      <c r="E30" s="626" t="s">
        <v>898</v>
      </c>
      <c r="F30" s="626" t="s">
        <v>899</v>
      </c>
      <c r="G30" s="626" t="s">
        <v>890</v>
      </c>
      <c r="H30" s="626" t="s">
        <v>891</v>
      </c>
      <c r="I30" s="626" t="s">
        <v>898</v>
      </c>
      <c r="J30" s="769">
        <v>41242</v>
      </c>
      <c r="K30" s="769">
        <v>41275</v>
      </c>
      <c r="L30" s="626" t="s">
        <v>892</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1419.4</v>
      </c>
      <c r="N31" s="584">
        <f>SUM(N28:N30)</f>
        <v>6387.2999999999993</v>
      </c>
      <c r="O31" s="584">
        <f>SUM(O28:O30)</f>
        <v>9124.7142857142862</v>
      </c>
      <c r="P31" s="584">
        <f>SUM(P28:P30)</f>
        <v>18000</v>
      </c>
      <c r="Q31" s="584">
        <f>SUM(Q28:Q30)</f>
        <v>249.42857142857139</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1419.4</v>
      </c>
      <c r="N34" s="589">
        <f>SUMIF($Z$28:$Z$30,"landbouw",N28:N30)</f>
        <v>6387.2999999999993</v>
      </c>
      <c r="O34" s="589">
        <f>SUMIF($Z$28:$Z$30,"landbouw",O28:O30)</f>
        <v>9124.7142857142862</v>
      </c>
      <c r="P34" s="589">
        <f>SUMIF($Z$28:$Z$30,"landbouw",P28:P30)</f>
        <v>18000</v>
      </c>
      <c r="Q34" s="589">
        <f>SUMIF($Z$28:$Z$30,"landbouw",Q28:Q30)</f>
        <v>249.42857142857139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7411.7647058823522</v>
      </c>
      <c r="C50" s="618">
        <f t="shared" si="2"/>
        <v>102.70588235294116</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10588.235294117647</v>
      </c>
      <c r="C51" s="621">
        <f t="shared" si="3"/>
        <v>146.72268907563023</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27122.040769140047</v>
      </c>
      <c r="C4" s="451">
        <f>huishoudens!C8</f>
        <v>0</v>
      </c>
      <c r="D4" s="451">
        <f>huishoudens!D8</f>
        <v>39741.991854012849</v>
      </c>
      <c r="E4" s="451">
        <f>huishoudens!E8</f>
        <v>17164.607695790186</v>
      </c>
      <c r="F4" s="451">
        <f>huishoudens!F8</f>
        <v>28187.484962099137</v>
      </c>
      <c r="G4" s="451">
        <f>huishoudens!G8</f>
        <v>0</v>
      </c>
      <c r="H4" s="451">
        <f>huishoudens!H8</f>
        <v>0</v>
      </c>
      <c r="I4" s="451">
        <f>huishoudens!I8</f>
        <v>0</v>
      </c>
      <c r="J4" s="451">
        <f>huishoudens!J8</f>
        <v>2365.9430525609641</v>
      </c>
      <c r="K4" s="451">
        <f>huishoudens!K8</f>
        <v>0</v>
      </c>
      <c r="L4" s="451">
        <f>huishoudens!L8</f>
        <v>0</v>
      </c>
      <c r="M4" s="451">
        <f>huishoudens!M8</f>
        <v>0</v>
      </c>
      <c r="N4" s="451">
        <f>huishoudens!N8</f>
        <v>17288.221674007276</v>
      </c>
      <c r="O4" s="451">
        <f>huishoudens!O8</f>
        <v>347.06000000000006</v>
      </c>
      <c r="P4" s="452">
        <f>huishoudens!P8</f>
        <v>800.8</v>
      </c>
      <c r="Q4" s="453">
        <f>SUM(B4:P4)</f>
        <v>133018.15000761044</v>
      </c>
    </row>
    <row r="5" spans="1:17">
      <c r="A5" s="450" t="s">
        <v>155</v>
      </c>
      <c r="B5" s="451">
        <f ca="1">tertiair!B16</f>
        <v>8578.5564975281632</v>
      </c>
      <c r="C5" s="451">
        <f ca="1">tertiair!C16</f>
        <v>0</v>
      </c>
      <c r="D5" s="451">
        <f ca="1">tertiair!D16</f>
        <v>9667.8794972588985</v>
      </c>
      <c r="E5" s="451">
        <f>tertiair!E16</f>
        <v>125.81437011855519</v>
      </c>
      <c r="F5" s="451">
        <f ca="1">tertiair!F16</f>
        <v>1535.8363303156552</v>
      </c>
      <c r="G5" s="451">
        <f>tertiair!G16</f>
        <v>0</v>
      </c>
      <c r="H5" s="451">
        <f>tertiair!H16</f>
        <v>0</v>
      </c>
      <c r="I5" s="451">
        <f>tertiair!I16</f>
        <v>0</v>
      </c>
      <c r="J5" s="451">
        <f>tertiair!J16</f>
        <v>2.8114365023470672E-2</v>
      </c>
      <c r="K5" s="451">
        <f>tertiair!K16</f>
        <v>0</v>
      </c>
      <c r="L5" s="451">
        <f ca="1">tertiair!L16</f>
        <v>0</v>
      </c>
      <c r="M5" s="451">
        <f>tertiair!M16</f>
        <v>0</v>
      </c>
      <c r="N5" s="451">
        <f ca="1">tertiair!N16</f>
        <v>1112.4454098588617</v>
      </c>
      <c r="O5" s="451">
        <f>tertiair!O16</f>
        <v>3.1266666666666669</v>
      </c>
      <c r="P5" s="452">
        <f>tertiair!P16</f>
        <v>0</v>
      </c>
      <c r="Q5" s="450">
        <f t="shared" ref="Q5:Q14" ca="1" si="0">SUM(B5:P5)</f>
        <v>21023.686886111824</v>
      </c>
    </row>
    <row r="6" spans="1:17">
      <c r="A6" s="450" t="s">
        <v>193</v>
      </c>
      <c r="B6" s="451">
        <f>'openbare verlichting'!B8</f>
        <v>1022.98</v>
      </c>
      <c r="C6" s="451"/>
      <c r="D6" s="451"/>
      <c r="E6" s="451"/>
      <c r="F6" s="451"/>
      <c r="G6" s="451"/>
      <c r="H6" s="451"/>
      <c r="I6" s="451"/>
      <c r="J6" s="451"/>
      <c r="K6" s="451"/>
      <c r="L6" s="451"/>
      <c r="M6" s="451"/>
      <c r="N6" s="451"/>
      <c r="O6" s="451"/>
      <c r="P6" s="452"/>
      <c r="Q6" s="450">
        <f t="shared" si="0"/>
        <v>1022.98</v>
      </c>
    </row>
    <row r="7" spans="1:17">
      <c r="A7" s="450" t="s">
        <v>111</v>
      </c>
      <c r="B7" s="451">
        <f>landbouw!B8</f>
        <v>6581.2863606938199</v>
      </c>
      <c r="C7" s="451">
        <f>landbouw!C8</f>
        <v>9124.7142857142862</v>
      </c>
      <c r="D7" s="451">
        <f>landbouw!D8</f>
        <v>3677.6806293051595</v>
      </c>
      <c r="E7" s="451">
        <f>landbouw!E8</f>
        <v>193.44410770949017</v>
      </c>
      <c r="F7" s="451">
        <f>landbouw!F8</f>
        <v>27417.283344601929</v>
      </c>
      <c r="G7" s="451">
        <f>landbouw!G8</f>
        <v>0</v>
      </c>
      <c r="H7" s="451">
        <f>landbouw!H8</f>
        <v>0</v>
      </c>
      <c r="I7" s="451">
        <f>landbouw!I8</f>
        <v>0</v>
      </c>
      <c r="J7" s="451">
        <f>landbouw!J8</f>
        <v>953.48705892209591</v>
      </c>
      <c r="K7" s="451">
        <f>landbouw!K8</f>
        <v>0</v>
      </c>
      <c r="L7" s="451">
        <f>landbouw!L8</f>
        <v>0</v>
      </c>
      <c r="M7" s="451">
        <f>landbouw!M8</f>
        <v>0</v>
      </c>
      <c r="N7" s="451">
        <f>landbouw!N8</f>
        <v>0</v>
      </c>
      <c r="O7" s="451">
        <f>landbouw!O8</f>
        <v>0</v>
      </c>
      <c r="P7" s="452">
        <f>landbouw!P8</f>
        <v>0</v>
      </c>
      <c r="Q7" s="450">
        <f t="shared" si="0"/>
        <v>47947.895786946778</v>
      </c>
    </row>
    <row r="8" spans="1:17">
      <c r="A8" s="450" t="s">
        <v>634</v>
      </c>
      <c r="B8" s="451">
        <f>industrie!B18</f>
        <v>4086.3692342399208</v>
      </c>
      <c r="C8" s="451">
        <f>industrie!C18</f>
        <v>0</v>
      </c>
      <c r="D8" s="451">
        <f>industrie!D18</f>
        <v>3782.83518876884</v>
      </c>
      <c r="E8" s="451">
        <f>industrie!E18</f>
        <v>261.04034273254257</v>
      </c>
      <c r="F8" s="451">
        <f>industrie!F18</f>
        <v>934.97049887930507</v>
      </c>
      <c r="G8" s="451">
        <f>industrie!G18</f>
        <v>0</v>
      </c>
      <c r="H8" s="451">
        <f>industrie!H18</f>
        <v>0</v>
      </c>
      <c r="I8" s="451">
        <f>industrie!I18</f>
        <v>0</v>
      </c>
      <c r="J8" s="451">
        <f>industrie!J18</f>
        <v>2.0277124002027009</v>
      </c>
      <c r="K8" s="451">
        <f>industrie!K18</f>
        <v>0</v>
      </c>
      <c r="L8" s="451">
        <f>industrie!L18</f>
        <v>0</v>
      </c>
      <c r="M8" s="451">
        <f>industrie!M18</f>
        <v>0</v>
      </c>
      <c r="N8" s="451">
        <f>industrie!N18</f>
        <v>144.55688303343811</v>
      </c>
      <c r="O8" s="451">
        <f>industrie!O18</f>
        <v>0</v>
      </c>
      <c r="P8" s="452">
        <f>industrie!P18</f>
        <v>0</v>
      </c>
      <c r="Q8" s="450">
        <f t="shared" si="0"/>
        <v>9211.7998600542487</v>
      </c>
    </row>
    <row r="9" spans="1:17" s="456" customFormat="1">
      <c r="A9" s="454" t="s">
        <v>560</v>
      </c>
      <c r="B9" s="455">
        <f>transport!B14</f>
        <v>33.420947277978776</v>
      </c>
      <c r="C9" s="455">
        <f>transport!C14</f>
        <v>0</v>
      </c>
      <c r="D9" s="455">
        <f>transport!D14</f>
        <v>96.827808644052013</v>
      </c>
      <c r="E9" s="455">
        <f>transport!E14</f>
        <v>163.26563387117213</v>
      </c>
      <c r="F9" s="455">
        <f>transport!F14</f>
        <v>0</v>
      </c>
      <c r="G9" s="455">
        <f>transport!G14</f>
        <v>70965.643139995314</v>
      </c>
      <c r="H9" s="455">
        <f>transport!H14</f>
        <v>16323.690796011133</v>
      </c>
      <c r="I9" s="455">
        <f>transport!I14</f>
        <v>0</v>
      </c>
      <c r="J9" s="455">
        <f>transport!J14</f>
        <v>0</v>
      </c>
      <c r="K9" s="455">
        <f>transport!K14</f>
        <v>0</v>
      </c>
      <c r="L9" s="455">
        <f>transport!L14</f>
        <v>0</v>
      </c>
      <c r="M9" s="455">
        <f>transport!M14</f>
        <v>4626.775003916202</v>
      </c>
      <c r="N9" s="455">
        <f>transport!N14</f>
        <v>0</v>
      </c>
      <c r="O9" s="455">
        <f>transport!O14</f>
        <v>0</v>
      </c>
      <c r="P9" s="455">
        <f>transport!P14</f>
        <v>0</v>
      </c>
      <c r="Q9" s="454">
        <f>SUM(B9:P9)</f>
        <v>92209.623329715847</v>
      </c>
    </row>
    <row r="10" spans="1:17">
      <c r="A10" s="450" t="s">
        <v>550</v>
      </c>
      <c r="B10" s="451">
        <f>transport!B54</f>
        <v>0</v>
      </c>
      <c r="C10" s="451">
        <f>transport!C54</f>
        <v>0</v>
      </c>
      <c r="D10" s="451">
        <f>transport!D54</f>
        <v>0</v>
      </c>
      <c r="E10" s="451">
        <f>transport!E54</f>
        <v>0</v>
      </c>
      <c r="F10" s="451">
        <f>transport!F54</f>
        <v>0</v>
      </c>
      <c r="G10" s="451">
        <f>transport!G54</f>
        <v>1421.151550207961</v>
      </c>
      <c r="H10" s="451">
        <f>transport!H54</f>
        <v>0</v>
      </c>
      <c r="I10" s="451">
        <f>transport!I54</f>
        <v>0</v>
      </c>
      <c r="J10" s="451">
        <f>transport!J54</f>
        <v>0</v>
      </c>
      <c r="K10" s="451">
        <f>transport!K54</f>
        <v>0</v>
      </c>
      <c r="L10" s="451">
        <f>transport!L54</f>
        <v>0</v>
      </c>
      <c r="M10" s="451">
        <f>transport!M54</f>
        <v>80.709037117478303</v>
      </c>
      <c r="N10" s="451">
        <f>transport!N54</f>
        <v>0</v>
      </c>
      <c r="O10" s="451">
        <f>transport!O54</f>
        <v>0</v>
      </c>
      <c r="P10" s="452">
        <f>transport!P54</f>
        <v>0</v>
      </c>
      <c r="Q10" s="450">
        <f t="shared" si="0"/>
        <v>1501.8605873254394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782.79169254183307</v>
      </c>
      <c r="C14" s="458"/>
      <c r="D14" s="458">
        <f>'SEAP template'!E25</f>
        <v>2325.0596842784203</v>
      </c>
      <c r="E14" s="458"/>
      <c r="F14" s="458"/>
      <c r="G14" s="458"/>
      <c r="H14" s="458"/>
      <c r="I14" s="458"/>
      <c r="J14" s="458"/>
      <c r="K14" s="458"/>
      <c r="L14" s="458"/>
      <c r="M14" s="458"/>
      <c r="N14" s="458"/>
      <c r="O14" s="458"/>
      <c r="P14" s="459"/>
      <c r="Q14" s="450">
        <f t="shared" si="0"/>
        <v>3107.8513768202533</v>
      </c>
    </row>
    <row r="15" spans="1:17" s="460" customFormat="1">
      <c r="A15" s="1005" t="s">
        <v>554</v>
      </c>
      <c r="B15" s="953">
        <f ca="1">SUM(B4:B14)</f>
        <v>48207.44550142176</v>
      </c>
      <c r="C15" s="953">
        <f t="shared" ref="C15:Q15" ca="1" si="1">SUM(C4:C14)</f>
        <v>9124.7142857142862</v>
      </c>
      <c r="D15" s="953">
        <f t="shared" ca="1" si="1"/>
        <v>59292.274662268232</v>
      </c>
      <c r="E15" s="953">
        <f t="shared" si="1"/>
        <v>17908.172150221944</v>
      </c>
      <c r="F15" s="953">
        <f t="shared" ca="1" si="1"/>
        <v>58075.575135896019</v>
      </c>
      <c r="G15" s="953">
        <f t="shared" si="1"/>
        <v>72386.794690203271</v>
      </c>
      <c r="H15" s="953">
        <f t="shared" si="1"/>
        <v>16323.690796011133</v>
      </c>
      <c r="I15" s="953">
        <f t="shared" si="1"/>
        <v>0</v>
      </c>
      <c r="J15" s="953">
        <f t="shared" si="1"/>
        <v>3321.4859382482864</v>
      </c>
      <c r="K15" s="953">
        <f t="shared" si="1"/>
        <v>0</v>
      </c>
      <c r="L15" s="953">
        <f t="shared" ca="1" si="1"/>
        <v>0</v>
      </c>
      <c r="M15" s="953">
        <f t="shared" si="1"/>
        <v>4707.4840410336801</v>
      </c>
      <c r="N15" s="953">
        <f t="shared" ca="1" si="1"/>
        <v>18545.223966899575</v>
      </c>
      <c r="O15" s="953">
        <f t="shared" si="1"/>
        <v>350.18666666666672</v>
      </c>
      <c r="P15" s="953">
        <f t="shared" si="1"/>
        <v>800.8</v>
      </c>
      <c r="Q15" s="953">
        <f t="shared" ca="1" si="1"/>
        <v>309043.84783458483</v>
      </c>
    </row>
    <row r="17" spans="1:17">
      <c r="A17" s="461" t="s">
        <v>555</v>
      </c>
      <c r="B17" s="760">
        <f ca="1">huishoudens!B10</f>
        <v>0.10412451786096118</v>
      </c>
      <c r="C17" s="760">
        <f ca="1">huishoudens!C10</f>
        <v>0.23439895896360519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2824.0694184920399</v>
      </c>
      <c r="C22" s="451">
        <f t="shared" ref="C22:C32" ca="1" si="3">C4*$C$17</f>
        <v>0</v>
      </c>
      <c r="D22" s="451">
        <f t="shared" ref="D22:D32" si="4">D4*$D$17</f>
        <v>8027.8823545105961</v>
      </c>
      <c r="E22" s="451">
        <f t="shared" ref="E22:E32" si="5">E4*$E$17</f>
        <v>3896.3659469443724</v>
      </c>
      <c r="F22" s="451">
        <f t="shared" ref="F22:F32" si="6">F4*$F$17</f>
        <v>7526.0584848804701</v>
      </c>
      <c r="G22" s="451">
        <f t="shared" ref="G22:G32" si="7">G4*$G$17</f>
        <v>0</v>
      </c>
      <c r="H22" s="451">
        <f t="shared" ref="H22:H32" si="8">H4*$H$17</f>
        <v>0</v>
      </c>
      <c r="I22" s="451">
        <f t="shared" ref="I22:I32" si="9">I4*$I$17</f>
        <v>0</v>
      </c>
      <c r="J22" s="451">
        <f t="shared" ref="J22:J32" si="10">J4*$J$17</f>
        <v>837.54384060658128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23111.920045434061</v>
      </c>
    </row>
    <row r="23" spans="1:17">
      <c r="A23" s="450" t="s">
        <v>155</v>
      </c>
      <c r="B23" s="451">
        <f t="shared" ca="1" si="2"/>
        <v>893.23805924813576</v>
      </c>
      <c r="C23" s="451">
        <f t="shared" ca="1" si="3"/>
        <v>0</v>
      </c>
      <c r="D23" s="451">
        <f t="shared" ca="1" si="4"/>
        <v>1952.9116584462977</v>
      </c>
      <c r="E23" s="451">
        <f t="shared" si="5"/>
        <v>28.559862016912028</v>
      </c>
      <c r="F23" s="451">
        <f t="shared" ca="1" si="6"/>
        <v>410.06830019427997</v>
      </c>
      <c r="G23" s="451">
        <f t="shared" si="7"/>
        <v>0</v>
      </c>
      <c r="H23" s="451">
        <f t="shared" si="8"/>
        <v>0</v>
      </c>
      <c r="I23" s="451">
        <f t="shared" si="9"/>
        <v>0</v>
      </c>
      <c r="J23" s="451">
        <f t="shared" si="10"/>
        <v>9.9524852183086182E-3</v>
      </c>
      <c r="K23" s="451">
        <f t="shared" si="11"/>
        <v>0</v>
      </c>
      <c r="L23" s="451">
        <f t="shared" ca="1" si="12"/>
        <v>0</v>
      </c>
      <c r="M23" s="451">
        <f t="shared" si="13"/>
        <v>0</v>
      </c>
      <c r="N23" s="451">
        <f t="shared" ca="1" si="14"/>
        <v>0</v>
      </c>
      <c r="O23" s="451">
        <f t="shared" si="15"/>
        <v>0</v>
      </c>
      <c r="P23" s="452">
        <f t="shared" si="16"/>
        <v>0</v>
      </c>
      <c r="Q23" s="450">
        <f t="shared" ref="Q23:Q32" ca="1" si="17">SUM(B23:P23)</f>
        <v>3284.787832390844</v>
      </c>
    </row>
    <row r="24" spans="1:17">
      <c r="A24" s="450" t="s">
        <v>193</v>
      </c>
      <c r="B24" s="451">
        <f t="shared" ca="1" si="2"/>
        <v>106.51729928140607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106.51729928140607</v>
      </c>
    </row>
    <row r="25" spans="1:17">
      <c r="A25" s="450" t="s">
        <v>111</v>
      </c>
      <c r="B25" s="451">
        <f t="shared" ca="1" si="2"/>
        <v>685.27326921216388</v>
      </c>
      <c r="C25" s="451">
        <f t="shared" ca="1" si="3"/>
        <v>2138.8235294117649</v>
      </c>
      <c r="D25" s="451">
        <f t="shared" si="4"/>
        <v>742.89148711964231</v>
      </c>
      <c r="E25" s="451">
        <f t="shared" si="5"/>
        <v>43.911812450054271</v>
      </c>
      <c r="F25" s="451">
        <f t="shared" si="6"/>
        <v>7320.4146530087155</v>
      </c>
      <c r="G25" s="451">
        <f t="shared" si="7"/>
        <v>0</v>
      </c>
      <c r="H25" s="451">
        <f t="shared" si="8"/>
        <v>0</v>
      </c>
      <c r="I25" s="451">
        <f t="shared" si="9"/>
        <v>0</v>
      </c>
      <c r="J25" s="451">
        <f t="shared" si="10"/>
        <v>337.53441885842193</v>
      </c>
      <c r="K25" s="451">
        <f t="shared" si="11"/>
        <v>0</v>
      </c>
      <c r="L25" s="451">
        <f t="shared" si="12"/>
        <v>0</v>
      </c>
      <c r="M25" s="451">
        <f t="shared" si="13"/>
        <v>0</v>
      </c>
      <c r="N25" s="451">
        <f t="shared" si="14"/>
        <v>0</v>
      </c>
      <c r="O25" s="451">
        <f t="shared" si="15"/>
        <v>0</v>
      </c>
      <c r="P25" s="452">
        <f t="shared" si="16"/>
        <v>0</v>
      </c>
      <c r="Q25" s="450">
        <f t="shared" ca="1" si="17"/>
        <v>11268.849170060763</v>
      </c>
    </row>
    <row r="26" spans="1:17">
      <c r="A26" s="450" t="s">
        <v>634</v>
      </c>
      <c r="B26" s="451">
        <f t="shared" ca="1" si="2"/>
        <v>425.4912263170969</v>
      </c>
      <c r="C26" s="451">
        <f t="shared" ca="1" si="3"/>
        <v>0</v>
      </c>
      <c r="D26" s="451">
        <f t="shared" si="4"/>
        <v>764.13270813130578</v>
      </c>
      <c r="E26" s="451">
        <f t="shared" si="5"/>
        <v>59.256157800287163</v>
      </c>
      <c r="F26" s="451">
        <f t="shared" si="6"/>
        <v>249.63712320077445</v>
      </c>
      <c r="G26" s="451">
        <f t="shared" si="7"/>
        <v>0</v>
      </c>
      <c r="H26" s="451">
        <f t="shared" si="8"/>
        <v>0</v>
      </c>
      <c r="I26" s="451">
        <f t="shared" si="9"/>
        <v>0</v>
      </c>
      <c r="J26" s="451">
        <f t="shared" si="10"/>
        <v>0.71781018967175614</v>
      </c>
      <c r="K26" s="451">
        <f t="shared" si="11"/>
        <v>0</v>
      </c>
      <c r="L26" s="451">
        <f t="shared" si="12"/>
        <v>0</v>
      </c>
      <c r="M26" s="451">
        <f t="shared" si="13"/>
        <v>0</v>
      </c>
      <c r="N26" s="451">
        <f t="shared" si="14"/>
        <v>0</v>
      </c>
      <c r="O26" s="451">
        <f t="shared" si="15"/>
        <v>0</v>
      </c>
      <c r="P26" s="452">
        <f t="shared" si="16"/>
        <v>0</v>
      </c>
      <c r="Q26" s="450">
        <f t="shared" ca="1" si="17"/>
        <v>1499.2350256391362</v>
      </c>
    </row>
    <row r="27" spans="1:17" s="456" customFormat="1">
      <c r="A27" s="454" t="s">
        <v>560</v>
      </c>
      <c r="B27" s="754">
        <f t="shared" ca="1" si="2"/>
        <v>3.4799400217761427</v>
      </c>
      <c r="C27" s="455">
        <f t="shared" ca="1" si="3"/>
        <v>0</v>
      </c>
      <c r="D27" s="455">
        <f t="shared" si="4"/>
        <v>19.559217346098507</v>
      </c>
      <c r="E27" s="455">
        <f t="shared" si="5"/>
        <v>37.061298888756077</v>
      </c>
      <c r="F27" s="455">
        <f t="shared" si="6"/>
        <v>0</v>
      </c>
      <c r="G27" s="455">
        <f t="shared" si="7"/>
        <v>18947.82671837875</v>
      </c>
      <c r="H27" s="455">
        <f t="shared" si="8"/>
        <v>4064.5990082067719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23072.526182842154</v>
      </c>
    </row>
    <row r="28" spans="1:17">
      <c r="A28" s="450" t="s">
        <v>550</v>
      </c>
      <c r="B28" s="451">
        <f t="shared" ca="1" si="2"/>
        <v>0</v>
      </c>
      <c r="C28" s="451">
        <f t="shared" ca="1" si="3"/>
        <v>0</v>
      </c>
      <c r="D28" s="451">
        <f t="shared" si="4"/>
        <v>0</v>
      </c>
      <c r="E28" s="451">
        <f t="shared" si="5"/>
        <v>0</v>
      </c>
      <c r="F28" s="451">
        <f t="shared" si="6"/>
        <v>0</v>
      </c>
      <c r="G28" s="451">
        <f t="shared" si="7"/>
        <v>379.44746390552564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379.44746390552564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81.507807571484122</v>
      </c>
      <c r="C32" s="451">
        <f t="shared" ca="1" si="3"/>
        <v>0</v>
      </c>
      <c r="D32" s="451">
        <f t="shared" si="4"/>
        <v>469.66205622424093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551.16986379572506</v>
      </c>
    </row>
    <row r="33" spans="1:17" s="460" customFormat="1">
      <c r="A33" s="1005" t="s">
        <v>554</v>
      </c>
      <c r="B33" s="953">
        <f ca="1">SUM(B22:B32)</f>
        <v>5019.5770201441028</v>
      </c>
      <c r="C33" s="953">
        <f t="shared" ref="C33:Q33" ca="1" si="18">SUM(C22:C32)</f>
        <v>2138.8235294117649</v>
      </c>
      <c r="D33" s="953">
        <f t="shared" ca="1" si="18"/>
        <v>11977.039481778183</v>
      </c>
      <c r="E33" s="953">
        <f t="shared" si="18"/>
        <v>4065.1550781003821</v>
      </c>
      <c r="F33" s="953">
        <f t="shared" ca="1" si="18"/>
        <v>15506.178561284241</v>
      </c>
      <c r="G33" s="953">
        <f t="shared" si="18"/>
        <v>19327.274182284276</v>
      </c>
      <c r="H33" s="953">
        <f t="shared" si="18"/>
        <v>4064.5990082067719</v>
      </c>
      <c r="I33" s="953">
        <f t="shared" si="18"/>
        <v>0</v>
      </c>
      <c r="J33" s="953">
        <f t="shared" si="18"/>
        <v>1175.8060221398932</v>
      </c>
      <c r="K33" s="953">
        <f t="shared" si="18"/>
        <v>0</v>
      </c>
      <c r="L33" s="953">
        <f t="shared" ca="1" si="18"/>
        <v>0</v>
      </c>
      <c r="M33" s="953">
        <f t="shared" si="18"/>
        <v>0</v>
      </c>
      <c r="N33" s="953">
        <f t="shared" ca="1" si="18"/>
        <v>0</v>
      </c>
      <c r="O33" s="953">
        <f t="shared" si="18"/>
        <v>0</v>
      </c>
      <c r="P33" s="953">
        <f t="shared" si="18"/>
        <v>0</v>
      </c>
      <c r="Q33" s="953">
        <f t="shared" ca="1" si="18"/>
        <v>63274.452883349608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20669.377503055584</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5212.3039732265061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87.299999999999983</v>
      </c>
      <c r="C8" s="1022">
        <f>'SEAP template'!C76</f>
        <v>6299.9999999999991</v>
      </c>
      <c r="D8" s="1022">
        <f>'SEAP template'!D76</f>
        <v>7411.7647058823522</v>
      </c>
      <c r="E8" s="1022">
        <f>'SEAP template'!E76</f>
        <v>0</v>
      </c>
      <c r="F8" s="1022">
        <f>'SEAP template'!F76</f>
        <v>0</v>
      </c>
      <c r="G8" s="1022">
        <f>'SEAP template'!G76</f>
        <v>0</v>
      </c>
      <c r="H8" s="1022">
        <f>'SEAP template'!H76</f>
        <v>0</v>
      </c>
      <c r="I8" s="1022">
        <f>'SEAP template'!I76</f>
        <v>0</v>
      </c>
      <c r="J8" s="1022">
        <f>'SEAP template'!J76</f>
        <v>102.70588235294116</v>
      </c>
      <c r="K8" s="1022">
        <f>'SEAP template'!K76</f>
        <v>0</v>
      </c>
      <c r="L8" s="1022">
        <f>'SEAP template'!L76</f>
        <v>0</v>
      </c>
      <c r="M8" s="1022">
        <f>'SEAP template'!M76</f>
        <v>0</v>
      </c>
      <c r="N8" s="1022">
        <f>'SEAP template'!N76</f>
        <v>0</v>
      </c>
      <c r="O8" s="1022">
        <f>'SEAP template'!O76</f>
        <v>0</v>
      </c>
      <c r="P8" s="1023">
        <f>'SEAP template'!Q76</f>
        <v>1497.1764705882354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25968.98147628209</v>
      </c>
      <c r="C10" s="1026">
        <f>SUM(C4:C9)</f>
        <v>6299.9999999999991</v>
      </c>
      <c r="D10" s="1026">
        <f t="shared" ref="D10:H10" si="0">SUM(D8:D9)</f>
        <v>7411.7647058823522</v>
      </c>
      <c r="E10" s="1026">
        <f t="shared" si="0"/>
        <v>0</v>
      </c>
      <c r="F10" s="1026">
        <f t="shared" si="0"/>
        <v>0</v>
      </c>
      <c r="G10" s="1026">
        <f t="shared" si="0"/>
        <v>0</v>
      </c>
      <c r="H10" s="1026">
        <f t="shared" si="0"/>
        <v>0</v>
      </c>
      <c r="I10" s="1026">
        <f>SUM(I8:I9)</f>
        <v>0</v>
      </c>
      <c r="J10" s="1026">
        <f>SUM(J8:J9)</f>
        <v>102.70588235294116</v>
      </c>
      <c r="K10" s="1026">
        <f t="shared" ref="K10:L10" si="1">SUM(K8:K9)</f>
        <v>0</v>
      </c>
      <c r="L10" s="1026">
        <f t="shared" si="1"/>
        <v>0</v>
      </c>
      <c r="M10" s="1026">
        <f>SUM(M8:M9)</f>
        <v>0</v>
      </c>
      <c r="N10" s="1026">
        <f>SUM(N8:N9)</f>
        <v>0</v>
      </c>
      <c r="O10" s="1026">
        <f>SUM(O8:O9)</f>
        <v>0</v>
      </c>
      <c r="P10" s="1026">
        <f>SUM(P8:P9)</f>
        <v>1497.1764705882354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0.10412451786096118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124.71428571428569</v>
      </c>
      <c r="C17" s="1028">
        <f>'SEAP template'!C87</f>
        <v>9000</v>
      </c>
      <c r="D17" s="1023">
        <f>'SEAP template'!D87</f>
        <v>10588.235294117647</v>
      </c>
      <c r="E17" s="1023">
        <f>'SEAP template'!E87</f>
        <v>0</v>
      </c>
      <c r="F17" s="1023">
        <f>'SEAP template'!F87</f>
        <v>0</v>
      </c>
      <c r="G17" s="1023">
        <f>'SEAP template'!G87</f>
        <v>0</v>
      </c>
      <c r="H17" s="1023">
        <f>'SEAP template'!H87</f>
        <v>0</v>
      </c>
      <c r="I17" s="1023">
        <f>'SEAP template'!I87</f>
        <v>0</v>
      </c>
      <c r="J17" s="1023">
        <f>'SEAP template'!J87</f>
        <v>146.72268907563023</v>
      </c>
      <c r="K17" s="1023">
        <f>'SEAP template'!K87</f>
        <v>0</v>
      </c>
      <c r="L17" s="1023">
        <f>'SEAP template'!L87</f>
        <v>0</v>
      </c>
      <c r="M17" s="1023">
        <f>'SEAP template'!M87</f>
        <v>0</v>
      </c>
      <c r="N17" s="1023">
        <f>'SEAP template'!N87</f>
        <v>0</v>
      </c>
      <c r="O17" s="1023">
        <f>'SEAP template'!O87</f>
        <v>0</v>
      </c>
      <c r="P17" s="1023">
        <f>'SEAP template'!Q87</f>
        <v>2138.8235294117649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124.71428571428569</v>
      </c>
      <c r="C20" s="1026">
        <f>SUM(C17:C19)</f>
        <v>9000</v>
      </c>
      <c r="D20" s="1026">
        <f t="shared" ref="D20:H20" si="2">SUM(D17:D19)</f>
        <v>10588.235294117647</v>
      </c>
      <c r="E20" s="1026">
        <f t="shared" si="2"/>
        <v>0</v>
      </c>
      <c r="F20" s="1026">
        <f t="shared" si="2"/>
        <v>0</v>
      </c>
      <c r="G20" s="1026">
        <f t="shared" si="2"/>
        <v>0</v>
      </c>
      <c r="H20" s="1026">
        <f t="shared" si="2"/>
        <v>0</v>
      </c>
      <c r="I20" s="1026">
        <f>SUM(I17:I19)</f>
        <v>0</v>
      </c>
      <c r="J20" s="1026">
        <f>SUM(J17:J19)</f>
        <v>146.72268907563023</v>
      </c>
      <c r="K20" s="1026">
        <f t="shared" ref="K20:L20" si="3">SUM(K17:K19)</f>
        <v>0</v>
      </c>
      <c r="L20" s="1026">
        <f t="shared" si="3"/>
        <v>0</v>
      </c>
      <c r="M20" s="1026">
        <f>SUM(M17:M19)</f>
        <v>0</v>
      </c>
      <c r="N20" s="1026">
        <f>SUM(N17:N19)</f>
        <v>0</v>
      </c>
      <c r="O20" s="1026">
        <f>SUM(O17:O19)</f>
        <v>0</v>
      </c>
      <c r="P20" s="1026">
        <f>SUM(P17:P19)</f>
        <v>2138.8235294117649</v>
      </c>
    </row>
    <row r="22" spans="1:16">
      <c r="A22" s="461" t="s">
        <v>848</v>
      </c>
      <c r="B22" s="760" t="s">
        <v>842</v>
      </c>
      <c r="C22" s="760">
        <f ca="1">'EF ele_warmte'!B22</f>
        <v>0.23439895896360519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0.10412451786096118</v>
      </c>
      <c r="C17" s="498">
        <f ca="1">'EF ele_warmte'!B22</f>
        <v>0.23439895896360519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2020-06-20T15:46:20Z</dcterms:modified>
</cp:coreProperties>
</file>