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D13" i="15"/>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I8" i="18"/>
  <c r="I76" i="14" s="1"/>
  <c r="I8" i="61" s="1"/>
  <c r="I10" i="61" s="1"/>
  <c r="I49" i="18"/>
  <c r="H17" i="18" s="1"/>
  <c r="F49" i="18"/>
  <c r="C49" i="18"/>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C10" i="18"/>
  <c r="C88" i="14"/>
  <c r="C18" i="61" s="1"/>
  <c r="F76" i="14"/>
  <c r="E10" i="18"/>
  <c r="I17" i="18"/>
  <c r="I10" i="18"/>
  <c r="Q88" i="14"/>
  <c r="P18" i="61" s="1"/>
  <c r="I33" i="48"/>
  <c r="O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c r="P27" i="14" s="1"/>
  <c r="Q63" i="14"/>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F10" i="14"/>
  <c r="K10" i="14"/>
  <c r="J5" i="48"/>
  <c r="J23" i="48" s="1"/>
  <c r="N52" i="14"/>
  <c r="N61" i="14" s="1"/>
  <c r="O15" i="48"/>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J33" i="48" l="1"/>
  <c r="H63" i="14"/>
  <c r="E8" i="48"/>
  <c r="E26" i="48" s="1"/>
  <c r="F13" i="14"/>
  <c r="F16" i="14" s="1"/>
  <c r="F27" i="14" s="1"/>
  <c r="E33" i="48"/>
  <c r="K13" i="14"/>
  <c r="K16" i="14" s="1"/>
  <c r="K27" i="14" s="1"/>
  <c r="J8" i="48"/>
  <c r="J26" i="48" s="1"/>
  <c r="E23" i="48"/>
  <c r="J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<sst xmlns="http://schemas.openxmlformats.org/spreadsheetml/2006/main" count="2398" uniqueCount="887">
  <si>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</si>
  <si>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</si>
  <si>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</si>
  <si>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</si>
  <si>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</si>
  <si>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</si>
  <si>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</si>
  <si>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</si>
  <si>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</si>
  <si>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</si>
  <si>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</si>
  <si>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</si>
  <si>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</si>
  <si>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</si>
  <si>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</si>
  <si>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</si>
  <si>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</si>
  <si>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</si>
  <si>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</si>
  <si>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</si>
  <si>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</si>
  <si>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</si>
  <si>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</si>
  <si>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</si>
  <si>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</si>
  <si>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</si>
  <si>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</si>
  <si>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</si>
  <si>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</si>
  <si>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</si>
  <si>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</si>
  <si>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</si>
  <si>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</si>
  <si>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</si>
  <si>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</si>
  <si>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</si>
  <si>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</si>
  <si>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</si>
  <si>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</si>
  <si>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</si>
  <si>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</si>
  <si>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</si>
  <si>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</si>
  <si>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</si>
  <si>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</si>
  <si>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</si>
  <si>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</si>
  <si>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</si>
  <si>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</si>
  <si>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</si>
  <si>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</si>
  <si>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</si>
  <si>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</si>
  <si>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</si>
  <si>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</si>
  <si>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</si>
  <si>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</si>
  <si>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</si>
  <si>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</si>
  <si>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</si>
  <si>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</si>
  <si>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</si>
  <si>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</si>
  <si>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</si>
  <si>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</si>
  <si>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</si>
  <si>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</si>
  <si>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</si>
  <si>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</si>
  <si>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</si>
  <si>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</si>
  <si>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</si>
  <si>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</si>
  <si>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</si>
  <si>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</si>
  <si>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</si>
  <si>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</si>
  <si>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</si>
  <si>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</si>
  <si>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</si>
  <si>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</si>
  <si>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</si>
  <si>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</si>
  <si>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</si>
  <si>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</si>
  <si>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</si>
  <si>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</si>
  <si>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</si>
  <si>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</si>
  <si>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</si>
  <si>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</si>
  <si>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</si>
  <si>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</si>
  <si>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</si>
  <si>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</si>
  <si>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</si>
  <si>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</si>
  <si>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</si>
  <si>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</si>
  <si>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</si>
  <si>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</si>
  <si>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</si>
  <si>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</si>
  <si>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</si>
  <si>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</si>
  <si>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</si>
  <si>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</si>
  <si>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</si>
  <si>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</si>
  <si>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</si>
  <si>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</si>
  <si>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</si>
  <si>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</si>
  <si>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</si>
  <si>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</si>
  <si>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</si>
  <si>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</si>
  <si>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</si>
  <si>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</si>
  <si>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</si>
  <si>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</si>
  <si>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</si>
  <si>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</si>
  <si>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</si>
  <si>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</si>
  <si>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</si>
  <si>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</si>
  <si>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</si>
  <si>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</si>
  <si>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</si>
  <si>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</si>
  <si>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</si>
  <si>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</si>
  <si>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</si>
  <si>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</si>
  <si>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</si>
  <si>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</si>
  <si>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</si>
  <si>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</si>
  <si>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</si>
  <si>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</si>
  <si>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</si>
  <si>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</si>
  <si>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</si>
  <si>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</si>
  <si>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</si>
  <si>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</si>
  <si>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</si>
  <si>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</si>
  <si>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</si>
  <si>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</si>
  <si>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</si>
  <si>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</si>
  <si>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</si>
  <si>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</si>
  <si>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</si>
  <si>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</si>
  <si>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</si>
  <si>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</si>
  <si>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</si>
  <si>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</si>
  <si>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</si>
  <si>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</si>
  <si>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</si>
  <si>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</si>
  <si>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</si>
  <si>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</si>
  <si>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</si>
  <si>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</si>
  <si>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</si>
  <si>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</si>
  <si>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</si>
  <si>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</si>
  <si>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</si>
  <si>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</si>
  <si>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</si>
  <si>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</si>
  <si>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</si>
  <si>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</si>
  <si>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</si>
  <si>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</si>
  <si>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</si>
  <si>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</si>
  <si>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</si>
  <si>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</si>
  <si>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</si>
  <si>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</si>
  <si>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</si>
  <si>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</si>
  <si>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</si>
  <si>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</si>
  <si>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</si>
  <si>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</si>
  <si>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</si>
  <si>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</si>
  <si>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</si>
  <si>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</si>
  <si>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</si>
  <si>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</si>
  <si>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</si>
  <si>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</si>
  <si>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</si>
  <si>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</si>
  <si>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</si>
  <si>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</si>
  <si>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</si>
  <si>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</si>
  <si>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</si>
  <si>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</si>
  <si>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</si>
  <si>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</si>
  <si>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</si>
  <si>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</si>
  <si>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</si>
  <si>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</si>
  <si>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</si>
  <si>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</si>
  <si>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</si>
  <si>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</si>
  <si>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</si>
  <si>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</si>
  <si>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</si>
  <si>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</si>
  <si>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</si>
  <si>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</si>
  <si>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</si>
  <si>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</si>
  <si>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</si>
  <si>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</si>
  <si>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</si>
  <si>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</si>
  <si>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</si>
  <si>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</si>
  <si>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</si>
  <si>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</si>
  <si>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</si>
  <si>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</si>
  <si>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</si>
  <si>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</si>
  <si>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</si>
  <si>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</si>
  <si>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</si>
  <si>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</si>
  <si>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</si>
  <si>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</si>
  <si>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</si>
  <si>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</si>
  <si>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</si>
  <si>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</si>
  <si>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</si>
  <si>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</si>
  <si>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</si>
  <si>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</si>
  <si>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</si>
  <si>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</si>
  <si>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</si>
  <si>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</si>
  <si>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</si>
  <si>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</si>
  <si>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</si>
  <si>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</si>
  <si>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</si>
  <si>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</si>
  <si>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</si>
  <si>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</si>
  <si>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</si>
  <si>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</si>
  <si>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</si>
  <si>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</si>
  <si>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</si>
  <si>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</si>
  <si>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</si>
  <si>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</si>
  <si>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</si>
  <si>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</si>
  <si>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</si>
  <si>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</si>
  <si>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</si>
  <si>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</si>
  <si>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</si>
  <si>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</si>
  <si>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</si>
  <si>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</si>
  <si>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</si>
  <si>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</si>
  <si>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</si>
  <si>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</si>
  <si>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</si>
  <si>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</si>
  <si>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</si>
  <si>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</si>
  <si>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</si>
  <si>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</si>
  <si>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</si>
  <si>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</si>
  <si>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</si>
  <si>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</si>
  <si>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</si>
  <si>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</si>
  <si>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</si>
  <si>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</si>
  <si>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</si>
  <si>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</si>
  <si>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</si>
  <si>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</si>
  <si>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</si>
  <si>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</si>
  <si>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</si>
  <si>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</si>
  <si>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</si>
  <si>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</si>
  <si>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</si>
  <si>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</si>
  <si>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</si>
  <si>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</si>
  <si>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</si>
  <si>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</si>
  <si>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</si>
  <si>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</si>
  <si>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</si>
  <si>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</si>
  <si>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</si>
  <si>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</si>
  <si>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</si>
  <si>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</si>
  <si>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</si>
  <si>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</si>
  <si>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</si>
  <si>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</si>
  <si>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</si>
  <si>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</si>
  <si>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</si>
  <si>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</si>
  <si>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</si>
  <si>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</si>
  <si>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</si>
  <si>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</si>
  <si>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</si>
  <si>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</si>
  <si>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</si>
  <si>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</si>
  <si>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</si>
  <si>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</si>
  <si>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</si>
  <si>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</si>
  <si>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</si>
  <si>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</si>
  <si>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</si>
  <si>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</si>
  <si>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</si>
  <si>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</si>
  <si>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</si>
  <si>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</si>
  <si>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</si>
  <si>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</si>
  <si>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</si>
  <si>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</si>
  <si>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</si>
  <si>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</si>
  <si>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</si>
  <si>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</si>
  <si>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</si>
  <si>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</si>
  <si>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</si>
  <si>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</si>
  <si>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</si>
  <si>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</si>
  <si>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</si>
  <si>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</si>
  <si>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</si>
  <si>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</si>
  <si>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</si>
  <si>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</si>
  <si>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</si>
  <si>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</si>
  <si>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</si>
  <si>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</si>
  <si>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</si>
  <si>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</si>
  <si>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</si>
  <si>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</si>
  <si>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</si>
  <si>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</si>
  <si>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</si>
  <si>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</si>
  <si>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</si>
  <si>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</si>
  <si>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</si>
  <si>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</si>
  <si>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</si>
  <si>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</si>
  <si>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</si>
  <si>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</si>
  <si>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</si>
  <si>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</si>
  <si>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</si>
  <si>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</si>
  <si>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</si>
  <si>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</si>
  <si>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</si>
  <si>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</si>
  <si>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</si>
  <si>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</si>
  <si>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</si>
  <si>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</si>
  <si>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</si>
  <si>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</si>
  <si>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</si>
  <si>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</si>
  <si>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</si>
  <si>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</si>
  <si>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</si>
  <si>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</si>
  <si>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</si>
  <si>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</si>
  <si>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</si>
  <si>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</si>
  <si>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</si>
  <si>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</si>
  <si>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</si>
  <si>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</si>
  <si>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</si>
  <si>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</si>
  <si>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</si>
  <si>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</si>
  <si>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</si>
  <si>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</si>
  <si>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</si>
  <si>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</si>
  <si>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</si>
  <si>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</si>
  <si>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</si>
  <si>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</si>
  <si>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</si>
  <si>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</si>
  <si>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</si>
  <si>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</si>
  <si>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</si>
  <si>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</si>
  <si>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</si>
  <si>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</si>
  <si>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</si>
  <si>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</si>
  <si>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</si>
  <si>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</si>
  <si>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</si>
  <si>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</si>
  <si>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</si>
  <si>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</si>
  <si>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</si>
  <si>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</si>
  <si>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</si>
  <si>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</si>
  <si>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</si>
  <si>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</si>
  <si>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</si>
  <si>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</si>
  <si>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</si>
  <si>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</si>
  <si>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</si>
  <si>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</si>
  <si>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</si>
  <si>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</si>
  <si>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</si>
  <si>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</si>
  <si>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</si>
  <si>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</si>
  <si>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</si>
  <si>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</si>
  <si>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</si>
  <si>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</si>
  <si>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</si>
  <si>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</si>
  <si>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</si>
  <si>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</si>
  <si>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</si>
  <si>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</si>
  <si>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</si>
  <si>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</si>
  <si>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</si>
  <si>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</si>
  <si>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</si>
  <si>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</si>
  <si>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</si>
  <si>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</si>
  <si>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</si>
  <si>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</si>
  <si>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</si>
  <si>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</si>
  <si>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</si>
  <si>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</si>
  <si>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</si>
  <si>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</si>
  <si>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</si>
  <si>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</si>
  <si>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</si>
  <si>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</si>
  <si>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</si>
  <si>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</si>
  <si>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</si>
  <si>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</si>
  <si>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</si>
  <si>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</si>
  <si>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</si>
  <si>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</si>
  <si>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</si>
  <si>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</si>
  <si>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</si>
  <si>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</si>
  <si>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</si>
  <si>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</si>
  <si>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</si>
  <si>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</si>
  <si>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</si>
  <si>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</si>
  <si>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</si>
  <si>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</si>
  <si>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</si>
  <si>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</si>
  <si>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</si>
  <si>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</si>
  <si>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</si>
  <si>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</si>
  <si>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</si>
  <si>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</si>
  <si>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</si>
  <si>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</si>
  <si>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</si>
  <si>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</si>
  <si>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</si>
  <si>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</si>
  <si>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</si>
  <si>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</si>
  <si>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</si>
  <si>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</si>
  <si>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</si>
  <si>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</si>
  <si>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</si>
  <si>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</si>
  <si>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</si>
  <si>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</si>
  <si>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</si>
  <si>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</si>
  <si>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</si>
  <si>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</si>
  <si>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</si>
  <si>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</si>
  <si>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</si>
  <si>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</si>
  <si>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</si>
  <si>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</si>
  <si>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</si>
  <si>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</si>
  <si>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</si>
  <si>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</si>
  <si>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</si>
  <si>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</si>
  <si>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</si>
  <si>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</si>
  <si>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</si>
  <si>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</si>
  <si>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</si>
  <si>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</si>
  <si>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</si>
  <si>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</si>
  <si>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</si>
  <si>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</si>
  <si>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</si>
  <si>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</si>
  <si>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</si>
  <si>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</si>
  <si>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</si>
  <si>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</si>
  <si>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</si>
  <si>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</si>
  <si>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</si>
  <si>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</si>
  <si>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</si>
  <si>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</si>
  <si>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</si>
  <si>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</si>
  <si>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</si>
  <si>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</si>
  <si>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</si>
  <si>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</si>
  <si>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</si>
  <si>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</si>
  <si>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</si>
  <si>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</si>
  <si>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</si>
  <si>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</si>
  <si>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</si>
  <si>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</si>
  <si>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</si>
  <si>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</si>
  <si>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</si>
  <si>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</si>
  <si>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</si>
  <si>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</si>
  <si>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</si>
  <si>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</si>
  <si>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</si>
  <si>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</si>
  <si>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</si>
  <si>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</si>
  <si>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</si>
  <si>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</si>
  <si>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</si>
  <si>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</si>
  <si>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</si>
  <si>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</si>
  <si>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</si>
  <si>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</si>
  <si>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</si>
  <si>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</si>
  <si>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</si>
  <si>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</si>
  <si>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</si>
  <si>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</si>
  <si>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</si>
  <si>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</si>
  <si>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</si>
  <si>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</si>
  <si>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</si>
  <si>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</si>
  <si>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</si>
  <si>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</si>
  <si>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</si>
  <si>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</si>
  <si>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</si>
  <si>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</si>
  <si>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</si>
  <si>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</si>
  <si>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</si>
  <si>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</si>
  <si>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</si>
  <si>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</si>
  <si>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</si>
  <si>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</si>
  <si>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</si>
  <si>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</si>
  <si>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</si>
  <si>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</si>
  <si>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</si>
  <si>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</si>
  <si>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</si>
  <si>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</si>
  <si>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</si>
  <si>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</si>
  <si>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</si>
  <si>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</si>
  <si>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</si>
  <si>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</si>
  <si>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</si>
  <si>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</si>
  <si>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</si>
  <si>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</si>
  <si>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</si>
  <si>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</si>
  <si>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</si>
  <si>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</si>
  <si>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</si>
  <si>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</si>
  <si>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</si>
  <si>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</si>
  <si>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</si>
  <si>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</si>
  <si>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</si>
  <si>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</si>
  <si>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</si>
  <si>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</si>
  <si>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</si>
  <si>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</si>
  <si>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</si>
  <si>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</si>
  <si>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</si>
  <si>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</si>
  <si>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</si>
  <si>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</si>
  <si>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</si>
  <si>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</si>
  <si>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</si>
  <si>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</si>
  <si>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</si>
  <si>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</si>
  <si>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</si>
  <si>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</si>
  <si>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</si>
  <si>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</si>
  <si>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</si>
  <si>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</si>
  <si>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</si>
  <si>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</si>
  <si>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</si>
  <si>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</si>
  <si>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</si>
  <si>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</si>
  <si>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</si>
  <si>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</si>
  <si>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</si>
  <si>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</si>
  <si>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</si>
  <si>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</si>
  <si>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</si>
  <si>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</si>
  <si>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</si>
  <si>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</si>
  <si>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</si>
  <si>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</si>
  <si>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</si>
  <si>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</si>
  <si>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</si>
  <si>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</si>
  <si>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</si>
  <si>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</si>
  <si>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</si>
  <si>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</si>
  <si>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</si>
  <si>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</si>
  <si>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</si>
  <si>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</si>
  <si>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</si>
  <si>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</si>
  <si>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</si>
  <si>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</si>
  <si>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</si>
  <si>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</si>
  <si>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</si>
  <si>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</si>
  <si>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</si>
  <si>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</si>
  <si>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</si>
  <si>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</si>
  <si>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</si>
  <si>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</si>
  <si>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</si>
  <si>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</si>
  <si>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</si>
  <si>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</si>
  <si>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</si>
  <si>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</si>
  <si>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</si>
  <si>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</si>
  <si>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</si>
  <si>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</si>
  <si>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</si>
  <si>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</si>
  <si>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</si>
  <si>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</si>
  <si>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</si>
  <si>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</si>
  <si>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</si>
  <si>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</si>
  <si>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</si>
  <si>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</si>
  <si>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</si>
  <si>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</si>
  <si>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</si>
  <si>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</si>
  <si>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</si>
  <si>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</si>
  <si>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</si>
  <si>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</si>
  <si>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</si>
  <si>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</si>
  <si>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</si>
  <si>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</si>
  <si>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</si>
  <si>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</si>
  <si>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</si>
  <si>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</si>
  <si>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</si>
  <si>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</si>
  <si>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</si>
  <si>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</si>
  <si>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</si>
  <si>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</si>
  <si>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</si>
  <si>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</si>
  <si>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</si>
  <si>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</si>
  <si>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</si>
  <si>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</si>
  <si>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</si>
  <si>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</si>
  <si>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</si>
  <si>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</si>
  <si>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</si>
  <si>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</si>
  <si>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</si>
  <si>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</si>
  <si>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</si>
  <si>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</si>
  <si>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</si>
  <si>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</si>
  <si>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</si>
  <si>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</si>
  <si>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</si>
  <si>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</si>
  <si>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</si>
  <si>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</si>
  <si>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</si>
  <si>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</si>
  <si>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</si>
  <si>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</si>
  <si>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</si>
  <si>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</si>
  <si>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</si>
  <si>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</si>
  <si>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</si>
  <si>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</si>
  <si>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</si>
  <si>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</si>
  <si>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</si>
  <si>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</si>
  <si>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</si>
  <si>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</si>
  <si>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</si>
  <si>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</si>
  <si>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</si>
  <si>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</si>
  <si>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</si>
  <si>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</si>
  <si>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</si>
  <si>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</si>
  <si>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</si>
  <si>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</si>
  <si>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</si>
  <si>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</si>
  <si>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</si>
  <si>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</si>
  <si>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</si>
  <si>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</si>
  <si>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</si>
  <si>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</si>
  <si>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</si>
  <si>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</si>
  <si>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</si>
  <si>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</si>
  <si>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</si>
  <si>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</si>
  <si>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</si>
  <si>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</si>
  <si>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</si>
  <si>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</si>
  <si>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</si>
  <si>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</si>
  <si>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</si>
  <si>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</si>
  <si>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</si>
  <si>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</si>
  <si>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</si>
  <si>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</si>
  <si>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</si>
  <si>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</si>
  <si>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</si>
  <si>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</si>
  <si>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</si>
  <si>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</si>
  <si>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</si>
  <si>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</si>
  <si>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</si>
  <si>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</si>
  <si>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</si>
  <si>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</si>
  <si>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</si>
  <si>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</si>
  <si>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</si>
  <si>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</si>
  <si>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</si>
  <si>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</si>
  <si>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</si>
  <si>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</si>
  <si>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</si>
  <si>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</si>
  <si>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</si>
  <si>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</si>
  <si>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</si>
  <si>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</si>
  <si>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</si>
  <si>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</si>
  <si>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</si>
  <si>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</si>
  <si>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42026</t>
  </si>
  <si>
    <t>WICHELEN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</si>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</sst>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96712.976407902679</c:v>
                </c:pt>
                <c:pt idx="1">
                  <c:v>15888.018700573011</c:v>
                </c:pt>
                <c:pt idx="2">
                  <c:v>796.96699999999998</c:v>
                </c:pt>
                <c:pt idx="3">
                  <c:v>3795.0161888660509</c:v>
                </c:pt>
                <c:pt idx="4">
                  <c:v>10207.827480938166</c:v>
                </c:pt>
                <c:pt idx="5">
                  <c:v>42781.17019891605</c:v>
                </c:pt>
                <c:pt idx="6">
                  <c:v>487.69173925994392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96712.976407902679</c:v>
                </c:pt>
                <c:pt idx="1">
                  <c:v>15888.018700573011</c:v>
                </c:pt>
                <c:pt idx="2">
                  <c:v>796.96699999999998</c:v>
                </c:pt>
                <c:pt idx="3">
                  <c:v>3795.0161888660509</c:v>
                </c:pt>
                <c:pt idx="4">
                  <c:v>10207.827480938166</c:v>
                </c:pt>
                <c:pt idx="5">
                  <c:v>42781.17019891605</c:v>
                </c:pt>
                <c:pt idx="6">
                  <c:v>487.69173925994392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19165.485475065565</c:v>
                </c:pt>
                <c:pt idx="2">
                  <c:v>2987.2986073696657</c:v>
                </c:pt>
                <c:pt idx="3">
                  <c:v>161.45115293607975</c:v>
                </c:pt>
                <c:pt idx="4">
                  <c:v>960.46116088116469</c:v>
                </c:pt>
                <c:pt idx="5">
                  <c:v>2100.3381337797032</c:v>
                </c:pt>
                <c:pt idx="6">
                  <c:v>10703.722309246034</c:v>
                </c:pt>
                <c:pt idx="7">
                  <c:v>123.21609288609771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19165.485475065565</c:v>
                </c:pt>
                <c:pt idx="2">
                  <c:v>2987.2986073696657</c:v>
                </c:pt>
                <c:pt idx="3">
                  <c:v>161.45115293607975</c:v>
                </c:pt>
                <c:pt idx="4">
                  <c:v>960.46116088116469</c:v>
                </c:pt>
                <c:pt idx="5">
                  <c:v>2100.3381337797032</c:v>
                </c:pt>
                <c:pt idx="6">
                  <c:v>10703.722309246034</c:v>
                </c:pt>
                <c:pt idx="7">
                  <c:v>123.21609288609771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42026</v>
      </c>
      <c r="B6" s="390"/>
      <c r="C6" s="391"/>
    </row>
    <row r="7" spans="1:7" s="388" customFormat="1" ht="15.75" customHeight="1">
      <c r="A7" s="392" t="str">
        <f>txtMunicipality</f>
        <v>WICHELEN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0.20258198010216202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0.20258198010216202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4956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1121.44</v>
      </c>
      <c r="C14" s="330"/>
      <c r="D14" s="330"/>
      <c r="E14" s="330"/>
      <c r="F14" s="330"/>
    </row>
    <row r="15" spans="1:6">
      <c r="A15" s="1293" t="s">
        <v>183</v>
      </c>
      <c r="B15" s="1294">
        <v>3</v>
      </c>
      <c r="C15" s="330"/>
      <c r="D15" s="330"/>
      <c r="E15" s="330"/>
      <c r="F15" s="330"/>
    </row>
    <row r="16" spans="1:6">
      <c r="A16" s="1293" t="s">
        <v>6</v>
      </c>
      <c r="B16" s="1294">
        <v>327</v>
      </c>
      <c r="C16" s="330"/>
      <c r="D16" s="330"/>
      <c r="E16" s="330"/>
      <c r="F16" s="330"/>
    </row>
    <row r="17" spans="1:6">
      <c r="A17" s="1293" t="s">
        <v>7</v>
      </c>
      <c r="B17" s="1294">
        <v>141</v>
      </c>
      <c r="C17" s="330"/>
      <c r="D17" s="330"/>
      <c r="E17" s="330"/>
      <c r="F17" s="330"/>
    </row>
    <row r="18" spans="1:6">
      <c r="A18" s="1293" t="s">
        <v>8</v>
      </c>
      <c r="B18" s="1294">
        <v>255</v>
      </c>
      <c r="C18" s="330"/>
      <c r="D18" s="330"/>
      <c r="E18" s="330"/>
      <c r="F18" s="330"/>
    </row>
    <row r="19" spans="1:6">
      <c r="A19" s="1293" t="s">
        <v>9</v>
      </c>
      <c r="B19" s="1294">
        <v>276</v>
      </c>
      <c r="C19" s="330"/>
      <c r="D19" s="330"/>
      <c r="E19" s="330"/>
      <c r="F19" s="330"/>
    </row>
    <row r="20" spans="1:6">
      <c r="A20" s="1293" t="s">
        <v>10</v>
      </c>
      <c r="B20" s="1294">
        <v>371</v>
      </c>
      <c r="C20" s="330"/>
      <c r="D20" s="330"/>
      <c r="E20" s="330"/>
      <c r="F20" s="330"/>
    </row>
    <row r="21" spans="1:6">
      <c r="A21" s="1293" t="s">
        <v>11</v>
      </c>
      <c r="B21" s="1294">
        <v>950</v>
      </c>
      <c r="C21" s="330"/>
      <c r="D21" s="330"/>
      <c r="E21" s="330"/>
      <c r="F21" s="330"/>
    </row>
    <row r="22" spans="1:6">
      <c r="A22" s="1293" t="s">
        <v>12</v>
      </c>
      <c r="B22" s="1294">
        <v>2521</v>
      </c>
      <c r="C22" s="330"/>
      <c r="D22" s="330"/>
      <c r="E22" s="330"/>
      <c r="F22" s="330"/>
    </row>
    <row r="23" spans="1:6">
      <c r="A23" s="1293" t="s">
        <v>13</v>
      </c>
      <c r="B23" s="1294">
        <v>64</v>
      </c>
      <c r="C23" s="330"/>
      <c r="D23" s="330"/>
      <c r="E23" s="330"/>
      <c r="F23" s="330"/>
    </row>
    <row r="24" spans="1:6">
      <c r="A24" s="1293" t="s">
        <v>14</v>
      </c>
      <c r="B24" s="1294">
        <v>4</v>
      </c>
      <c r="C24" s="330"/>
      <c r="D24" s="330"/>
      <c r="E24" s="330"/>
      <c r="F24" s="330"/>
    </row>
    <row r="25" spans="1:6">
      <c r="A25" s="1293" t="s">
        <v>15</v>
      </c>
      <c r="B25" s="1294">
        <v>306</v>
      </c>
      <c r="C25" s="330"/>
      <c r="D25" s="330"/>
      <c r="E25" s="330"/>
      <c r="F25" s="330"/>
    </row>
    <row r="26" spans="1:6">
      <c r="A26" s="1293" t="s">
        <v>16</v>
      </c>
      <c r="B26" s="1294">
        <v>180</v>
      </c>
      <c r="C26" s="330"/>
      <c r="D26" s="330"/>
      <c r="E26" s="330"/>
      <c r="F26" s="330"/>
    </row>
    <row r="27" spans="1:6">
      <c r="A27" s="1293" t="s">
        <v>17</v>
      </c>
      <c r="B27" s="1294">
        <v>0</v>
      </c>
      <c r="C27" s="330"/>
      <c r="D27" s="330"/>
      <c r="E27" s="330"/>
      <c r="F27" s="330"/>
    </row>
    <row r="28" spans="1:6" s="43" customFormat="1">
      <c r="A28" s="1295" t="s">
        <v>18</v>
      </c>
      <c r="B28" s="1296">
        <v>8391</v>
      </c>
      <c r="C28" s="336"/>
      <c r="D28" s="336"/>
      <c r="E28" s="336"/>
      <c r="F28" s="336"/>
    </row>
    <row r="29" spans="1:6">
      <c r="A29" s="1295" t="s">
        <v>734</v>
      </c>
      <c r="B29" s="1296">
        <v>44</v>
      </c>
      <c r="C29" s="336"/>
      <c r="D29" s="336"/>
      <c r="E29" s="336"/>
      <c r="F29" s="336"/>
    </row>
    <row r="30" spans="1:6">
      <c r="A30" s="1288" t="s">
        <v>735</v>
      </c>
      <c r="B30" s="1297">
        <v>16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2631</v>
      </c>
      <c r="D39" s="1294">
        <v>43389854.6367862</v>
      </c>
      <c r="E39" s="1294">
        <v>4825</v>
      </c>
      <c r="F39" s="1294">
        <v>21713854.610513899</v>
      </c>
    </row>
    <row r="40" spans="1:6">
      <c r="A40" s="1293" t="s">
        <v>29</v>
      </c>
      <c r="B40" s="1293" t="s">
        <v>28</v>
      </c>
      <c r="C40" s="1294">
        <v>0</v>
      </c>
      <c r="D40" s="1294">
        <v>0</v>
      </c>
      <c r="E40" s="1294">
        <v>0</v>
      </c>
      <c r="F40" s="1294">
        <v>0</v>
      </c>
    </row>
    <row r="41" spans="1:6">
      <c r="A41" s="1293" t="s">
        <v>31</v>
      </c>
      <c r="B41" s="1293" t="s">
        <v>32</v>
      </c>
      <c r="C41" s="1294">
        <v>48</v>
      </c>
      <c r="D41" s="1294">
        <v>909404.27639464196</v>
      </c>
      <c r="E41" s="1294">
        <v>130</v>
      </c>
      <c r="F41" s="1294">
        <v>1080223.5754986</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9</v>
      </c>
      <c r="F44" s="1294">
        <v>71472.802109080003</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24</v>
      </c>
      <c r="D48" s="1294">
        <v>641551.924736441</v>
      </c>
      <c r="E48" s="1294">
        <v>32</v>
      </c>
      <c r="F48" s="1294">
        <v>1526153.2842391001</v>
      </c>
    </row>
    <row r="49" spans="1:6">
      <c r="A49" s="1293" t="s">
        <v>31</v>
      </c>
      <c r="B49" s="1293" t="s">
        <v>39</v>
      </c>
      <c r="C49" s="1294">
        <v>5</v>
      </c>
      <c r="D49" s="1294">
        <v>1325748.94502997</v>
      </c>
      <c r="E49" s="1294">
        <v>12</v>
      </c>
      <c r="F49" s="1294">
        <v>2557212.6168825999</v>
      </c>
    </row>
    <row r="50" spans="1:6">
      <c r="A50" s="1293" t="s">
        <v>31</v>
      </c>
      <c r="B50" s="1293" t="s">
        <v>40</v>
      </c>
      <c r="C50" s="1294">
        <v>0</v>
      </c>
      <c r="D50" s="1294">
        <v>0</v>
      </c>
      <c r="E50" s="1294">
        <v>8</v>
      </c>
      <c r="F50" s="1294">
        <v>171788.15988575501</v>
      </c>
    </row>
    <row r="51" spans="1:6">
      <c r="A51" s="1293" t="s">
        <v>41</v>
      </c>
      <c r="B51" s="1293" t="s">
        <v>42</v>
      </c>
      <c r="C51" s="1294">
        <v>4</v>
      </c>
      <c r="D51" s="1294">
        <v>132451.59930966201</v>
      </c>
      <c r="E51" s="1294">
        <v>60</v>
      </c>
      <c r="F51" s="1294">
        <v>542855.90022469405</v>
      </c>
    </row>
    <row r="52" spans="1:6">
      <c r="A52" s="1293" t="s">
        <v>41</v>
      </c>
      <c r="B52" s="1293" t="s">
        <v>28</v>
      </c>
      <c r="C52" s="1294">
        <v>5</v>
      </c>
      <c r="D52" s="1294">
        <v>172529.92294530501</v>
      </c>
      <c r="E52" s="1294">
        <v>6</v>
      </c>
      <c r="F52" s="1294">
        <v>116278.831300002</v>
      </c>
    </row>
    <row r="53" spans="1:6">
      <c r="A53" s="1293" t="s">
        <v>43</v>
      </c>
      <c r="B53" s="1293" t="s">
        <v>44</v>
      </c>
      <c r="C53" s="1294">
        <v>51</v>
      </c>
      <c r="D53" s="1294">
        <v>753363.44511511899</v>
      </c>
      <c r="E53" s="1294">
        <v>162</v>
      </c>
      <c r="F53" s="1294">
        <v>917167.25043435697</v>
      </c>
    </row>
    <row r="54" spans="1:6">
      <c r="A54" s="1293" t="s">
        <v>45</v>
      </c>
      <c r="B54" s="1293" t="s">
        <v>46</v>
      </c>
      <c r="C54" s="1294">
        <v>0</v>
      </c>
      <c r="D54" s="1294">
        <v>0</v>
      </c>
      <c r="E54" s="1294">
        <v>3</v>
      </c>
      <c r="F54" s="1294">
        <v>796967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18</v>
      </c>
      <c r="D57" s="1294">
        <v>438014.89218808099</v>
      </c>
      <c r="E57" s="1294">
        <v>47</v>
      </c>
      <c r="F57" s="1294">
        <v>1631073.1850862999</v>
      </c>
    </row>
    <row r="58" spans="1:6">
      <c r="A58" s="1293" t="s">
        <v>48</v>
      </c>
      <c r="B58" s="1293" t="s">
        <v>50</v>
      </c>
      <c r="C58" s="1294">
        <v>3</v>
      </c>
      <c r="D58" s="1294">
        <v>95418.881483991805</v>
      </c>
      <c r="E58" s="1294">
        <v>13</v>
      </c>
      <c r="F58" s="1294">
        <v>122643.64569413</v>
      </c>
    </row>
    <row r="59" spans="1:6">
      <c r="A59" s="1293" t="s">
        <v>48</v>
      </c>
      <c r="B59" s="1293" t="s">
        <v>51</v>
      </c>
      <c r="C59" s="1294">
        <v>14</v>
      </c>
      <c r="D59" s="1294">
        <v>447013.28010190901</v>
      </c>
      <c r="E59" s="1294">
        <v>87</v>
      </c>
      <c r="F59" s="1294">
        <v>1404740.6541893701</v>
      </c>
    </row>
    <row r="60" spans="1:6">
      <c r="A60" s="1293" t="s">
        <v>48</v>
      </c>
      <c r="B60" s="1293" t="s">
        <v>52</v>
      </c>
      <c r="C60" s="1294">
        <v>23</v>
      </c>
      <c r="D60" s="1294">
        <v>817189.36068406096</v>
      </c>
      <c r="E60" s="1294">
        <v>36</v>
      </c>
      <c r="F60" s="1294">
        <v>678191.69143846398</v>
      </c>
    </row>
    <row r="61" spans="1:6">
      <c r="A61" s="1293" t="s">
        <v>48</v>
      </c>
      <c r="B61" s="1293" t="s">
        <v>53</v>
      </c>
      <c r="C61" s="1294">
        <v>61</v>
      </c>
      <c r="D61" s="1294">
        <v>2788358.3082306399</v>
      </c>
      <c r="E61" s="1294">
        <v>142</v>
      </c>
      <c r="F61" s="1294">
        <v>1184956.6965304399</v>
      </c>
    </row>
    <row r="62" spans="1:6">
      <c r="A62" s="1293" t="s">
        <v>48</v>
      </c>
      <c r="B62" s="1293" t="s">
        <v>54</v>
      </c>
      <c r="C62" s="1294">
        <v>5</v>
      </c>
      <c r="D62" s="1294">
        <v>276675.84455370699</v>
      </c>
      <c r="E62" s="1294">
        <v>6</v>
      </c>
      <c r="F62" s="1294">
        <v>110906.62045735899</v>
      </c>
    </row>
    <row r="63" spans="1:6">
      <c r="A63" s="1293" t="s">
        <v>48</v>
      </c>
      <c r="B63" s="1293" t="s">
        <v>28</v>
      </c>
      <c r="C63" s="1294">
        <v>70</v>
      </c>
      <c r="D63" s="1294">
        <v>2406637.5097555099</v>
      </c>
      <c r="E63" s="1294">
        <v>91</v>
      </c>
      <c r="F63" s="1294">
        <v>1358359.7692054999</v>
      </c>
    </row>
    <row r="64" spans="1:6">
      <c r="A64" s="1293" t="s">
        <v>55</v>
      </c>
      <c r="B64" s="1293" t="s">
        <v>56</v>
      </c>
      <c r="C64" s="1294">
        <v>0</v>
      </c>
      <c r="D64" s="1294">
        <v>0</v>
      </c>
      <c r="E64" s="1294">
        <v>0</v>
      </c>
      <c r="F64" s="1294">
        <v>0</v>
      </c>
    </row>
    <row r="65" spans="1:6">
      <c r="A65" s="1293" t="s">
        <v>55</v>
      </c>
      <c r="B65" s="1293" t="s">
        <v>28</v>
      </c>
      <c r="C65" s="1294">
        <v>1</v>
      </c>
      <c r="D65" s="1294">
        <v>16505.050483881099</v>
      </c>
      <c r="E65" s="1294">
        <v>4</v>
      </c>
      <c r="F65" s="1294">
        <v>21074.8558470766</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5</v>
      </c>
      <c r="F68" s="1297">
        <v>56401.382511558098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32212164</v>
      </c>
      <c r="E73" s="449"/>
      <c r="F73" s="330"/>
    </row>
    <row r="74" spans="1:6">
      <c r="A74" s="1293" t="s">
        <v>63</v>
      </c>
      <c r="B74" s="1293" t="s">
        <v>656</v>
      </c>
      <c r="C74" s="1307" t="s">
        <v>658</v>
      </c>
      <c r="D74" s="1308">
        <v>3050546.5</v>
      </c>
      <c r="E74" s="449"/>
      <c r="F74" s="330"/>
    </row>
    <row r="75" spans="1:6">
      <c r="A75" s="1293" t="s">
        <v>64</v>
      </c>
      <c r="B75" s="1293" t="s">
        <v>655</v>
      </c>
      <c r="C75" s="1307" t="s">
        <v>659</v>
      </c>
      <c r="D75" s="1308">
        <v>13978383</v>
      </c>
      <c r="E75" s="449"/>
      <c r="F75" s="330"/>
    </row>
    <row r="76" spans="1:6">
      <c r="A76" s="1293" t="s">
        <v>64</v>
      </c>
      <c r="B76" s="1293" t="s">
        <v>656</v>
      </c>
      <c r="C76" s="1307" t="s">
        <v>660</v>
      </c>
      <c r="D76" s="1308">
        <v>448084.5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133009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2465.5574681688263</v>
      </c>
      <c r="C91" s="330"/>
      <c r="D91" s="330"/>
      <c r="E91" s="330"/>
      <c r="F91" s="330"/>
    </row>
    <row r="92" spans="1:6">
      <c r="A92" s="1288" t="s">
        <v>68</v>
      </c>
      <c r="B92" s="1289">
        <v>740.16569451229952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940</v>
      </c>
      <c r="C97" s="330"/>
      <c r="D97" s="330"/>
      <c r="E97" s="330"/>
      <c r="F97" s="330"/>
    </row>
    <row r="98" spans="1:6">
      <c r="A98" s="1293" t="s">
        <v>71</v>
      </c>
      <c r="B98" s="1294">
        <v>0</v>
      </c>
      <c r="C98" s="330"/>
      <c r="D98" s="330"/>
      <c r="E98" s="330"/>
      <c r="F98" s="330"/>
    </row>
    <row r="99" spans="1:6">
      <c r="A99" s="1293" t="s">
        <v>72</v>
      </c>
      <c r="B99" s="1294">
        <v>93</v>
      </c>
      <c r="C99" s="330"/>
      <c r="D99" s="330"/>
      <c r="E99" s="330"/>
      <c r="F99" s="330"/>
    </row>
    <row r="100" spans="1:6">
      <c r="A100" s="1293" t="s">
        <v>73</v>
      </c>
      <c r="B100" s="1294">
        <v>693</v>
      </c>
      <c r="C100" s="330"/>
      <c r="D100" s="330"/>
      <c r="E100" s="330"/>
      <c r="F100" s="330"/>
    </row>
    <row r="101" spans="1:6">
      <c r="A101" s="1293" t="s">
        <v>74</v>
      </c>
      <c r="B101" s="1294">
        <v>61</v>
      </c>
      <c r="C101" s="330"/>
      <c r="D101" s="330"/>
      <c r="E101" s="330"/>
      <c r="F101" s="330"/>
    </row>
    <row r="102" spans="1:6">
      <c r="A102" s="1293" t="s">
        <v>75</v>
      </c>
      <c r="B102" s="1294">
        <v>73</v>
      </c>
      <c r="C102" s="330"/>
      <c r="D102" s="330"/>
      <c r="E102" s="330"/>
      <c r="F102" s="330"/>
    </row>
    <row r="103" spans="1:6">
      <c r="A103" s="1293" t="s">
        <v>76</v>
      </c>
      <c r="B103" s="1294">
        <v>251</v>
      </c>
      <c r="C103" s="330"/>
      <c r="D103" s="330"/>
      <c r="E103" s="330"/>
      <c r="F103" s="330"/>
    </row>
    <row r="104" spans="1:6">
      <c r="A104" s="1293" t="s">
        <v>77</v>
      </c>
      <c r="B104" s="1294">
        <v>2241</v>
      </c>
      <c r="C104" s="330"/>
      <c r="D104" s="330"/>
      <c r="E104" s="330"/>
      <c r="F104" s="330"/>
    </row>
    <row r="105" spans="1:6">
      <c r="A105" s="1288" t="s">
        <v>78</v>
      </c>
      <c r="B105" s="1297">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16</v>
      </c>
      <c r="C123" s="1294">
        <v>17</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90</v>
      </c>
      <c r="C129" s="330"/>
      <c r="D129" s="330"/>
      <c r="E129" s="330"/>
      <c r="F129" s="330"/>
    </row>
    <row r="130" spans="1:6">
      <c r="A130" s="1293" t="s">
        <v>294</v>
      </c>
      <c r="B130" s="1294">
        <v>2</v>
      </c>
      <c r="C130" s="330"/>
      <c r="D130" s="330"/>
      <c r="E130" s="330"/>
      <c r="F130" s="330"/>
    </row>
    <row r="131" spans="1:6">
      <c r="A131" s="1293" t="s">
        <v>295</v>
      </c>
      <c r="B131" s="1294">
        <v>0</v>
      </c>
      <c r="C131" s="330"/>
      <c r="D131" s="330"/>
      <c r="E131" s="330"/>
      <c r="F131" s="330"/>
    </row>
    <row r="132" spans="1:6">
      <c r="A132" s="1288" t="s">
        <v>296</v>
      </c>
      <c r="B132" s="1289">
        <v>18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38465.851534653477</v>
      </c>
      <c r="C3" s="43" t="s">
        <v>169</v>
      </c>
      <c r="D3" s="43"/>
      <c r="E3" s="154"/>
      <c r="F3" s="43"/>
      <c r="G3" s="43"/>
      <c r="H3" s="43"/>
      <c r="I3" s="43"/>
      <c r="J3" s="43"/>
      <c r="K3" s="96"/>
    </row>
    <row r="4" spans="1:11">
      <c r="A4" s="358" t="s">
        <v>170</v>
      </c>
      <c r="B4" s="49">
        <f>IF(ISERROR('SEAP template'!B78+'SEAP template'!C78),0,'SEAP template'!B78+'SEAP template'!C78)</f>
        <v>3205.7231626811258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0.20258198010216202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796.96699999999998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796.96699999999998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0.20258198010216202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161.45115293607975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21713.854610513899</v>
      </c>
      <c r="C5" s="17">
        <f>IF(ISERROR('Eigen informatie GS &amp; warmtenet'!B57),0,'Eigen informatie GS &amp; warmtenet'!B57)</f>
        <v>0</v>
      </c>
      <c r="D5" s="30">
        <f>(SUM(HH_hh_gas_kWh,HH_rest_gas_kWh)/1000)*0.902</f>
        <v>39137.648882381152</v>
      </c>
      <c r="E5" s="17">
        <f>B46*B57</f>
        <v>8650.6599417070011</v>
      </c>
      <c r="F5" s="17">
        <f>B51*B62</f>
        <v>15000.089126208457</v>
      </c>
      <c r="G5" s="18"/>
      <c r="H5" s="17"/>
      <c r="I5" s="17"/>
      <c r="J5" s="17">
        <f>B50*B61+C50*C61</f>
        <v>1109.162770490801</v>
      </c>
      <c r="K5" s="17"/>
      <c r="L5" s="17"/>
      <c r="M5" s="17"/>
      <c r="N5" s="17">
        <f>B48*B59+C48*C59</f>
        <v>7820.4602750992017</v>
      </c>
      <c r="O5" s="17">
        <f>B69*B70*B71</f>
        <v>167.27666666666667</v>
      </c>
      <c r="P5" s="17">
        <f>B77*B78*B79/1000-B77*B78*B79/1000/B80</f>
        <v>648.26666666666665</v>
      </c>
    </row>
    <row r="6" spans="1:16">
      <c r="A6" s="16" t="s">
        <v>620</v>
      </c>
      <c r="B6" s="762">
        <f>kWh_PV_kleiner_dan_10kW</f>
        <v>2465.5574681688263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24179.412078682726</v>
      </c>
      <c r="C8" s="21">
        <f>C5</f>
        <v>0</v>
      </c>
      <c r="D8" s="21">
        <f>D5</f>
        <v>39137.648882381152</v>
      </c>
      <c r="E8" s="21">
        <f>E5</f>
        <v>8650.6599417070011</v>
      </c>
      <c r="F8" s="21">
        <f>F5</f>
        <v>15000.089126208457</v>
      </c>
      <c r="G8" s="21"/>
      <c r="H8" s="21"/>
      <c r="I8" s="21"/>
      <c r="J8" s="21">
        <f>J5</f>
        <v>1109.162770490801</v>
      </c>
      <c r="K8" s="21"/>
      <c r="L8" s="21">
        <f>L5</f>
        <v>0</v>
      </c>
      <c r="M8" s="21">
        <f>M5</f>
        <v>0</v>
      </c>
      <c r="N8" s="21">
        <f>N5</f>
        <v>7820.4602750992017</v>
      </c>
      <c r="O8" s="21">
        <f>O5</f>
        <v>167.27666666666667</v>
      </c>
      <c r="P8" s="21">
        <f>P5</f>
        <v>648.26666666666665</v>
      </c>
    </row>
    <row r="9" spans="1:16">
      <c r="B9" s="19"/>
      <c r="C9" s="19"/>
      <c r="D9" s="258"/>
      <c r="E9" s="19"/>
      <c r="F9" s="19"/>
      <c r="G9" s="19"/>
      <c r="H9" s="19"/>
      <c r="I9" s="19"/>
      <c r="J9" s="19"/>
      <c r="K9" s="19"/>
      <c r="L9" s="19"/>
      <c r="M9" s="19"/>
      <c r="N9" s="19"/>
      <c r="O9" s="19"/>
      <c r="P9" s="19"/>
    </row>
    <row r="10" spans="1:16">
      <c r="A10" s="24" t="s">
        <v>213</v>
      </c>
      <c r="B10" s="25">
        <f ca="1">'EF ele_warmte'!B12</f>
        <v>0.20258198010216202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4898.3131766056804</v>
      </c>
      <c r="C12" s="23">
        <f ca="1">C10*C8</f>
        <v>0</v>
      </c>
      <c r="D12" s="23">
        <f>D8*D10</f>
        <v>7905.8050742409932</v>
      </c>
      <c r="E12" s="23">
        <f>E10*E8</f>
        <v>1963.6998067674892</v>
      </c>
      <c r="F12" s="23">
        <f>F10*F8</f>
        <v>4005.0237966976583</v>
      </c>
      <c r="G12" s="23"/>
      <c r="H12" s="23"/>
      <c r="I12" s="23"/>
      <c r="J12" s="23">
        <f>J10*J8</f>
        <v>392.64362075374351</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940</v>
      </c>
      <c r="C18" s="166" t="s">
        <v>110</v>
      </c>
      <c r="D18" s="228"/>
      <c r="E18" s="15"/>
    </row>
    <row r="19" spans="1:7">
      <c r="A19" s="171" t="s">
        <v>71</v>
      </c>
      <c r="B19" s="37">
        <f>aantalw2001_ander</f>
        <v>0</v>
      </c>
      <c r="C19" s="166" t="s">
        <v>110</v>
      </c>
      <c r="D19" s="229"/>
      <c r="E19" s="15"/>
    </row>
    <row r="20" spans="1:7">
      <c r="A20" s="171" t="s">
        <v>72</v>
      </c>
      <c r="B20" s="37">
        <f>aantalw2001_propaan</f>
        <v>93</v>
      </c>
      <c r="C20" s="167">
        <f>IF(ISERROR(B20/SUM($B$20,$B$21,$B$22)*100),0,B20/SUM($B$20,$B$21,$B$22)*100)</f>
        <v>10.979929161747345</v>
      </c>
      <c r="D20" s="229"/>
      <c r="E20" s="15"/>
    </row>
    <row r="21" spans="1:7">
      <c r="A21" s="171" t="s">
        <v>73</v>
      </c>
      <c r="B21" s="37">
        <f>aantalw2001_elektriciteit</f>
        <v>693</v>
      </c>
      <c r="C21" s="167">
        <f>IF(ISERROR(B21/SUM($B$20,$B$21,$B$22)*100),0,B21/SUM($B$20,$B$21,$B$22)*100)</f>
        <v>81.818181818181827</v>
      </c>
      <c r="D21" s="229"/>
      <c r="E21" s="15"/>
    </row>
    <row r="22" spans="1:7">
      <c r="A22" s="171" t="s">
        <v>74</v>
      </c>
      <c r="B22" s="37">
        <f>aantalw2001_hout</f>
        <v>61</v>
      </c>
      <c r="C22" s="167">
        <f>IF(ISERROR(B22/SUM($B$20,$B$21,$B$22)*100),0,B22/SUM($B$20,$B$21,$B$22)*100)</f>
        <v>7.2018890200708379</v>
      </c>
      <c r="D22" s="229"/>
      <c r="E22" s="15"/>
    </row>
    <row r="23" spans="1:7">
      <c r="A23" s="171" t="s">
        <v>75</v>
      </c>
      <c r="B23" s="37">
        <f>aantalw2001_niet_gespec</f>
        <v>73</v>
      </c>
      <c r="C23" s="166" t="s">
        <v>110</v>
      </c>
      <c r="D23" s="228"/>
      <c r="E23" s="15"/>
    </row>
    <row r="24" spans="1:7">
      <c r="A24" s="171" t="s">
        <v>76</v>
      </c>
      <c r="B24" s="37">
        <f>aantalw2001_steenkool</f>
        <v>251</v>
      </c>
      <c r="C24" s="166" t="s">
        <v>110</v>
      </c>
      <c r="D24" s="229"/>
      <c r="E24" s="15"/>
    </row>
    <row r="25" spans="1:7">
      <c r="A25" s="171" t="s">
        <v>77</v>
      </c>
      <c r="B25" s="37">
        <f>aantalw2001_stookolie</f>
        <v>2241</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780</v>
      </c>
      <c r="B28" s="37">
        <f>aantalHuishoudens</f>
        <v>4956</v>
      </c>
      <c r="C28" s="36"/>
      <c r="D28" s="228"/>
    </row>
    <row r="29" spans="1:7" s="15" customFormat="1">
      <c r="A29" s="230" t="s">
        <v>781</v>
      </c>
      <c r="B29" s="37">
        <f>SUM(HH_hh_gas_aantal,HH_rest_gas_aantal)</f>
        <v>2631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2631</v>
      </c>
      <c r="C32" s="167">
        <f>IF(ISERROR(B32/SUM($B$32,$B$34,$B$35,$B$36,$B$38,$B$39)*100),0,B32/SUM($B$32,$B$34,$B$35,$B$36,$B$38,$B$39)*100)</f>
        <v>53.453880536367329</v>
      </c>
      <c r="D32" s="233"/>
      <c r="G32" s="15"/>
    </row>
    <row r="33" spans="1:7">
      <c r="A33" s="171" t="s">
        <v>71</v>
      </c>
      <c r="B33" s="34" t="s">
        <v>110</v>
      </c>
      <c r="C33" s="167"/>
      <c r="D33" s="233"/>
      <c r="G33" s="15"/>
    </row>
    <row r="34" spans="1:7">
      <c r="A34" s="171" t="s">
        <v>72</v>
      </c>
      <c r="B34" s="33">
        <f>IF((($B$28-$B$32-$B$39-$B$77-$B$38)*C20/100)&lt;0,0,($B$28-$B$32-$B$39-$B$77-$B$38)*C20/100)</f>
        <v>163.60094451003545</v>
      </c>
      <c r="C34" s="167">
        <f>IF(ISERROR(B34/SUM($B$32,$B$34,$B$35,$B$36,$B$38,$B$39)*100),0,B34/SUM($B$32,$B$34,$B$35,$B$36,$B$38,$B$39)*100)</f>
        <v>3.3238712822030765</v>
      </c>
      <c r="D34" s="233"/>
      <c r="G34" s="15"/>
    </row>
    <row r="35" spans="1:7">
      <c r="A35" s="171" t="s">
        <v>73</v>
      </c>
      <c r="B35" s="33">
        <f>IF((($B$28-$B$32-$B$39-$B$77-$B$38)*C21/100)&lt;0,0,($B$28-$B$32-$B$39-$B$77-$B$38)*C21/100)</f>
        <v>1219.0909090909092</v>
      </c>
      <c r="C35" s="167">
        <f>IF(ISERROR(B35/SUM($B$32,$B$34,$B$35,$B$36,$B$38,$B$39)*100),0,B35/SUM($B$32,$B$34,$B$35,$B$36,$B$38,$B$39)*100)</f>
        <v>24.768202135126153</v>
      </c>
      <c r="D35" s="233"/>
      <c r="G35" s="15"/>
    </row>
    <row r="36" spans="1:7">
      <c r="A36" s="171" t="s">
        <v>74</v>
      </c>
      <c r="B36" s="33">
        <f>IF((($B$28-$B$32-$B$39-$B$77-$B$38)*C22/100)&lt;0,0,($B$28-$B$32-$B$39-$B$77-$B$38)*C22/100)</f>
        <v>107.30814639905547</v>
      </c>
      <c r="C36" s="167">
        <f>IF(ISERROR(B36/SUM($B$32,$B$34,$B$35,$B$36,$B$38,$B$39)*100),0,B36/SUM($B$32,$B$34,$B$35,$B$36,$B$38,$B$39)*100)</f>
        <v>2.1801736367138456</v>
      </c>
      <c r="D36" s="233"/>
      <c r="G36" s="15"/>
    </row>
    <row r="37" spans="1:7">
      <c r="A37" s="171" t="s">
        <v>75</v>
      </c>
      <c r="B37" s="34" t="s">
        <v>110</v>
      </c>
      <c r="C37" s="167"/>
      <c r="D37" s="173"/>
      <c r="G37" s="15"/>
    </row>
    <row r="38" spans="1:7">
      <c r="A38" s="171" t="s">
        <v>76</v>
      </c>
      <c r="B38" s="33">
        <f>IF((B24-(B29-B18)*0.1)&lt;0,0,B24-(B29-B18)*0.1)</f>
        <v>81.899999999999977</v>
      </c>
      <c r="C38" s="167">
        <f>IF(ISERROR(B38/SUM($B$32,$B$34,$B$35,$B$36,$B$38,$B$39)*100),0,B38/SUM($B$32,$B$34,$B$35,$B$36,$B$38,$B$39)*100)</f>
        <v>1.6639577407557899</v>
      </c>
      <c r="D38" s="234"/>
      <c r="G38" s="15"/>
    </row>
    <row r="39" spans="1:7">
      <c r="A39" s="171" t="s">
        <v>77</v>
      </c>
      <c r="B39" s="33">
        <f>IF((B25-(B29-B18))&lt;0,0,B25-(B29-B18)*0.9)</f>
        <v>719.09999999999991</v>
      </c>
      <c r="C39" s="167">
        <f>IF(ISERROR(B39/SUM($B$32,$B$34,$B$35,$B$36,$B$38,$B$39)*100),0,B39/SUM($B$32,$B$34,$B$35,$B$36,$B$38,$B$39)*100)</f>
        <v>14.609914668833806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2631</v>
      </c>
      <c r="C44" s="34" t="s">
        <v>110</v>
      </c>
      <c r="D44" s="174"/>
    </row>
    <row r="45" spans="1:7">
      <c r="A45" s="171" t="s">
        <v>71</v>
      </c>
      <c r="B45" s="33" t="str">
        <f t="shared" si="0"/>
        <v>-</v>
      </c>
      <c r="C45" s="34" t="s">
        <v>110</v>
      </c>
      <c r="D45" s="174"/>
    </row>
    <row r="46" spans="1:7">
      <c r="A46" s="171" t="s">
        <v>72</v>
      </c>
      <c r="B46" s="33">
        <f t="shared" si="0"/>
        <v>163.60094451003545</v>
      </c>
      <c r="C46" s="34" t="s">
        <v>110</v>
      </c>
      <c r="D46" s="174"/>
    </row>
    <row r="47" spans="1:7">
      <c r="A47" s="171" t="s">
        <v>73</v>
      </c>
      <c r="B47" s="33">
        <f t="shared" si="0"/>
        <v>1219.0909090909092</v>
      </c>
      <c r="C47" s="34" t="s">
        <v>110</v>
      </c>
      <c r="D47" s="174"/>
    </row>
    <row r="48" spans="1:7">
      <c r="A48" s="171" t="s">
        <v>74</v>
      </c>
      <c r="B48" s="33">
        <f t="shared" si="0"/>
        <v>107.30814639905547</v>
      </c>
      <c r="C48" s="33">
        <f>B48*10</f>
        <v>1073.0814639905548</v>
      </c>
      <c r="D48" s="234"/>
    </row>
    <row r="49" spans="1:6">
      <c r="A49" s="171" t="s">
        <v>75</v>
      </c>
      <c r="B49" s="33" t="str">
        <f t="shared" si="0"/>
        <v>-</v>
      </c>
      <c r="C49" s="34" t="s">
        <v>110</v>
      </c>
      <c r="D49" s="234"/>
    </row>
    <row r="50" spans="1:6">
      <c r="A50" s="171" t="s">
        <v>76</v>
      </c>
      <c r="B50" s="33">
        <f t="shared" si="0"/>
        <v>81.899999999999977</v>
      </c>
      <c r="C50" s="33">
        <f>B50*2</f>
        <v>163.79999999999995</v>
      </c>
      <c r="D50" s="234"/>
    </row>
    <row r="51" spans="1:6">
      <c r="A51" s="171" t="s">
        <v>77</v>
      </c>
      <c r="B51" s="33">
        <f t="shared" si="0"/>
        <v>719.09999999999991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6490.8722626015633</v>
      </c>
      <c r="C5" s="17">
        <f>IF(ISERROR('Eigen informatie GS &amp; warmtenet'!B58),0,'Eigen informatie GS &amp; warmtenet'!B58)</f>
        <v>0</v>
      </c>
      <c r="D5" s="30">
        <f>SUM(D6:D12)</f>
        <v>6556.9158854521056</v>
      </c>
      <c r="E5" s="17">
        <f>SUM(E6:E12)</f>
        <v>81.162138855794652</v>
      </c>
      <c r="F5" s="17">
        <f>SUM(F6:F12)</f>
        <v>1233.8214978963706</v>
      </c>
      <c r="G5" s="18"/>
      <c r="H5" s="17"/>
      <c r="I5" s="17"/>
      <c r="J5" s="17">
        <f>SUM(J6:J12)</f>
        <v>3.8693507679280766E-2</v>
      </c>
      <c r="K5" s="17"/>
      <c r="L5" s="17"/>
      <c r="M5" s="17"/>
      <c r="N5" s="17">
        <f>SUM(N6:N12)</f>
        <v>1522.0815555928311</v>
      </c>
      <c r="O5" s="17">
        <f>B38*B39*B40</f>
        <v>3.1266666666666669</v>
      </c>
      <c r="P5" s="17">
        <f>B46*B47*B48/1000-B46*B47*B48/1000/B49</f>
        <v>0</v>
      </c>
      <c r="R5" s="32"/>
    </row>
    <row r="6" spans="1:18">
      <c r="A6" s="32" t="s">
        <v>53</v>
      </c>
      <c r="B6" s="37">
        <f>B26</f>
        <v>1184.9566965304398</v>
      </c>
      <c r="C6" s="33"/>
      <c r="D6" s="37">
        <f>IF(ISERROR(TER_kantoor_gas_kWh/1000),0,TER_kantoor_gas_kWh/1000)*0.902</f>
        <v>2515.0991940240374</v>
      </c>
      <c r="E6" s="33">
        <f>$C$26*'E Balans VL '!I12/100/3.6*1000000</f>
        <v>7.4269144634298272E-3</v>
      </c>
      <c r="F6" s="33">
        <f>$C$26*('E Balans VL '!L12+'E Balans VL '!N12)/100/3.6*1000000</f>
        <v>178.06588064051789</v>
      </c>
      <c r="G6" s="34"/>
      <c r="H6" s="33"/>
      <c r="I6" s="33"/>
      <c r="J6" s="33">
        <f>$C$26*('E Balans VL '!D12+'E Balans VL '!E12)/100/3.6*1000000</f>
        <v>0</v>
      </c>
      <c r="K6" s="33"/>
      <c r="L6" s="33"/>
      <c r="M6" s="33"/>
      <c r="N6" s="33">
        <f>$C$26*'E Balans VL '!Y12/100/3.6*1000000</f>
        <v>1.13323539112025</v>
      </c>
      <c r="O6" s="33"/>
      <c r="P6" s="33"/>
      <c r="R6" s="32"/>
    </row>
    <row r="7" spans="1:18">
      <c r="A7" s="32" t="s">
        <v>52</v>
      </c>
      <c r="B7" s="37">
        <f t="shared" ref="B7:B12" si="0">B27</f>
        <v>678.19169143846398</v>
      </c>
      <c r="C7" s="33"/>
      <c r="D7" s="37">
        <f>IF(ISERROR(TER_horeca_gas_kWh/1000),0,TER_horeca_gas_kWh/1000)*0.902</f>
        <v>737.10480333702299</v>
      </c>
      <c r="E7" s="33">
        <f>$C$27*'E Balans VL '!I9/100/3.6*1000000</f>
        <v>9.711592056227845</v>
      </c>
      <c r="F7" s="33">
        <f>$C$27*('E Balans VL '!L9+'E Balans VL '!N9)/100/3.6*1000000</f>
        <v>85.881435759825195</v>
      </c>
      <c r="G7" s="34"/>
      <c r="H7" s="33"/>
      <c r="I7" s="33"/>
      <c r="J7" s="33">
        <f>$C$27*('E Balans VL '!D9+'E Balans VL '!E9)/100/3.6*1000000</f>
        <v>0</v>
      </c>
      <c r="K7" s="33"/>
      <c r="L7" s="33"/>
      <c r="M7" s="33"/>
      <c r="N7" s="33">
        <f>$C$27*'E Balans VL '!Y9/100/3.6*1000000</f>
        <v>0.19496515844530921</v>
      </c>
      <c r="O7" s="33"/>
      <c r="P7" s="33"/>
      <c r="R7" s="32"/>
    </row>
    <row r="8" spans="1:18">
      <c r="A8" s="6" t="s">
        <v>51</v>
      </c>
      <c r="B8" s="37">
        <f t="shared" si="0"/>
        <v>1404.7406541893702</v>
      </c>
      <c r="C8" s="33"/>
      <c r="D8" s="37">
        <f>IF(ISERROR(TER_handel_gas_kWh/1000),0,TER_handel_gas_kWh/1000)*0.902</f>
        <v>403.20597865192195</v>
      </c>
      <c r="E8" s="33">
        <f>$C$28*'E Balans VL '!I13/100/3.6*1000000</f>
        <v>50.94977030259173</v>
      </c>
      <c r="F8" s="33">
        <f>$C$28*('E Balans VL '!L13+'E Balans VL '!N13)/100/3.6*1000000</f>
        <v>270.56727390032393</v>
      </c>
      <c r="G8" s="34"/>
      <c r="H8" s="33"/>
      <c r="I8" s="33"/>
      <c r="J8" s="33">
        <f>$C$28*('E Balans VL '!D13+'E Balans VL '!E13)/100/3.6*1000000</f>
        <v>0</v>
      </c>
      <c r="K8" s="33"/>
      <c r="L8" s="33"/>
      <c r="M8" s="33"/>
      <c r="N8" s="33">
        <f>$C$28*'E Balans VL '!Y13/100/3.6*1000000</f>
        <v>1.9458890224617869</v>
      </c>
      <c r="O8" s="33"/>
      <c r="P8" s="33"/>
      <c r="R8" s="32"/>
    </row>
    <row r="9" spans="1:18">
      <c r="A9" s="32" t="s">
        <v>50</v>
      </c>
      <c r="B9" s="37">
        <f t="shared" si="0"/>
        <v>122.64364569413</v>
      </c>
      <c r="C9" s="33"/>
      <c r="D9" s="37">
        <f>IF(ISERROR(TER_gezond_gas_kWh/1000),0,TER_gezond_gas_kWh/1000)*0.902</f>
        <v>86.067831098560617</v>
      </c>
      <c r="E9" s="33">
        <f>$C$29*'E Balans VL '!I10/100/3.6*1000000</f>
        <v>7.6787031076943364E-3</v>
      </c>
      <c r="F9" s="33">
        <f>$C$29*('E Balans VL '!L10+'E Balans VL '!N10)/100/3.6*1000000</f>
        <v>18.21908698220205</v>
      </c>
      <c r="G9" s="34"/>
      <c r="H9" s="33"/>
      <c r="I9" s="33"/>
      <c r="J9" s="33">
        <f>$C$29*('E Balans VL '!D10+'E Balans VL '!E10)/100/3.6*1000000</f>
        <v>0</v>
      </c>
      <c r="K9" s="33"/>
      <c r="L9" s="33"/>
      <c r="M9" s="33"/>
      <c r="N9" s="33">
        <f>$C$29*'E Balans VL '!Y10/100/3.6*1000000</f>
        <v>1.8970637456970312</v>
      </c>
      <c r="O9" s="33"/>
      <c r="P9" s="33"/>
      <c r="R9" s="32"/>
    </row>
    <row r="10" spans="1:18">
      <c r="A10" s="32" t="s">
        <v>49</v>
      </c>
      <c r="B10" s="37">
        <f t="shared" si="0"/>
        <v>1631.0731850862999</v>
      </c>
      <c r="C10" s="33"/>
      <c r="D10" s="37">
        <f>IF(ISERROR(TER_ander_gas_kWh/1000),0,TER_ander_gas_kWh/1000)*0.902</f>
        <v>395.08943275364908</v>
      </c>
      <c r="E10" s="33">
        <f>$C$30*'E Balans VL '!I14/100/3.6*1000000</f>
        <v>1.9441809519156197</v>
      </c>
      <c r="F10" s="33">
        <f>$C$30*('E Balans VL '!L14+'E Balans VL '!N14)/100/3.6*1000000</f>
        <v>426.76125703707891</v>
      </c>
      <c r="G10" s="34"/>
      <c r="H10" s="33"/>
      <c r="I10" s="33"/>
      <c r="J10" s="33">
        <f>$C$30*('E Balans VL '!D14+'E Balans VL '!E14)/100/3.6*1000000</f>
        <v>3.5404205217878702E-2</v>
      </c>
      <c r="K10" s="33"/>
      <c r="L10" s="33"/>
      <c r="M10" s="33"/>
      <c r="N10" s="33">
        <f>$C$30*'E Balans VL '!Y14/100/3.6*1000000</f>
        <v>1385.0674369762455</v>
      </c>
      <c r="O10" s="33"/>
      <c r="P10" s="33"/>
      <c r="R10" s="32"/>
    </row>
    <row r="11" spans="1:18">
      <c r="A11" s="32" t="s">
        <v>54</v>
      </c>
      <c r="B11" s="37">
        <f t="shared" si="0"/>
        <v>110.906620457359</v>
      </c>
      <c r="C11" s="33"/>
      <c r="D11" s="37">
        <f>IF(ISERROR(TER_onderwijs_gas_kWh/1000),0,TER_onderwijs_gas_kWh/1000)*0.902</f>
        <v>249.56161178744372</v>
      </c>
      <c r="E11" s="33">
        <f>$C$31*'E Balans VL '!I11/100/3.6*1000000</f>
        <v>1.673402270603229</v>
      </c>
      <c r="F11" s="33">
        <f>$C$31*('E Balans VL '!L11+'E Balans VL '!N11)/100/3.6*1000000</f>
        <v>19.43261169010114</v>
      </c>
      <c r="G11" s="34"/>
      <c r="H11" s="33"/>
      <c r="I11" s="33"/>
      <c r="J11" s="33">
        <f>$C$31*('E Balans VL '!D11+'E Balans VL '!E11)/100/3.6*1000000</f>
        <v>0</v>
      </c>
      <c r="K11" s="33"/>
      <c r="L11" s="33"/>
      <c r="M11" s="33"/>
      <c r="N11" s="33">
        <f>$C$31*'E Balans VL '!Y11/100/3.6*1000000</f>
        <v>0.3120996614093805</v>
      </c>
      <c r="O11" s="33"/>
      <c r="P11" s="33"/>
      <c r="R11" s="32"/>
    </row>
    <row r="12" spans="1:18">
      <c r="A12" s="32" t="s">
        <v>259</v>
      </c>
      <c r="B12" s="37">
        <f t="shared" si="0"/>
        <v>1358.3597692055</v>
      </c>
      <c r="C12" s="33"/>
      <c r="D12" s="37">
        <f>IF(ISERROR(TER_rest_gas_kWh/1000),0,TER_rest_gas_kWh/1000)*0.902</f>
        <v>2170.78703379947</v>
      </c>
      <c r="E12" s="33">
        <f>$C$32*'E Balans VL '!I8/100/3.6*1000000</f>
        <v>16.868087656885113</v>
      </c>
      <c r="F12" s="33">
        <f>$C$32*('E Balans VL '!L8+'E Balans VL '!N8)/100/3.6*1000000</f>
        <v>234.89395188632142</v>
      </c>
      <c r="G12" s="34"/>
      <c r="H12" s="33"/>
      <c r="I12" s="33"/>
      <c r="J12" s="33">
        <f>$C$32*('E Balans VL '!D8+'E Balans VL '!E8)/100/3.6*1000000</f>
        <v>3.2893024614020663E-3</v>
      </c>
      <c r="K12" s="33"/>
      <c r="L12" s="33"/>
      <c r="M12" s="33"/>
      <c r="N12" s="33">
        <f>$C$32*'E Balans VL '!Y8/100/3.6*1000000</f>
        <v>131.53086563745194</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6490.8722626015633</v>
      </c>
      <c r="C16" s="21">
        <f t="shared" ca="1" si="1"/>
        <v>0</v>
      </c>
      <c r="D16" s="21">
        <f t="shared" ca="1" si="1"/>
        <v>6556.9158854521056</v>
      </c>
      <c r="E16" s="21">
        <f t="shared" si="1"/>
        <v>81.162138855794652</v>
      </c>
      <c r="F16" s="21">
        <f t="shared" ca="1" si="1"/>
        <v>1233.8214978963706</v>
      </c>
      <c r="G16" s="21">
        <f t="shared" si="1"/>
        <v>0</v>
      </c>
      <c r="H16" s="21">
        <f t="shared" si="1"/>
        <v>0</v>
      </c>
      <c r="I16" s="21">
        <f t="shared" si="1"/>
        <v>0</v>
      </c>
      <c r="J16" s="21">
        <f t="shared" si="1"/>
        <v>3.8693507679280766E-2</v>
      </c>
      <c r="K16" s="21">
        <f t="shared" si="1"/>
        <v>0</v>
      </c>
      <c r="L16" s="21">
        <f t="shared" ca="1" si="1"/>
        <v>0</v>
      </c>
      <c r="M16" s="21">
        <f t="shared" si="1"/>
        <v>0</v>
      </c>
      <c r="N16" s="21">
        <f t="shared" ca="1" si="1"/>
        <v>1522.0815555928311</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0.20258198010216202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1314.9337555480254</v>
      </c>
      <c r="C20" s="23">
        <f t="shared" ref="C20:P20" ca="1" si="2">C16*C18</f>
        <v>0</v>
      </c>
      <c r="D20" s="23">
        <f t="shared" ca="1" si="2"/>
        <v>1324.4970088613254</v>
      </c>
      <c r="E20" s="23">
        <f t="shared" si="2"/>
        <v>18.423805520265386</v>
      </c>
      <c r="F20" s="23">
        <f t="shared" ca="1" si="2"/>
        <v>329.43033993833097</v>
      </c>
      <c r="G20" s="23">
        <f t="shared" si="2"/>
        <v>0</v>
      </c>
      <c r="H20" s="23">
        <f t="shared" si="2"/>
        <v>0</v>
      </c>
      <c r="I20" s="23">
        <f t="shared" si="2"/>
        <v>0</v>
      </c>
      <c r="J20" s="23">
        <f t="shared" si="2"/>
        <v>1.369750171846539E-2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1184.9566965304398</v>
      </c>
      <c r="C26" s="39">
        <f>IF(ISERROR(B26*3.6/1000000/'E Balans VL '!Z12*100),0,B26*3.6/1000000/'E Balans VL '!Z12*100)</f>
        <v>2.5048107441621451E-2</v>
      </c>
      <c r="D26" s="237" t="s">
        <v>744</v>
      </c>
      <c r="F26" s="6"/>
    </row>
    <row r="27" spans="1:18">
      <c r="A27" s="231" t="s">
        <v>52</v>
      </c>
      <c r="B27" s="33">
        <f>IF(ISERROR(TER_horeca_ele_kWh/1000),0,TER_horeca_ele_kWh/1000)</f>
        <v>678.19169143846398</v>
      </c>
      <c r="C27" s="39">
        <f>IF(ISERROR(B27*3.6/1000000/'E Balans VL '!Z9*100),0,B27*3.6/1000000/'E Balans VL '!Z9*100)</f>
        <v>5.3461598261146083E-2</v>
      </c>
      <c r="D27" s="237" t="s">
        <v>744</v>
      </c>
      <c r="F27" s="6"/>
    </row>
    <row r="28" spans="1:18">
      <c r="A28" s="171" t="s">
        <v>51</v>
      </c>
      <c r="B28" s="33">
        <f>IF(ISERROR(TER_handel_ele_kWh/1000),0,TER_handel_ele_kWh/1000)</f>
        <v>1404.7406541893702</v>
      </c>
      <c r="C28" s="39">
        <f>IF(ISERROR(B28*3.6/1000000/'E Balans VL '!Z13*100),0,B28*3.6/1000000/'E Balans VL '!Z13*100)</f>
        <v>4.0771249572825172E-2</v>
      </c>
      <c r="D28" s="237" t="s">
        <v>744</v>
      </c>
      <c r="F28" s="6"/>
    </row>
    <row r="29" spans="1:18">
      <c r="A29" s="231" t="s">
        <v>50</v>
      </c>
      <c r="B29" s="33">
        <f>IF(ISERROR(TER_gezond_ele_kWh/1000),0,TER_gezond_ele_kWh/1000)</f>
        <v>122.64364569413</v>
      </c>
      <c r="C29" s="39">
        <f>IF(ISERROR(B29*3.6/1000000/'E Balans VL '!Z10*100),0,B29*3.6/1000000/'E Balans VL '!Z10*100)</f>
        <v>1.2916389753412354E-2</v>
      </c>
      <c r="D29" s="237" t="s">
        <v>744</v>
      </c>
      <c r="F29" s="6"/>
    </row>
    <row r="30" spans="1:18">
      <c r="A30" s="231" t="s">
        <v>49</v>
      </c>
      <c r="B30" s="33">
        <f>IF(ISERROR(TER_ander_ele_kWh/1000),0,TER_ander_ele_kWh/1000)</f>
        <v>1631.0731850862999</v>
      </c>
      <c r="C30" s="39">
        <f>IF(ISERROR(B30*3.6/1000000/'E Balans VL '!Z14*100),0,B30*3.6/1000000/'E Balans VL '!Z14*100)</f>
        <v>0.12030831239929904</v>
      </c>
      <c r="D30" s="237" t="s">
        <v>744</v>
      </c>
      <c r="F30" s="6"/>
    </row>
    <row r="31" spans="1:18">
      <c r="A31" s="231" t="s">
        <v>54</v>
      </c>
      <c r="B31" s="33">
        <f>IF(ISERROR(TER_onderwijs_ele_kWh/1000),0,TER_onderwijs_ele_kWh/1000)</f>
        <v>110.906620457359</v>
      </c>
      <c r="C31" s="39">
        <f>IF(ISERROR(B31*3.6/1000000/'E Balans VL '!Z11*100),0,B31*3.6/1000000/'E Balans VL '!Z11*100)</f>
        <v>2.7543309031618845E-2</v>
      </c>
      <c r="D31" s="237" t="s">
        <v>744</v>
      </c>
    </row>
    <row r="32" spans="1:18">
      <c r="A32" s="231" t="s">
        <v>259</v>
      </c>
      <c r="B32" s="33">
        <f>IF(ISERROR(TER_rest_ele_kWh/1000),0,TER_rest_ele_kWh/1000)</f>
        <v>1358.3597692055</v>
      </c>
      <c r="C32" s="39">
        <f>IF(ISERROR(B32*3.6/1000000/'E Balans VL '!Z8*100),0,B32*3.6/1000000/'E Balans VL '!Z8*100)</f>
        <v>1.117749786125135E-2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5406.8504386151344</v>
      </c>
      <c r="C5" s="17">
        <f>IF(ISERROR('Eigen informatie GS &amp; warmtenet'!B59),0,'Eigen informatie GS &amp; warmtenet'!B59)</f>
        <v>0</v>
      </c>
      <c r="D5" s="30">
        <f>SUM(D6:D15)</f>
        <v>2594.7880418372697</v>
      </c>
      <c r="E5" s="17">
        <f>SUM(E6:E15)</f>
        <v>408.65361559306115</v>
      </c>
      <c r="F5" s="17">
        <f>SUM(F6:F15)</f>
        <v>1446.2996116525126</v>
      </c>
      <c r="G5" s="18"/>
      <c r="H5" s="17"/>
      <c r="I5" s="17"/>
      <c r="J5" s="17">
        <f>SUM(J6:J15)</f>
        <v>5.4635997368132125</v>
      </c>
      <c r="K5" s="17"/>
      <c r="L5" s="17"/>
      <c r="M5" s="17"/>
      <c r="N5" s="17">
        <f>SUM(N6:N15)</f>
        <v>345.772173503376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71.472802109080007</v>
      </c>
      <c r="C8" s="33"/>
      <c r="D8" s="37">
        <f>IF( ISERROR(IND_metaal_Gas_kWH/1000),0,IND_metaal_Gas_kWH/1000)*0.902</f>
        <v>0</v>
      </c>
      <c r="E8" s="33">
        <f>C30*'E Balans VL '!I18/100/3.6*1000000</f>
        <v>0.65712338630424516</v>
      </c>
      <c r="F8" s="33">
        <f>C30*'E Balans VL '!L18/100/3.6*1000000+C30*'E Balans VL '!N18/100/3.6*1000000</f>
        <v>6.701769267378463</v>
      </c>
      <c r="G8" s="34"/>
      <c r="H8" s="33"/>
      <c r="I8" s="33"/>
      <c r="J8" s="40">
        <f>C30*'E Balans VL '!D18/100/3.6*1000000+C30*'E Balans VL '!E18/100/3.6*1000000</f>
        <v>0</v>
      </c>
      <c r="K8" s="33"/>
      <c r="L8" s="33"/>
      <c r="M8" s="33"/>
      <c r="N8" s="33">
        <f>C30*'E Balans VL '!Y18/100/3.6*1000000</f>
        <v>1.0196776358654067</v>
      </c>
      <c r="O8" s="33"/>
      <c r="P8" s="33"/>
      <c r="R8" s="32"/>
    </row>
    <row r="9" spans="1:18">
      <c r="A9" s="6" t="s">
        <v>32</v>
      </c>
      <c r="B9" s="37">
        <f t="shared" si="0"/>
        <v>1080.2235754986</v>
      </c>
      <c r="C9" s="33"/>
      <c r="D9" s="37">
        <f>IF( ISERROR(IND_andere_gas_kWh/1000),0,IND_andere_gas_kWh/1000)*0.902</f>
        <v>820.28265730796716</v>
      </c>
      <c r="E9" s="33">
        <f>C31*'E Balans VL '!I19/100/3.6*1000000</f>
        <v>315.77038059084384</v>
      </c>
      <c r="F9" s="33">
        <f>C31*'E Balans VL '!L19/100/3.6*1000000+C31*'E Balans VL '!N19/100/3.6*1000000</f>
        <v>868.04140832470023</v>
      </c>
      <c r="G9" s="34"/>
      <c r="H9" s="33"/>
      <c r="I9" s="33"/>
      <c r="J9" s="40">
        <f>C31*'E Balans VL '!D19/100/3.6*1000000+C31*'E Balans VL '!E19/100/3.6*1000000</f>
        <v>0</v>
      </c>
      <c r="K9" s="33"/>
      <c r="L9" s="33"/>
      <c r="M9" s="33"/>
      <c r="N9" s="33">
        <f>C31*'E Balans VL '!Y19/100/3.6*1000000</f>
        <v>84.731270136077143</v>
      </c>
      <c r="O9" s="33"/>
      <c r="P9" s="33"/>
      <c r="R9" s="32"/>
    </row>
    <row r="10" spans="1:18">
      <c r="A10" s="6" t="s">
        <v>40</v>
      </c>
      <c r="B10" s="37">
        <f t="shared" si="0"/>
        <v>171.78815988575502</v>
      </c>
      <c r="C10" s="33"/>
      <c r="D10" s="37">
        <f>IF( ISERROR(IND_voed_gas_kWh/1000),0,IND_voed_gas_kWh/1000)*0.902</f>
        <v>0</v>
      </c>
      <c r="E10" s="33">
        <f>C32*'E Balans VL '!I20/100/3.6*1000000</f>
        <v>0.36342051584528112</v>
      </c>
      <c r="F10" s="33">
        <f>C32*'E Balans VL '!L20/100/3.6*1000000+C32*'E Balans VL '!N20/100/3.6*1000000</f>
        <v>10.922466681995857</v>
      </c>
      <c r="G10" s="34"/>
      <c r="H10" s="33"/>
      <c r="I10" s="33"/>
      <c r="J10" s="40">
        <f>C32*'E Balans VL '!D20/100/3.6*1000000+C32*'E Balans VL '!E20/100/3.6*1000000</f>
        <v>0</v>
      </c>
      <c r="K10" s="33"/>
      <c r="L10" s="33"/>
      <c r="M10" s="33"/>
      <c r="N10" s="33">
        <f>C32*'E Balans VL '!Y20/100/3.6*1000000</f>
        <v>11.855078279101498</v>
      </c>
      <c r="O10" s="33"/>
      <c r="P10" s="33"/>
      <c r="R10" s="32"/>
    </row>
    <row r="11" spans="1:18">
      <c r="A11" s="6" t="s">
        <v>39</v>
      </c>
      <c r="B11" s="37">
        <f t="shared" si="0"/>
        <v>2557.2126168825998</v>
      </c>
      <c r="C11" s="33"/>
      <c r="D11" s="37">
        <f>IF( ISERROR(IND_textiel_gas_kWh/1000),0,IND_textiel_gas_kWh/1000)*0.902</f>
        <v>1195.8255484170329</v>
      </c>
      <c r="E11" s="33">
        <f>C33*'E Balans VL '!I21/100/3.6*1000000</f>
        <v>7.5947009980292366</v>
      </c>
      <c r="F11" s="33">
        <f>C33*'E Balans VL '!L21/100/3.6*1000000+C33*'E Balans VL '!N21/100/3.6*1000000</f>
        <v>258.34868031853051</v>
      </c>
      <c r="G11" s="34"/>
      <c r="H11" s="33"/>
      <c r="I11" s="33"/>
      <c r="J11" s="40">
        <f>C33*'E Balans VL '!D21/100/3.6*1000000+C33*'E Balans VL '!E21/100/3.6*1000000</f>
        <v>0</v>
      </c>
      <c r="K11" s="33"/>
      <c r="L11" s="33"/>
      <c r="M11" s="33"/>
      <c r="N11" s="33">
        <f>C33*'E Balans VL '!Y21/100/3.6*1000000</f>
        <v>141.03843679243172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1526.1532842391</v>
      </c>
      <c r="C15" s="33"/>
      <c r="D15" s="37">
        <f>IF( ISERROR(IND_rest_gas_kWh/1000),0,IND_rest_gas_kWh/1000)*0.902</f>
        <v>578.67983611226987</v>
      </c>
      <c r="E15" s="33">
        <f>C37*'E Balans VL '!I15/100/3.6*1000000</f>
        <v>84.267990102038539</v>
      </c>
      <c r="F15" s="33">
        <f>C37*'E Balans VL '!L15/100/3.6*1000000+C37*'E Balans VL '!N15/100/3.6*1000000</f>
        <v>302.28528705990749</v>
      </c>
      <c r="G15" s="34"/>
      <c r="H15" s="33"/>
      <c r="I15" s="33"/>
      <c r="J15" s="40">
        <f>C37*'E Balans VL '!D15/100/3.6*1000000+C37*'E Balans VL '!E15/100/3.6*1000000</f>
        <v>5.4635997368132125</v>
      </c>
      <c r="K15" s="33"/>
      <c r="L15" s="33"/>
      <c r="M15" s="33"/>
      <c r="N15" s="33">
        <f>C37*'E Balans VL '!Y15/100/3.6*1000000</f>
        <v>107.12771065990022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5406.8504386151344</v>
      </c>
      <c r="C18" s="21">
        <f>C5+C16</f>
        <v>0</v>
      </c>
      <c r="D18" s="21">
        <f>MAX((D5+D16),0)</f>
        <v>2594.7880418372697</v>
      </c>
      <c r="E18" s="21">
        <f>MAX((E5+E16),0)</f>
        <v>408.65361559306115</v>
      </c>
      <c r="F18" s="21">
        <f>MAX((F5+F16),0)</f>
        <v>1446.2996116525126</v>
      </c>
      <c r="G18" s="21"/>
      <c r="H18" s="21"/>
      <c r="I18" s="21"/>
      <c r="J18" s="21">
        <f>MAX((J5+J16),0)</f>
        <v>5.4635997368132125</v>
      </c>
      <c r="K18" s="21"/>
      <c r="L18" s="21">
        <f>MAX((L5+L16),0)</f>
        <v>0</v>
      </c>
      <c r="M18" s="21"/>
      <c r="N18" s="21">
        <f>MAX((N5+N16),0)</f>
        <v>345.772173503376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0.20258198010216202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1095.3304679708972</v>
      </c>
      <c r="C22" s="23">
        <f ca="1">C18*C20</f>
        <v>0</v>
      </c>
      <c r="D22" s="23">
        <f>D18*D20</f>
        <v>524.14718445112851</v>
      </c>
      <c r="E22" s="23">
        <f>E18*E20</f>
        <v>92.76437073962488</v>
      </c>
      <c r="F22" s="23">
        <f>F18*F20</f>
        <v>386.16199631122089</v>
      </c>
      <c r="G22" s="23"/>
      <c r="H22" s="23"/>
      <c r="I22" s="23"/>
      <c r="J22" s="23">
        <f>J18*J20</f>
        <v>1.9341143068318771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71.472802109080007</v>
      </c>
      <c r="C30" s="39">
        <f>IF(ISERROR(B30*3.6/1000000/'E Balans VL '!Z18*100),0,B30*3.6/1000000/'E Balans VL '!Z18*100)</f>
        <v>4.0505469637728024E-3</v>
      </c>
      <c r="D30" s="237" t="s">
        <v>744</v>
      </c>
    </row>
    <row r="31" spans="1:18">
      <c r="A31" s="6" t="s">
        <v>32</v>
      </c>
      <c r="B31" s="37">
        <f>IF( ISERROR(IND_ander_ele_kWh/1000),0,IND_ander_ele_kWh/1000)</f>
        <v>1080.2235754986</v>
      </c>
      <c r="C31" s="39">
        <f>IF(ISERROR(B31*3.6/1000000/'E Balans VL '!Z19*100),0,B31*3.6/1000000/'E Balans VL '!Z19*100)</f>
        <v>4.8994443411933965E-2</v>
      </c>
      <c r="D31" s="237" t="s">
        <v>744</v>
      </c>
    </row>
    <row r="32" spans="1:18">
      <c r="A32" s="171" t="s">
        <v>40</v>
      </c>
      <c r="B32" s="37">
        <f>IF( ISERROR(IND_voed_ele_kWh/1000),0,IND_voed_ele_kWh/1000)</f>
        <v>171.78815988575502</v>
      </c>
      <c r="C32" s="39">
        <f>IF(ISERROR(B32*3.6/1000000/'E Balans VL '!Z20*100),0,B32*3.6/1000000/'E Balans VL '!Z20*100)</f>
        <v>5.3141876376650611E-3</v>
      </c>
      <c r="D32" s="237" t="s">
        <v>744</v>
      </c>
    </row>
    <row r="33" spans="1:5">
      <c r="A33" s="171" t="s">
        <v>39</v>
      </c>
      <c r="B33" s="37">
        <f>IF( ISERROR(IND_textiel_ele_kWh/1000),0,IND_textiel_ele_kWh/1000)</f>
        <v>2557.2126168825998</v>
      </c>
      <c r="C33" s="39">
        <f>IF(ISERROR(B33*3.6/1000000/'E Balans VL '!Z21*100),0,B33*3.6/1000000/'E Balans VL '!Z21*100)</f>
        <v>0.33343210037585636</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1526.1532842391</v>
      </c>
      <c r="C37" s="39">
        <f>IF(ISERROR(B37*3.6/1000000/'E Balans VL '!Z15*100),0,B37*3.6/1000000/'E Balans VL '!Z15*100)</f>
        <v>1.2096639072082341E-2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659.13473152469612</v>
      </c>
      <c r="C5" s="17">
        <f>'Eigen informatie GS &amp; warmtenet'!B60</f>
        <v>0</v>
      </c>
      <c r="D5" s="30">
        <f>IF(ISERROR(SUM(LB_lb_gas_kWh,LB_rest_gas_kWh)/1000),0,SUM(LB_lb_gas_kWh,LB_rest_gas_kWh)/1000)*0.902</f>
        <v>275.0933330739802</v>
      </c>
      <c r="E5" s="17">
        <f>B17*'E Balans VL '!I25/3.6*1000000/100</f>
        <v>19.373982989350903</v>
      </c>
      <c r="F5" s="17">
        <f>B17*('E Balans VL '!L25/3.6*1000000+'E Balans VL '!N25/3.6*1000000)/100</f>
        <v>2745.9196737604861</v>
      </c>
      <c r="G5" s="18"/>
      <c r="H5" s="17"/>
      <c r="I5" s="17"/>
      <c r="J5" s="17">
        <f>('E Balans VL '!D25+'E Balans VL '!E25)/3.6*1000000*landbouw!B17/100</f>
        <v>95.494467517537359</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659.13473152469612</v>
      </c>
      <c r="C8" s="21">
        <f>C5+C6</f>
        <v>0</v>
      </c>
      <c r="D8" s="21">
        <f>MAX((D5+D6),0)</f>
        <v>275.0933330739802</v>
      </c>
      <c r="E8" s="21">
        <f>MAX((E5+E6),0)</f>
        <v>19.373982989350903</v>
      </c>
      <c r="F8" s="21">
        <f>MAX((F5+F6),0)</f>
        <v>2745.9196737604861</v>
      </c>
      <c r="G8" s="21"/>
      <c r="H8" s="21"/>
      <c r="I8" s="21"/>
      <c r="J8" s="21">
        <f>MAX((J5+J6),0)</f>
        <v>95.494467517537359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0.20258198010216202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133.5288190663799</v>
      </c>
      <c r="C12" s="23">
        <f ca="1">C8*C10</f>
        <v>0</v>
      </c>
      <c r="D12" s="23">
        <f>D8*D10</f>
        <v>55.568853280944005</v>
      </c>
      <c r="E12" s="23">
        <f>E8*E10</f>
        <v>4.3978941385826555</v>
      </c>
      <c r="F12" s="23">
        <f>F8*F10</f>
        <v>733.16055289404983</v>
      </c>
      <c r="G12" s="23"/>
      <c r="H12" s="23"/>
      <c r="I12" s="23"/>
      <c r="J12" s="23">
        <f>J8*J10</f>
        <v>33.805041501208223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9.3533286375507813E-2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109.42514061797712</v>
      </c>
      <c r="C26" s="247">
        <f>B26*'GWP N2O_CH4'!B5</f>
        <v>2297.9279529775195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33.834329925491623</v>
      </c>
      <c r="C27" s="247">
        <f>B27*'GWP N2O_CH4'!B5</f>
        <v>710.52092843532409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1.3635548123054173</v>
      </c>
      <c r="C28" s="247">
        <f>B28*'GWP N2O_CH4'!B4</f>
        <v>422.70199181467939</v>
      </c>
      <c r="D28" s="50"/>
    </row>
    <row r="29" spans="1:4">
      <c r="A29" s="41" t="s">
        <v>276</v>
      </c>
      <c r="B29" s="247">
        <f>B34*'ha_N2O bodem landbouw'!B4</f>
        <v>7.2963582173759889</v>
      </c>
      <c r="C29" s="247">
        <f>B29*'GWP N2O_CH4'!B4</f>
        <v>2261.8710473865567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1.665003800836184E-3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5.5611982061988297E-5</v>
      </c>
      <c r="C5" s="437" t="s">
        <v>210</v>
      </c>
      <c r="D5" s="422">
        <f>SUM(D6:D11)</f>
        <v>1.6660743598217743E-4</v>
      </c>
      <c r="E5" s="422">
        <f>SUM(E6:E11)</f>
        <v>2.7993073014906725E-4</v>
      </c>
      <c r="F5" s="435" t="s">
        <v>210</v>
      </c>
      <c r="G5" s="422">
        <f>SUM(G6:G11)</f>
        <v>0.11775980013157603</v>
      </c>
      <c r="H5" s="422">
        <f>SUM(H6:H11)</f>
        <v>2.8044452670277709E-2</v>
      </c>
      <c r="I5" s="437" t="s">
        <v>210</v>
      </c>
      <c r="J5" s="437" t="s">
        <v>210</v>
      </c>
      <c r="K5" s="437" t="s">
        <v>210</v>
      </c>
      <c r="L5" s="437" t="s">
        <v>210</v>
      </c>
      <c r="M5" s="422">
        <f>SUM(M6:M11)</f>
        <v>7.7058097660507932E-3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3.8782443657699597E-5</v>
      </c>
      <c r="C6" s="423"/>
      <c r="D6" s="865">
        <f>vkm_GW_PW*SUMIFS(TableVerdeelsleutelVkm[CNG],TableVerdeelsleutelVkm[Voertuigtype],"Lichte voertuigen")*SUMIFS(TableECFTransport[EnergieConsumptieFactor (PJ per km)],TableECFTransport[Index],CONCATENATE($A6,"_CNG_CNG"))</f>
        <v>9.6112364833853196E-5</v>
      </c>
      <c r="E6" s="865">
        <f>vkm_GW_PW*SUMIFS(TableVerdeelsleutelVkm[LPG],TableVerdeelsleutelVkm[Voertuigtype],"Lichte voertuigen")*SUMIFS(TableECFTransport[EnergieConsumptieFactor (PJ per km)],TableECFTransport[Index],CONCATENATE($A6,"_LPG_LPG"))</f>
        <v>1.6500092983434423E-4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5.0558681037835271E-2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1.6329892287008669E-2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3.4346795317040661E-3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2.8659511804034064E-2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4.7942150152050914E-7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1.6744479123356078E-3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1.68295384042887E-5</v>
      </c>
      <c r="C8" s="423"/>
      <c r="D8" s="425">
        <f>vkm_NGW_PW*SUMIFS(TableVerdeelsleutelVkm[CNG],TableVerdeelsleutelVkm[Voertuigtype],"Lichte voertuigen")*SUMIFS(TableECFTransport[EnergieConsumptieFactor (PJ per km)],TableECFTransport[Index],CONCATENATE($A8,"_CNG_CNG"))</f>
        <v>7.049507114832422E-5</v>
      </c>
      <c r="E8" s="425">
        <f>vkm_NGW_PW*SUMIFS(TableVerdeelsleutelVkm[LPG],TableVerdeelsleutelVkm[Voertuigtype],"Lichte voertuigen")*SUMIFS(TableECFTransport[EnergieConsumptieFactor (PJ per km)],TableECFTransport[Index],CONCATENATE($A8,"_LPG_LPG"))</f>
        <v>1.1492980031472303E-4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3.3125496192813159E-2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1.1713969352281263E-2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2.2802424012110228E-3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5.4161110968935396E-3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1.1160948625983383E-7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3.164399208000971E-4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15.447772794996748</v>
      </c>
      <c r="C14" s="21"/>
      <c r="D14" s="21">
        <f t="shared" ref="D14:M14" si="0">((D5)*10^9/3600)+D12</f>
        <v>46.279843328382626</v>
      </c>
      <c r="E14" s="21">
        <f t="shared" si="0"/>
        <v>77.758536152518673</v>
      </c>
      <c r="F14" s="21"/>
      <c r="G14" s="21">
        <f t="shared" si="0"/>
        <v>32711.055592104454</v>
      </c>
      <c r="H14" s="21">
        <f t="shared" si="0"/>
        <v>7790.1257417438082</v>
      </c>
      <c r="I14" s="21"/>
      <c r="J14" s="21"/>
      <c r="K14" s="21"/>
      <c r="L14" s="21"/>
      <c r="M14" s="21">
        <f t="shared" si="0"/>
        <v>2140.502712791887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0.20258198010216202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3.1294404009787509</v>
      </c>
      <c r="C18" s="23"/>
      <c r="D18" s="23">
        <f t="shared" ref="D18:M18" si="1">D14*D16</f>
        <v>9.3485283523332914</v>
      </c>
      <c r="E18" s="23">
        <f t="shared" si="1"/>
        <v>17.651187706621741</v>
      </c>
      <c r="F18" s="23"/>
      <c r="G18" s="23">
        <f t="shared" si="1"/>
        <v>8733.8518430918903</v>
      </c>
      <c r="H18" s="23">
        <f t="shared" si="1"/>
        <v>1939.7413096942082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1.6613405782395195E-3</v>
      </c>
      <c r="H50" s="319">
        <f t="shared" si="2"/>
        <v>0</v>
      </c>
      <c r="I50" s="319">
        <f t="shared" si="2"/>
        <v>0</v>
      </c>
      <c r="J50" s="319">
        <f t="shared" si="2"/>
        <v>0</v>
      </c>
      <c r="K50" s="319">
        <f t="shared" si="2"/>
        <v>0</v>
      </c>
      <c r="L50" s="319">
        <f t="shared" si="2"/>
        <v>0</v>
      </c>
      <c r="M50" s="319">
        <f t="shared" si="2"/>
        <v>9.4349683096278653E-5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1.6613405782395195E-3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9.4349683096278653E-5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461.48349395542209</v>
      </c>
      <c r="H54" s="21">
        <f t="shared" si="3"/>
        <v>0</v>
      </c>
      <c r="I54" s="21">
        <f t="shared" si="3"/>
        <v>0</v>
      </c>
      <c r="J54" s="21">
        <f t="shared" si="3"/>
        <v>0</v>
      </c>
      <c r="K54" s="21">
        <f t="shared" si="3"/>
        <v>0</v>
      </c>
      <c r="L54" s="21">
        <f t="shared" si="3"/>
        <v>0</v>
      </c>
      <c r="M54" s="21">
        <f t="shared" si="3"/>
        <v>26.208245304521846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0.20258198010216202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123.21609288609771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7287.839262601563</v>
      </c>
      <c r="D10" s="979">
        <f ca="1">tertiair!C16</f>
        <v>0</v>
      </c>
      <c r="E10" s="979">
        <f ca="1">tertiair!D16</f>
        <v>6556.9158854521056</v>
      </c>
      <c r="F10" s="979">
        <f>tertiair!E16</f>
        <v>81.162138855794652</v>
      </c>
      <c r="G10" s="979">
        <f ca="1">tertiair!F16</f>
        <v>1233.8214978963706</v>
      </c>
      <c r="H10" s="979">
        <f>tertiair!G16</f>
        <v>0</v>
      </c>
      <c r="I10" s="979">
        <f>tertiair!H16</f>
        <v>0</v>
      </c>
      <c r="J10" s="979">
        <f>tertiair!I16</f>
        <v>0</v>
      </c>
      <c r="K10" s="979">
        <f>tertiair!J16</f>
        <v>3.8693507679280766E-2</v>
      </c>
      <c r="L10" s="979">
        <f>tertiair!K16</f>
        <v>0</v>
      </c>
      <c r="M10" s="979">
        <f ca="1">tertiair!L16</f>
        <v>0</v>
      </c>
      <c r="N10" s="979">
        <f>tertiair!M16</f>
        <v>0</v>
      </c>
      <c r="O10" s="979">
        <f ca="1">tertiair!N16</f>
        <v>1522.0815555928311</v>
      </c>
      <c r="P10" s="979">
        <f>tertiair!O16</f>
        <v>3.1266666666666669</v>
      </c>
      <c r="Q10" s="980">
        <f>tertiair!P16</f>
        <v>0</v>
      </c>
      <c r="R10" s="674">
        <f ca="1">SUM(C10:Q10)</f>
        <v>16684.985700573008</v>
      </c>
      <c r="S10" s="67"/>
    </row>
    <row r="11" spans="1:19" s="447" customFormat="1">
      <c r="A11" s="783" t="s">
        <v>224</v>
      </c>
      <c r="B11" s="788"/>
      <c r="C11" s="979">
        <f>huishoudens!B8</f>
        <v>24179.412078682726</v>
      </c>
      <c r="D11" s="979">
        <f>huishoudens!C8</f>
        <v>0</v>
      </c>
      <c r="E11" s="979">
        <f>huishoudens!D8</f>
        <v>39137.648882381152</v>
      </c>
      <c r="F11" s="979">
        <f>huishoudens!E8</f>
        <v>8650.6599417070011</v>
      </c>
      <c r="G11" s="979">
        <f>huishoudens!F8</f>
        <v>15000.089126208457</v>
      </c>
      <c r="H11" s="979">
        <f>huishoudens!G8</f>
        <v>0</v>
      </c>
      <c r="I11" s="979">
        <f>huishoudens!H8</f>
        <v>0</v>
      </c>
      <c r="J11" s="979">
        <f>huishoudens!I8</f>
        <v>0</v>
      </c>
      <c r="K11" s="979">
        <f>huishoudens!J8</f>
        <v>1109.162770490801</v>
      </c>
      <c r="L11" s="979">
        <f>huishoudens!K8</f>
        <v>0</v>
      </c>
      <c r="M11" s="979">
        <f>huishoudens!L8</f>
        <v>0</v>
      </c>
      <c r="N11" s="979">
        <f>huishoudens!M8</f>
        <v>0</v>
      </c>
      <c r="O11" s="979">
        <f>huishoudens!N8</f>
        <v>7820.4602750992017</v>
      </c>
      <c r="P11" s="979">
        <f>huishoudens!O8</f>
        <v>167.27666666666667</v>
      </c>
      <c r="Q11" s="980">
        <f>huishoudens!P8</f>
        <v>648.26666666666665</v>
      </c>
      <c r="R11" s="674">
        <f>SUM(C11:Q11)</f>
        <v>96712.976407902679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5406.8504386151344</v>
      </c>
      <c r="D13" s="979">
        <f>industrie!C18</f>
        <v>0</v>
      </c>
      <c r="E13" s="979">
        <f>industrie!D18</f>
        <v>2594.7880418372697</v>
      </c>
      <c r="F13" s="979">
        <f>industrie!E18</f>
        <v>408.65361559306115</v>
      </c>
      <c r="G13" s="979">
        <f>industrie!F18</f>
        <v>1446.2996116525126</v>
      </c>
      <c r="H13" s="979">
        <f>industrie!G18</f>
        <v>0</v>
      </c>
      <c r="I13" s="979">
        <f>industrie!H18</f>
        <v>0</v>
      </c>
      <c r="J13" s="979">
        <f>industrie!I18</f>
        <v>0</v>
      </c>
      <c r="K13" s="979">
        <f>industrie!J18</f>
        <v>5.4635997368132125</v>
      </c>
      <c r="L13" s="979">
        <f>industrie!K18</f>
        <v>0</v>
      </c>
      <c r="M13" s="979">
        <f>industrie!L18</f>
        <v>0</v>
      </c>
      <c r="N13" s="979">
        <f>industrie!M18</f>
        <v>0</v>
      </c>
      <c r="O13" s="979">
        <f>industrie!N18</f>
        <v>345.772173503376</v>
      </c>
      <c r="P13" s="979">
        <f>industrie!O18</f>
        <v>0</v>
      </c>
      <c r="Q13" s="980">
        <f>industrie!P18</f>
        <v>0</v>
      </c>
      <c r="R13" s="674">
        <f>SUM(C13:Q13)</f>
        <v>10207.827480938166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36874.101779899422</v>
      </c>
      <c r="D16" s="706">
        <f t="shared" ref="D16:R16" ca="1" si="0">SUM(D9:D15)</f>
        <v>0</v>
      </c>
      <c r="E16" s="706">
        <f t="shared" ca="1" si="0"/>
        <v>48289.352809670527</v>
      </c>
      <c r="F16" s="706">
        <f t="shared" si="0"/>
        <v>9140.475696155856</v>
      </c>
      <c r="G16" s="706">
        <f t="shared" ca="1" si="0"/>
        <v>17680.210235757342</v>
      </c>
      <c r="H16" s="706">
        <f t="shared" si="0"/>
        <v>0</v>
      </c>
      <c r="I16" s="706">
        <f t="shared" si="0"/>
        <v>0</v>
      </c>
      <c r="J16" s="706">
        <f t="shared" si="0"/>
        <v>0</v>
      </c>
      <c r="K16" s="706">
        <f t="shared" si="0"/>
        <v>1114.6650637352934</v>
      </c>
      <c r="L16" s="706">
        <f t="shared" si="0"/>
        <v>0</v>
      </c>
      <c r="M16" s="706">
        <f t="shared" ca="1" si="0"/>
        <v>0</v>
      </c>
      <c r="N16" s="706">
        <f t="shared" si="0"/>
        <v>0</v>
      </c>
      <c r="O16" s="706">
        <f t="shared" ca="1" si="0"/>
        <v>9688.3140041954084</v>
      </c>
      <c r="P16" s="706">
        <f t="shared" si="0"/>
        <v>170.40333333333334</v>
      </c>
      <c r="Q16" s="706">
        <f t="shared" si="0"/>
        <v>648.26666666666665</v>
      </c>
      <c r="R16" s="706">
        <f t="shared" ca="1" si="0"/>
        <v>123605.78958941385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461.48349395542209</v>
      </c>
      <c r="I19" s="979">
        <f>transport!H54</f>
        <v>0</v>
      </c>
      <c r="J19" s="979">
        <f>transport!I54</f>
        <v>0</v>
      </c>
      <c r="K19" s="979">
        <f>transport!J54</f>
        <v>0</v>
      </c>
      <c r="L19" s="979">
        <f>transport!K54</f>
        <v>0</v>
      </c>
      <c r="M19" s="979">
        <f>transport!L54</f>
        <v>0</v>
      </c>
      <c r="N19" s="979">
        <f>transport!M54</f>
        <v>26.208245304521846</v>
      </c>
      <c r="O19" s="979">
        <f>transport!N54</f>
        <v>0</v>
      </c>
      <c r="P19" s="979">
        <f>transport!O54</f>
        <v>0</v>
      </c>
      <c r="Q19" s="980">
        <f>transport!P54</f>
        <v>0</v>
      </c>
      <c r="R19" s="674">
        <f>SUM(C19:Q19)</f>
        <v>487.69173925994392</v>
      </c>
      <c r="S19" s="67"/>
    </row>
    <row r="20" spans="1:19" s="447" customFormat="1">
      <c r="A20" s="783" t="s">
        <v>306</v>
      </c>
      <c r="B20" s="788"/>
      <c r="C20" s="979">
        <f>transport!B14</f>
        <v>15.447772794996748</v>
      </c>
      <c r="D20" s="979">
        <f>transport!C14</f>
        <v>0</v>
      </c>
      <c r="E20" s="979">
        <f>transport!D14</f>
        <v>46.279843328382626</v>
      </c>
      <c r="F20" s="979">
        <f>transport!E14</f>
        <v>77.758536152518673</v>
      </c>
      <c r="G20" s="979">
        <f>transport!F14</f>
        <v>0</v>
      </c>
      <c r="H20" s="979">
        <f>transport!G14</f>
        <v>32711.055592104454</v>
      </c>
      <c r="I20" s="979">
        <f>transport!H14</f>
        <v>7790.1257417438082</v>
      </c>
      <c r="J20" s="979">
        <f>transport!I14</f>
        <v>0</v>
      </c>
      <c r="K20" s="979">
        <f>transport!J14</f>
        <v>0</v>
      </c>
      <c r="L20" s="979">
        <f>transport!K14</f>
        <v>0</v>
      </c>
      <c r="M20" s="979">
        <f>transport!L14</f>
        <v>0</v>
      </c>
      <c r="N20" s="979">
        <f>transport!M14</f>
        <v>2140.502712791887</v>
      </c>
      <c r="O20" s="979">
        <f>transport!N14</f>
        <v>0</v>
      </c>
      <c r="P20" s="979">
        <f>transport!O14</f>
        <v>0</v>
      </c>
      <c r="Q20" s="980">
        <f>transport!P14</f>
        <v>0</v>
      </c>
      <c r="R20" s="674">
        <f>SUM(C20:Q20)</f>
        <v>42781.17019891605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15.447772794996748</v>
      </c>
      <c r="D22" s="786">
        <f t="shared" ref="D22:R22" si="1">SUM(D18:D21)</f>
        <v>0</v>
      </c>
      <c r="E22" s="786">
        <f t="shared" si="1"/>
        <v>46.279843328382626</v>
      </c>
      <c r="F22" s="786">
        <f t="shared" si="1"/>
        <v>77.758536152518673</v>
      </c>
      <c r="G22" s="786">
        <f t="shared" si="1"/>
        <v>0</v>
      </c>
      <c r="H22" s="786">
        <f t="shared" si="1"/>
        <v>33172.539086059878</v>
      </c>
      <c r="I22" s="786">
        <f t="shared" si="1"/>
        <v>7790.1257417438082</v>
      </c>
      <c r="J22" s="786">
        <f t="shared" si="1"/>
        <v>0</v>
      </c>
      <c r="K22" s="786">
        <f t="shared" si="1"/>
        <v>0</v>
      </c>
      <c r="L22" s="786">
        <f t="shared" si="1"/>
        <v>0</v>
      </c>
      <c r="M22" s="786">
        <f t="shared" si="1"/>
        <v>0</v>
      </c>
      <c r="N22" s="786">
        <f t="shared" si="1"/>
        <v>2166.7109580964088</v>
      </c>
      <c r="O22" s="786">
        <f t="shared" si="1"/>
        <v>0</v>
      </c>
      <c r="P22" s="786">
        <f t="shared" si="1"/>
        <v>0</v>
      </c>
      <c r="Q22" s="786">
        <f t="shared" si="1"/>
        <v>0</v>
      </c>
      <c r="R22" s="786">
        <f t="shared" si="1"/>
        <v>43268.861938175993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659.13473152469612</v>
      </c>
      <c r="D24" s="979">
        <f>+landbouw!C8</f>
        <v>0</v>
      </c>
      <c r="E24" s="979">
        <f>+landbouw!D8</f>
        <v>275.0933330739802</v>
      </c>
      <c r="F24" s="979">
        <f>+landbouw!E8</f>
        <v>19.373982989350903</v>
      </c>
      <c r="G24" s="979">
        <f>+landbouw!F8</f>
        <v>2745.9196737604861</v>
      </c>
      <c r="H24" s="979">
        <f>+landbouw!G8</f>
        <v>0</v>
      </c>
      <c r="I24" s="979">
        <f>+landbouw!H8</f>
        <v>0</v>
      </c>
      <c r="J24" s="979">
        <f>+landbouw!I8</f>
        <v>0</v>
      </c>
      <c r="K24" s="979">
        <f>+landbouw!J8</f>
        <v>95.494467517537359</v>
      </c>
      <c r="L24" s="979">
        <f>+landbouw!K8</f>
        <v>0</v>
      </c>
      <c r="M24" s="979">
        <f>+landbouw!L8</f>
        <v>0</v>
      </c>
      <c r="N24" s="979">
        <f>+landbouw!M8</f>
        <v>0</v>
      </c>
      <c r="O24" s="979">
        <f>+landbouw!N8</f>
        <v>0</v>
      </c>
      <c r="P24" s="979">
        <f>+landbouw!O8</f>
        <v>0</v>
      </c>
      <c r="Q24" s="980">
        <f>+landbouw!P8</f>
        <v>0</v>
      </c>
      <c r="R24" s="674">
        <f>SUM(C24:Q24)</f>
        <v>3795.0161888660509</v>
      </c>
      <c r="S24" s="67"/>
    </row>
    <row r="25" spans="1:19" s="447" customFormat="1" ht="15" thickBot="1">
      <c r="A25" s="805" t="s">
        <v>823</v>
      </c>
      <c r="B25" s="982"/>
      <c r="C25" s="983">
        <f>IF(Onbekend_ele_kWh="---",0,Onbekend_ele_kWh)/1000+IF(REST_rest_ele_kWh="---",0,REST_rest_ele_kWh)/1000</f>
        <v>917.16725043435702</v>
      </c>
      <c r="D25" s="983"/>
      <c r="E25" s="983">
        <f>IF(onbekend_gas_kWh="---",0,onbekend_gas_kWh)/1000+IF(REST_rest_gas_kWh="---",0,REST_rest_gas_kWh)/1000</f>
        <v>753.36344511511902</v>
      </c>
      <c r="F25" s="983"/>
      <c r="G25" s="983"/>
      <c r="H25" s="983"/>
      <c r="I25" s="983"/>
      <c r="J25" s="983"/>
      <c r="K25" s="983"/>
      <c r="L25" s="983"/>
      <c r="M25" s="983"/>
      <c r="N25" s="983"/>
      <c r="O25" s="983"/>
      <c r="P25" s="983"/>
      <c r="Q25" s="984"/>
      <c r="R25" s="674">
        <f>SUM(C25:Q25)</f>
        <v>1670.5306955494761</v>
      </c>
      <c r="S25" s="67"/>
    </row>
    <row r="26" spans="1:19" s="447" customFormat="1" ht="15.75" thickBot="1">
      <c r="A26" s="679" t="s">
        <v>824</v>
      </c>
      <c r="B26" s="791"/>
      <c r="C26" s="786">
        <f>SUM(C24:C25)</f>
        <v>1576.3019819590531</v>
      </c>
      <c r="D26" s="786">
        <f t="shared" ref="D26:R26" si="2">SUM(D24:D25)</f>
        <v>0</v>
      </c>
      <c r="E26" s="786">
        <f t="shared" si="2"/>
        <v>1028.4567781890992</v>
      </c>
      <c r="F26" s="786">
        <f t="shared" si="2"/>
        <v>19.373982989350903</v>
      </c>
      <c r="G26" s="786">
        <f t="shared" si="2"/>
        <v>2745.9196737604861</v>
      </c>
      <c r="H26" s="786">
        <f t="shared" si="2"/>
        <v>0</v>
      </c>
      <c r="I26" s="786">
        <f t="shared" si="2"/>
        <v>0</v>
      </c>
      <c r="J26" s="786">
        <f t="shared" si="2"/>
        <v>0</v>
      </c>
      <c r="K26" s="786">
        <f t="shared" si="2"/>
        <v>95.494467517537359</v>
      </c>
      <c r="L26" s="786">
        <f t="shared" si="2"/>
        <v>0</v>
      </c>
      <c r="M26" s="786">
        <f t="shared" si="2"/>
        <v>0</v>
      </c>
      <c r="N26" s="786">
        <f t="shared" si="2"/>
        <v>0</v>
      </c>
      <c r="O26" s="786">
        <f t="shared" si="2"/>
        <v>0</v>
      </c>
      <c r="P26" s="786">
        <f t="shared" si="2"/>
        <v>0</v>
      </c>
      <c r="Q26" s="786">
        <f t="shared" si="2"/>
        <v>0</v>
      </c>
      <c r="R26" s="786">
        <f t="shared" si="2"/>
        <v>5465.5468844155275</v>
      </c>
      <c r="S26" s="67"/>
    </row>
    <row r="27" spans="1:19" s="447" customFormat="1" ht="17.25" thickTop="1" thickBot="1">
      <c r="A27" s="680" t="s">
        <v>115</v>
      </c>
      <c r="B27" s="779"/>
      <c r="C27" s="681">
        <f ca="1">C22+C16+C26</f>
        <v>38465.851534653477</v>
      </c>
      <c r="D27" s="681">
        <f t="shared" ref="D27:R27" ca="1" si="3">D22+D16+D26</f>
        <v>0</v>
      </c>
      <c r="E27" s="681">
        <f t="shared" ca="1" si="3"/>
        <v>49364.089431188011</v>
      </c>
      <c r="F27" s="681">
        <f t="shared" si="3"/>
        <v>9237.6082152977251</v>
      </c>
      <c r="G27" s="681">
        <f t="shared" ca="1" si="3"/>
        <v>20426.129909517829</v>
      </c>
      <c r="H27" s="681">
        <f t="shared" si="3"/>
        <v>33172.539086059878</v>
      </c>
      <c r="I27" s="681">
        <f t="shared" si="3"/>
        <v>7790.1257417438082</v>
      </c>
      <c r="J27" s="681">
        <f t="shared" si="3"/>
        <v>0</v>
      </c>
      <c r="K27" s="681">
        <f t="shared" si="3"/>
        <v>1210.1595312528307</v>
      </c>
      <c r="L27" s="681">
        <f t="shared" si="3"/>
        <v>0</v>
      </c>
      <c r="M27" s="681">
        <f t="shared" ca="1" si="3"/>
        <v>0</v>
      </c>
      <c r="N27" s="681">
        <f t="shared" si="3"/>
        <v>2166.7109580964088</v>
      </c>
      <c r="O27" s="681">
        <f t="shared" ca="1" si="3"/>
        <v>9688.3140041954084</v>
      </c>
      <c r="P27" s="681">
        <f t="shared" si="3"/>
        <v>170.40333333333334</v>
      </c>
      <c r="Q27" s="681">
        <f t="shared" si="3"/>
        <v>648.26666666666665</v>
      </c>
      <c r="R27" s="681">
        <f t="shared" ca="1" si="3"/>
        <v>172340.19841200535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1476.3849084841052</v>
      </c>
      <c r="D40" s="979">
        <f ca="1">tertiair!C20</f>
        <v>0</v>
      </c>
      <c r="E40" s="979">
        <f ca="1">tertiair!D20</f>
        <v>1324.4970088613254</v>
      </c>
      <c r="F40" s="979">
        <f>tertiair!E20</f>
        <v>18.423805520265386</v>
      </c>
      <c r="G40" s="979">
        <f ca="1">tertiair!F20</f>
        <v>329.43033993833097</v>
      </c>
      <c r="H40" s="979">
        <f>tertiair!G20</f>
        <v>0</v>
      </c>
      <c r="I40" s="979">
        <f>tertiair!H20</f>
        <v>0</v>
      </c>
      <c r="J40" s="979">
        <f>tertiair!I20</f>
        <v>0</v>
      </c>
      <c r="K40" s="979">
        <f>tertiair!J20</f>
        <v>1.369750171846539E-2</v>
      </c>
      <c r="L40" s="979">
        <f>tertiair!K20</f>
        <v>0</v>
      </c>
      <c r="M40" s="979">
        <f ca="1">tertiair!L20</f>
        <v>0</v>
      </c>
      <c r="N40" s="979">
        <f>tertiair!M20</f>
        <v>0</v>
      </c>
      <c r="O40" s="979">
        <f ca="1">tertiair!N20</f>
        <v>0</v>
      </c>
      <c r="P40" s="979">
        <f>tertiair!O20</f>
        <v>0</v>
      </c>
      <c r="Q40" s="748">
        <f>tertiair!P20</f>
        <v>0</v>
      </c>
      <c r="R40" s="824">
        <f t="shared" ca="1" si="4"/>
        <v>3148.7497603057454</v>
      </c>
    </row>
    <row r="41" spans="1:18">
      <c r="A41" s="796" t="s">
        <v>224</v>
      </c>
      <c r="B41" s="803"/>
      <c r="C41" s="979">
        <f ca="1">huishoudens!B12</f>
        <v>4898.3131766056804</v>
      </c>
      <c r="D41" s="979">
        <f ca="1">huishoudens!C12</f>
        <v>0</v>
      </c>
      <c r="E41" s="979">
        <f>huishoudens!D12</f>
        <v>7905.8050742409932</v>
      </c>
      <c r="F41" s="979">
        <f>huishoudens!E12</f>
        <v>1963.6998067674892</v>
      </c>
      <c r="G41" s="979">
        <f>huishoudens!F12</f>
        <v>4005.0237966976583</v>
      </c>
      <c r="H41" s="979">
        <f>huishoudens!G12</f>
        <v>0</v>
      </c>
      <c r="I41" s="979">
        <f>huishoudens!H12</f>
        <v>0</v>
      </c>
      <c r="J41" s="979">
        <f>huishoudens!I12</f>
        <v>0</v>
      </c>
      <c r="K41" s="979">
        <f>huishoudens!J12</f>
        <v>392.64362075374351</v>
      </c>
      <c r="L41" s="979">
        <f>huishoudens!K12</f>
        <v>0</v>
      </c>
      <c r="M41" s="979">
        <f>huishoudens!L12</f>
        <v>0</v>
      </c>
      <c r="N41" s="979">
        <f>huishoudens!M12</f>
        <v>0</v>
      </c>
      <c r="O41" s="979">
        <f>huishoudens!N12</f>
        <v>0</v>
      </c>
      <c r="P41" s="979">
        <f>huishoudens!O12</f>
        <v>0</v>
      </c>
      <c r="Q41" s="748">
        <f>huishoudens!P12</f>
        <v>0</v>
      </c>
      <c r="R41" s="824">
        <f t="shared" ca="1" si="4"/>
        <v>19165.485475065565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1095.3304679708972</v>
      </c>
      <c r="D43" s="979">
        <f ca="1">industrie!C22</f>
        <v>0</v>
      </c>
      <c r="E43" s="979">
        <f>industrie!D22</f>
        <v>524.14718445112851</v>
      </c>
      <c r="F43" s="979">
        <f>industrie!E22</f>
        <v>92.76437073962488</v>
      </c>
      <c r="G43" s="979">
        <f>industrie!F22</f>
        <v>386.16199631122089</v>
      </c>
      <c r="H43" s="979">
        <f>industrie!G22</f>
        <v>0</v>
      </c>
      <c r="I43" s="979">
        <f>industrie!H22</f>
        <v>0</v>
      </c>
      <c r="J43" s="979">
        <f>industrie!I22</f>
        <v>0</v>
      </c>
      <c r="K43" s="979">
        <f>industrie!J22</f>
        <v>1.9341143068318771</v>
      </c>
      <c r="L43" s="979">
        <f>industrie!K22</f>
        <v>0</v>
      </c>
      <c r="M43" s="979">
        <f>industrie!L22</f>
        <v>0</v>
      </c>
      <c r="N43" s="979">
        <f>industrie!M22</f>
        <v>0</v>
      </c>
      <c r="O43" s="979">
        <f>industrie!N22</f>
        <v>0</v>
      </c>
      <c r="P43" s="979">
        <f>industrie!O22</f>
        <v>0</v>
      </c>
      <c r="Q43" s="748">
        <f>industrie!P22</f>
        <v>0</v>
      </c>
      <c r="R43" s="823">
        <f t="shared" ca="1" si="4"/>
        <v>2100.3381337797032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7470.0285530606825</v>
      </c>
      <c r="D46" s="706">
        <f t="shared" ref="D46:Q46" ca="1" si="5">SUM(D39:D45)</f>
        <v>0</v>
      </c>
      <c r="E46" s="706">
        <f t="shared" ca="1" si="5"/>
        <v>9754.4492675534475</v>
      </c>
      <c r="F46" s="706">
        <f t="shared" si="5"/>
        <v>2074.8879830273795</v>
      </c>
      <c r="G46" s="706">
        <f t="shared" ca="1" si="5"/>
        <v>4720.6161329472097</v>
      </c>
      <c r="H46" s="706">
        <f t="shared" si="5"/>
        <v>0</v>
      </c>
      <c r="I46" s="706">
        <f t="shared" si="5"/>
        <v>0</v>
      </c>
      <c r="J46" s="706">
        <f t="shared" si="5"/>
        <v>0</v>
      </c>
      <c r="K46" s="706">
        <f t="shared" si="5"/>
        <v>394.59143256229385</v>
      </c>
      <c r="L46" s="706">
        <f t="shared" si="5"/>
        <v>0</v>
      </c>
      <c r="M46" s="706">
        <f t="shared" ca="1" si="5"/>
        <v>0</v>
      </c>
      <c r="N46" s="706">
        <f t="shared" si="5"/>
        <v>0</v>
      </c>
      <c r="O46" s="706">
        <f t="shared" ca="1" si="5"/>
        <v>0</v>
      </c>
      <c r="P46" s="706">
        <f t="shared" si="5"/>
        <v>0</v>
      </c>
      <c r="Q46" s="706">
        <f t="shared" si="5"/>
        <v>0</v>
      </c>
      <c r="R46" s="706">
        <f ca="1">SUM(R39:R45)</f>
        <v>24414.573369151014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123.21609288609771</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123.21609288609771</v>
      </c>
    </row>
    <row r="50" spans="1:18">
      <c r="A50" s="799" t="s">
        <v>306</v>
      </c>
      <c r="B50" s="809"/>
      <c r="C50" s="677">
        <f ca="1">transport!B18</f>
        <v>3.1294404009787509</v>
      </c>
      <c r="D50" s="677">
        <f>transport!C18</f>
        <v>0</v>
      </c>
      <c r="E50" s="677">
        <f>transport!D18</f>
        <v>9.3485283523332914</v>
      </c>
      <c r="F50" s="677">
        <f>transport!E18</f>
        <v>17.651187706621741</v>
      </c>
      <c r="G50" s="677">
        <f>transport!F18</f>
        <v>0</v>
      </c>
      <c r="H50" s="677">
        <f>transport!G18</f>
        <v>8733.8518430918903</v>
      </c>
      <c r="I50" s="677">
        <f>transport!H18</f>
        <v>1939.7413096942082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10703.722309246034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3.1294404009787509</v>
      </c>
      <c r="D52" s="706">
        <f t="shared" ref="D52:Q52" ca="1" si="6">SUM(D48:D51)</f>
        <v>0</v>
      </c>
      <c r="E52" s="706">
        <f t="shared" si="6"/>
        <v>9.3485283523332914</v>
      </c>
      <c r="F52" s="706">
        <f t="shared" si="6"/>
        <v>17.651187706621741</v>
      </c>
      <c r="G52" s="706">
        <f t="shared" si="6"/>
        <v>0</v>
      </c>
      <c r="H52" s="706">
        <f t="shared" si="6"/>
        <v>8857.0679359779879</v>
      </c>
      <c r="I52" s="706">
        <f t="shared" si="6"/>
        <v>1939.7413096942082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10826.938402132131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133.5288190663799</v>
      </c>
      <c r="D54" s="677">
        <f ca="1">+landbouw!C12</f>
        <v>0</v>
      </c>
      <c r="E54" s="677">
        <f>+landbouw!D12</f>
        <v>55.568853280944005</v>
      </c>
      <c r="F54" s="677">
        <f>+landbouw!E12</f>
        <v>4.3978941385826555</v>
      </c>
      <c r="G54" s="677">
        <f>+landbouw!F12</f>
        <v>733.16055289404983</v>
      </c>
      <c r="H54" s="677">
        <f>+landbouw!G12</f>
        <v>0</v>
      </c>
      <c r="I54" s="677">
        <f>+landbouw!H12</f>
        <v>0</v>
      </c>
      <c r="J54" s="677">
        <f>+landbouw!I12</f>
        <v>0</v>
      </c>
      <c r="K54" s="677">
        <f>+landbouw!J12</f>
        <v>33.805041501208223</v>
      </c>
      <c r="L54" s="677">
        <f>+landbouw!K12</f>
        <v>0</v>
      </c>
      <c r="M54" s="677">
        <f>+landbouw!L12</f>
        <v>0</v>
      </c>
      <c r="N54" s="677">
        <f>+landbouw!M12</f>
        <v>0</v>
      </c>
      <c r="O54" s="677">
        <f>+landbouw!N12</f>
        <v>0</v>
      </c>
      <c r="P54" s="677">
        <f>+landbouw!O12</f>
        <v>0</v>
      </c>
      <c r="Q54" s="678">
        <f>+landbouw!P12</f>
        <v>0</v>
      </c>
      <c r="R54" s="705">
        <f ca="1">SUM(C54:Q54)</f>
        <v>960.46116088116469</v>
      </c>
    </row>
    <row r="55" spans="1:18" ht="15" thickBot="1">
      <c r="A55" s="799" t="s">
        <v>823</v>
      </c>
      <c r="B55" s="809"/>
      <c r="C55" s="677">
        <f ca="1">C25*'EF ele_warmte'!B12</f>
        <v>185.80155767784757</v>
      </c>
      <c r="D55" s="677"/>
      <c r="E55" s="677">
        <f>E25*EF_CO2_aardgas</f>
        <v>152.17941591325405</v>
      </c>
      <c r="F55" s="677"/>
      <c r="G55" s="677"/>
      <c r="H55" s="677"/>
      <c r="I55" s="677"/>
      <c r="J55" s="677"/>
      <c r="K55" s="677"/>
      <c r="L55" s="677"/>
      <c r="M55" s="677"/>
      <c r="N55" s="677"/>
      <c r="O55" s="677"/>
      <c r="P55" s="677"/>
      <c r="Q55" s="678"/>
      <c r="R55" s="705">
        <f ca="1">SUM(C55:Q55)</f>
        <v>337.98097359110159</v>
      </c>
    </row>
    <row r="56" spans="1:18" ht="15.75" thickBot="1">
      <c r="A56" s="797" t="s">
        <v>824</v>
      </c>
      <c r="B56" s="810"/>
      <c r="C56" s="706">
        <f ca="1">SUM(C54:C55)</f>
        <v>319.33037674422746</v>
      </c>
      <c r="D56" s="706">
        <f t="shared" ref="D56:Q56" ca="1" si="7">SUM(D54:D55)</f>
        <v>0</v>
      </c>
      <c r="E56" s="706">
        <f t="shared" si="7"/>
        <v>207.74826919419806</v>
      </c>
      <c r="F56" s="706">
        <f t="shared" si="7"/>
        <v>4.3978941385826555</v>
      </c>
      <c r="G56" s="706">
        <f t="shared" si="7"/>
        <v>733.16055289404983</v>
      </c>
      <c r="H56" s="706">
        <f t="shared" si="7"/>
        <v>0</v>
      </c>
      <c r="I56" s="706">
        <f t="shared" si="7"/>
        <v>0</v>
      </c>
      <c r="J56" s="706">
        <f t="shared" si="7"/>
        <v>0</v>
      </c>
      <c r="K56" s="706">
        <f t="shared" si="7"/>
        <v>33.805041501208223</v>
      </c>
      <c r="L56" s="706">
        <f t="shared" si="7"/>
        <v>0</v>
      </c>
      <c r="M56" s="706">
        <f t="shared" si="7"/>
        <v>0</v>
      </c>
      <c r="N56" s="706">
        <f t="shared" si="7"/>
        <v>0</v>
      </c>
      <c r="O56" s="706">
        <f t="shared" si="7"/>
        <v>0</v>
      </c>
      <c r="P56" s="706">
        <f t="shared" si="7"/>
        <v>0</v>
      </c>
      <c r="Q56" s="707">
        <f t="shared" si="7"/>
        <v>0</v>
      </c>
      <c r="R56" s="708">
        <f ca="1">SUM(R54:R55)</f>
        <v>1298.4421344722664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7792.4883702058887</v>
      </c>
      <c r="D61" s="714">
        <f t="shared" ref="D61:Q61" ca="1" si="8">D46+D52+D56</f>
        <v>0</v>
      </c>
      <c r="E61" s="714">
        <f t="shared" ca="1" si="8"/>
        <v>9971.5460650999794</v>
      </c>
      <c r="F61" s="714">
        <f t="shared" si="8"/>
        <v>2096.937064872584</v>
      </c>
      <c r="G61" s="714">
        <f t="shared" ca="1" si="8"/>
        <v>5453.7766858412597</v>
      </c>
      <c r="H61" s="714">
        <f t="shared" si="8"/>
        <v>8857.0679359779879</v>
      </c>
      <c r="I61" s="714">
        <f t="shared" si="8"/>
        <v>1939.7413096942082</v>
      </c>
      <c r="J61" s="714">
        <f t="shared" si="8"/>
        <v>0</v>
      </c>
      <c r="K61" s="714">
        <f t="shared" si="8"/>
        <v>428.39647406350207</v>
      </c>
      <c r="L61" s="714">
        <f t="shared" si="8"/>
        <v>0</v>
      </c>
      <c r="M61" s="714">
        <f t="shared" ca="1" si="8"/>
        <v>0</v>
      </c>
      <c r="N61" s="714">
        <f t="shared" si="8"/>
        <v>0</v>
      </c>
      <c r="O61" s="714">
        <f t="shared" ca="1" si="8"/>
        <v>0</v>
      </c>
      <c r="P61" s="714">
        <f t="shared" si="8"/>
        <v>0</v>
      </c>
      <c r="Q61" s="714">
        <f t="shared" si="8"/>
        <v>0</v>
      </c>
      <c r="R61" s="714">
        <f ca="1">R46+R52+R56</f>
        <v>36539.953905755407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0.20258198010216202</v>
      </c>
      <c r="D63" s="755">
        <f t="shared" ca="1" si="9"/>
        <v>0</v>
      </c>
      <c r="E63" s="990">
        <f t="shared" ca="1" si="9"/>
        <v>0.20200000000000001</v>
      </c>
      <c r="F63" s="755">
        <f t="shared" si="9"/>
        <v>0.22700000000000004</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3205.7231626811258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3205.7231626811258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3205.7231626811258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3205.7231626811258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24179.412078682726</v>
      </c>
      <c r="C4" s="451">
        <f>huishoudens!C8</f>
        <v>0</v>
      </c>
      <c r="D4" s="451">
        <f>huishoudens!D8</f>
        <v>39137.648882381152</v>
      </c>
      <c r="E4" s="451">
        <f>huishoudens!E8</f>
        <v>8650.6599417070011</v>
      </c>
      <c r="F4" s="451">
        <f>huishoudens!F8</f>
        <v>15000.089126208457</v>
      </c>
      <c r="G4" s="451">
        <f>huishoudens!G8</f>
        <v>0</v>
      </c>
      <c r="H4" s="451">
        <f>huishoudens!H8</f>
        <v>0</v>
      </c>
      <c r="I4" s="451">
        <f>huishoudens!I8</f>
        <v>0</v>
      </c>
      <c r="J4" s="451">
        <f>huishoudens!J8</f>
        <v>1109.162770490801</v>
      </c>
      <c r="K4" s="451">
        <f>huishoudens!K8</f>
        <v>0</v>
      </c>
      <c r="L4" s="451">
        <f>huishoudens!L8</f>
        <v>0</v>
      </c>
      <c r="M4" s="451">
        <f>huishoudens!M8</f>
        <v>0</v>
      </c>
      <c r="N4" s="451">
        <f>huishoudens!N8</f>
        <v>7820.4602750992017</v>
      </c>
      <c r="O4" s="451">
        <f>huishoudens!O8</f>
        <v>167.27666666666667</v>
      </c>
      <c r="P4" s="452">
        <f>huishoudens!P8</f>
        <v>648.26666666666665</v>
      </c>
      <c r="Q4" s="453">
        <f>SUM(B4:P4)</f>
        <v>96712.976407902679</v>
      </c>
    </row>
    <row r="5" spans="1:17">
      <c r="A5" s="450" t="s">
        <v>155</v>
      </c>
      <c r="B5" s="451">
        <f ca="1">tertiair!B16</f>
        <v>6490.8722626015633</v>
      </c>
      <c r="C5" s="451">
        <f ca="1">tertiair!C16</f>
        <v>0</v>
      </c>
      <c r="D5" s="451">
        <f ca="1">tertiair!D16</f>
        <v>6556.9158854521056</v>
      </c>
      <c r="E5" s="451">
        <f>tertiair!E16</f>
        <v>81.162138855794652</v>
      </c>
      <c r="F5" s="451">
        <f ca="1">tertiair!F16</f>
        <v>1233.8214978963706</v>
      </c>
      <c r="G5" s="451">
        <f>tertiair!G16</f>
        <v>0</v>
      </c>
      <c r="H5" s="451">
        <f>tertiair!H16</f>
        <v>0</v>
      </c>
      <c r="I5" s="451">
        <f>tertiair!I16</f>
        <v>0</v>
      </c>
      <c r="J5" s="451">
        <f>tertiair!J16</f>
        <v>3.8693507679280766E-2</v>
      </c>
      <c r="K5" s="451">
        <f>tertiair!K16</f>
        <v>0</v>
      </c>
      <c r="L5" s="451">
        <f ca="1">tertiair!L16</f>
        <v>0</v>
      </c>
      <c r="M5" s="451">
        <f>tertiair!M16</f>
        <v>0</v>
      </c>
      <c r="N5" s="451">
        <f ca="1">tertiair!N16</f>
        <v>1522.0815555928311</v>
      </c>
      <c r="O5" s="451">
        <f>tertiair!O16</f>
        <v>3.1266666666666669</v>
      </c>
      <c r="P5" s="452">
        <f>tertiair!P16</f>
        <v>0</v>
      </c>
      <c r="Q5" s="450">
        <f t="shared" ref="Q5:Q14" ca="1" si="0">SUM(B5:P5)</f>
        <v>15888.018700573011</v>
      </c>
    </row>
    <row r="6" spans="1:17">
      <c r="A6" s="450" t="s">
        <v>193</v>
      </c>
      <c r="B6" s="451">
        <f>'openbare verlichting'!B8</f>
        <v>796.96699999999998</v>
      </c>
      <c r="C6" s="451"/>
      <c r="D6" s="451"/>
      <c r="E6" s="451"/>
      <c r="F6" s="451"/>
      <c r="G6" s="451"/>
      <c r="H6" s="451"/>
      <c r="I6" s="451"/>
      <c r="J6" s="451"/>
      <c r="K6" s="451"/>
      <c r="L6" s="451"/>
      <c r="M6" s="451"/>
      <c r="N6" s="451"/>
      <c r="O6" s="451"/>
      <c r="P6" s="452"/>
      <c r="Q6" s="450">
        <f t="shared" si="0"/>
        <v>796.96699999999998</v>
      </c>
    </row>
    <row r="7" spans="1:17">
      <c r="A7" s="450" t="s">
        <v>111</v>
      </c>
      <c r="B7" s="451">
        <f>landbouw!B8</f>
        <v>659.13473152469612</v>
      </c>
      <c r="C7" s="451">
        <f>landbouw!C8</f>
        <v>0</v>
      </c>
      <c r="D7" s="451">
        <f>landbouw!D8</f>
        <v>275.0933330739802</v>
      </c>
      <c r="E7" s="451">
        <f>landbouw!E8</f>
        <v>19.373982989350903</v>
      </c>
      <c r="F7" s="451">
        <f>landbouw!F8</f>
        <v>2745.9196737604861</v>
      </c>
      <c r="G7" s="451">
        <f>landbouw!G8</f>
        <v>0</v>
      </c>
      <c r="H7" s="451">
        <f>landbouw!H8</f>
        <v>0</v>
      </c>
      <c r="I7" s="451">
        <f>landbouw!I8</f>
        <v>0</v>
      </c>
      <c r="J7" s="451">
        <f>landbouw!J8</f>
        <v>95.494467517537359</v>
      </c>
      <c r="K7" s="451">
        <f>landbouw!K8</f>
        <v>0</v>
      </c>
      <c r="L7" s="451">
        <f>landbouw!L8</f>
        <v>0</v>
      </c>
      <c r="M7" s="451">
        <f>landbouw!M8</f>
        <v>0</v>
      </c>
      <c r="N7" s="451">
        <f>landbouw!N8</f>
        <v>0</v>
      </c>
      <c r="O7" s="451">
        <f>landbouw!O8</f>
        <v>0</v>
      </c>
      <c r="P7" s="452">
        <f>landbouw!P8</f>
        <v>0</v>
      </c>
      <c r="Q7" s="450">
        <f t="shared" si="0"/>
        <v>3795.0161888660509</v>
      </c>
    </row>
    <row r="8" spans="1:17">
      <c r="A8" s="450" t="s">
        <v>634</v>
      </c>
      <c r="B8" s="451">
        <f>industrie!B18</f>
        <v>5406.8504386151344</v>
      </c>
      <c r="C8" s="451">
        <f>industrie!C18</f>
        <v>0</v>
      </c>
      <c r="D8" s="451">
        <f>industrie!D18</f>
        <v>2594.7880418372697</v>
      </c>
      <c r="E8" s="451">
        <f>industrie!E18</f>
        <v>408.65361559306115</v>
      </c>
      <c r="F8" s="451">
        <f>industrie!F18</f>
        <v>1446.2996116525126</v>
      </c>
      <c r="G8" s="451">
        <f>industrie!G18</f>
        <v>0</v>
      </c>
      <c r="H8" s="451">
        <f>industrie!H18</f>
        <v>0</v>
      </c>
      <c r="I8" s="451">
        <f>industrie!I18</f>
        <v>0</v>
      </c>
      <c r="J8" s="451">
        <f>industrie!J18</f>
        <v>5.4635997368132125</v>
      </c>
      <c r="K8" s="451">
        <f>industrie!K18</f>
        <v>0</v>
      </c>
      <c r="L8" s="451">
        <f>industrie!L18</f>
        <v>0</v>
      </c>
      <c r="M8" s="451">
        <f>industrie!M18</f>
        <v>0</v>
      </c>
      <c r="N8" s="451">
        <f>industrie!N18</f>
        <v>345.772173503376</v>
      </c>
      <c r="O8" s="451">
        <f>industrie!O18</f>
        <v>0</v>
      </c>
      <c r="P8" s="452">
        <f>industrie!P18</f>
        <v>0</v>
      </c>
      <c r="Q8" s="450">
        <f t="shared" si="0"/>
        <v>10207.827480938166</v>
      </c>
    </row>
    <row r="9" spans="1:17" s="456" customFormat="1">
      <c r="A9" s="454" t="s">
        <v>560</v>
      </c>
      <c r="B9" s="455">
        <f>transport!B14</f>
        <v>15.447772794996748</v>
      </c>
      <c r="C9" s="455">
        <f>transport!C14</f>
        <v>0</v>
      </c>
      <c r="D9" s="455">
        <f>transport!D14</f>
        <v>46.279843328382626</v>
      </c>
      <c r="E9" s="455">
        <f>transport!E14</f>
        <v>77.758536152518673</v>
      </c>
      <c r="F9" s="455">
        <f>transport!F14</f>
        <v>0</v>
      </c>
      <c r="G9" s="455">
        <f>transport!G14</f>
        <v>32711.055592104454</v>
      </c>
      <c r="H9" s="455">
        <f>transport!H14</f>
        <v>7790.1257417438082</v>
      </c>
      <c r="I9" s="455">
        <f>transport!I14</f>
        <v>0</v>
      </c>
      <c r="J9" s="455">
        <f>transport!J14</f>
        <v>0</v>
      </c>
      <c r="K9" s="455">
        <f>transport!K14</f>
        <v>0</v>
      </c>
      <c r="L9" s="455">
        <f>transport!L14</f>
        <v>0</v>
      </c>
      <c r="M9" s="455">
        <f>transport!M14</f>
        <v>2140.502712791887</v>
      </c>
      <c r="N9" s="455">
        <f>transport!N14</f>
        <v>0</v>
      </c>
      <c r="O9" s="455">
        <f>transport!O14</f>
        <v>0</v>
      </c>
      <c r="P9" s="455">
        <f>transport!P14</f>
        <v>0</v>
      </c>
      <c r="Q9" s="454">
        <f>SUM(B9:P9)</f>
        <v>42781.17019891605</v>
      </c>
    </row>
    <row r="10" spans="1:17">
      <c r="A10" s="450" t="s">
        <v>550</v>
      </c>
      <c r="B10" s="451">
        <f>transport!B54</f>
        <v>0</v>
      </c>
      <c r="C10" s="451">
        <f>transport!C54</f>
        <v>0</v>
      </c>
      <c r="D10" s="451">
        <f>transport!D54</f>
        <v>0</v>
      </c>
      <c r="E10" s="451">
        <f>transport!E54</f>
        <v>0</v>
      </c>
      <c r="F10" s="451">
        <f>transport!F54</f>
        <v>0</v>
      </c>
      <c r="G10" s="451">
        <f>transport!G54</f>
        <v>461.48349395542209</v>
      </c>
      <c r="H10" s="451">
        <f>transport!H54</f>
        <v>0</v>
      </c>
      <c r="I10" s="451">
        <f>transport!I54</f>
        <v>0</v>
      </c>
      <c r="J10" s="451">
        <f>transport!J54</f>
        <v>0</v>
      </c>
      <c r="K10" s="451">
        <f>transport!K54</f>
        <v>0</v>
      </c>
      <c r="L10" s="451">
        <f>transport!L54</f>
        <v>0</v>
      </c>
      <c r="M10" s="451">
        <f>transport!M54</f>
        <v>26.208245304521846</v>
      </c>
      <c r="N10" s="451">
        <f>transport!N54</f>
        <v>0</v>
      </c>
      <c r="O10" s="451">
        <f>transport!O54</f>
        <v>0</v>
      </c>
      <c r="P10" s="452">
        <f>transport!P54</f>
        <v>0</v>
      </c>
      <c r="Q10" s="450">
        <f t="shared" si="0"/>
        <v>487.69173925994392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917.16725043435702</v>
      </c>
      <c r="C14" s="458"/>
      <c r="D14" s="458">
        <f>'SEAP template'!E25</f>
        <v>753.36344511511902</v>
      </c>
      <c r="E14" s="458"/>
      <c r="F14" s="458"/>
      <c r="G14" s="458"/>
      <c r="H14" s="458"/>
      <c r="I14" s="458"/>
      <c r="J14" s="458"/>
      <c r="K14" s="458"/>
      <c r="L14" s="458"/>
      <c r="M14" s="458"/>
      <c r="N14" s="458"/>
      <c r="O14" s="458"/>
      <c r="P14" s="459"/>
      <c r="Q14" s="450">
        <f t="shared" si="0"/>
        <v>1670.5306955494761</v>
      </c>
    </row>
    <row r="15" spans="1:17" s="460" customFormat="1">
      <c r="A15" s="1005" t="s">
        <v>554</v>
      </c>
      <c r="B15" s="953">
        <f ca="1">SUM(B4:B14)</f>
        <v>38465.851534653477</v>
      </c>
      <c r="C15" s="953">
        <f t="shared" ref="C15:Q15" ca="1" si="1">SUM(C4:C14)</f>
        <v>0</v>
      </c>
      <c r="D15" s="953">
        <f t="shared" ca="1" si="1"/>
        <v>49364.089431188004</v>
      </c>
      <c r="E15" s="953">
        <f t="shared" si="1"/>
        <v>9237.6082152977251</v>
      </c>
      <c r="F15" s="953">
        <f t="shared" ca="1" si="1"/>
        <v>20426.129909517829</v>
      </c>
      <c r="G15" s="953">
        <f t="shared" si="1"/>
        <v>33172.539086059878</v>
      </c>
      <c r="H15" s="953">
        <f t="shared" si="1"/>
        <v>7790.1257417438082</v>
      </c>
      <c r="I15" s="953">
        <f t="shared" si="1"/>
        <v>0</v>
      </c>
      <c r="J15" s="953">
        <f t="shared" si="1"/>
        <v>1210.1595312528307</v>
      </c>
      <c r="K15" s="953">
        <f t="shared" si="1"/>
        <v>0</v>
      </c>
      <c r="L15" s="953">
        <f t="shared" ca="1" si="1"/>
        <v>0</v>
      </c>
      <c r="M15" s="953">
        <f t="shared" si="1"/>
        <v>2166.7109580964088</v>
      </c>
      <c r="N15" s="953">
        <f t="shared" ca="1" si="1"/>
        <v>9688.3140041954084</v>
      </c>
      <c r="O15" s="953">
        <f t="shared" si="1"/>
        <v>170.40333333333334</v>
      </c>
      <c r="P15" s="953">
        <f t="shared" si="1"/>
        <v>648.26666666666665</v>
      </c>
      <c r="Q15" s="953">
        <f t="shared" ca="1" si="1"/>
        <v>172340.19841200538</v>
      </c>
    </row>
    <row r="17" spans="1:17">
      <c r="A17" s="461" t="s">
        <v>555</v>
      </c>
      <c r="B17" s="760">
        <f ca="1">huishoudens!B10</f>
        <v>0.20258198010216202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4898.3131766056804</v>
      </c>
      <c r="C22" s="451">
        <f t="shared" ref="C22:C32" ca="1" si="3">C4*$C$17</f>
        <v>0</v>
      </c>
      <c r="D22" s="451">
        <f t="shared" ref="D22:D32" si="4">D4*$D$17</f>
        <v>7905.8050742409932</v>
      </c>
      <c r="E22" s="451">
        <f t="shared" ref="E22:E32" si="5">E4*$E$17</f>
        <v>1963.6998067674892</v>
      </c>
      <c r="F22" s="451">
        <f t="shared" ref="F22:F32" si="6">F4*$F$17</f>
        <v>4005.0237966976583</v>
      </c>
      <c r="G22" s="451">
        <f t="shared" ref="G22:G32" si="7">G4*$G$17</f>
        <v>0</v>
      </c>
      <c r="H22" s="451">
        <f t="shared" ref="H22:H32" si="8">H4*$H$17</f>
        <v>0</v>
      </c>
      <c r="I22" s="451">
        <f t="shared" ref="I22:I32" si="9">I4*$I$17</f>
        <v>0</v>
      </c>
      <c r="J22" s="451">
        <f t="shared" ref="J22:J32" si="10">J4*$J$17</f>
        <v>392.64362075374351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19165.485475065565</v>
      </c>
    </row>
    <row r="23" spans="1:17">
      <c r="A23" s="450" t="s">
        <v>155</v>
      </c>
      <c r="B23" s="451">
        <f t="shared" ca="1" si="2"/>
        <v>1314.9337555480254</v>
      </c>
      <c r="C23" s="451">
        <f t="shared" ca="1" si="3"/>
        <v>0</v>
      </c>
      <c r="D23" s="451">
        <f t="shared" ca="1" si="4"/>
        <v>1324.4970088613254</v>
      </c>
      <c r="E23" s="451">
        <f t="shared" si="5"/>
        <v>18.423805520265386</v>
      </c>
      <c r="F23" s="451">
        <f t="shared" ca="1" si="6"/>
        <v>329.43033993833097</v>
      </c>
      <c r="G23" s="451">
        <f t="shared" si="7"/>
        <v>0</v>
      </c>
      <c r="H23" s="451">
        <f t="shared" si="8"/>
        <v>0</v>
      </c>
      <c r="I23" s="451">
        <f t="shared" si="9"/>
        <v>0</v>
      </c>
      <c r="J23" s="451">
        <f t="shared" si="10"/>
        <v>1.369750171846539E-2</v>
      </c>
      <c r="K23" s="451">
        <f t="shared" si="11"/>
        <v>0</v>
      </c>
      <c r="L23" s="451">
        <f t="shared" ca="1" si="12"/>
        <v>0</v>
      </c>
      <c r="M23" s="451">
        <f t="shared" si="13"/>
        <v>0</v>
      </c>
      <c r="N23" s="451">
        <f t="shared" ca="1" si="14"/>
        <v>0</v>
      </c>
      <c r="O23" s="451">
        <f t="shared" si="15"/>
        <v>0</v>
      </c>
      <c r="P23" s="452">
        <f t="shared" si="16"/>
        <v>0</v>
      </c>
      <c r="Q23" s="450">
        <f t="shared" ref="Q23:Q32" ca="1" si="17">SUM(B23:P23)</f>
        <v>2987.2986073696657</v>
      </c>
    </row>
    <row r="24" spans="1:17">
      <c r="A24" s="450" t="s">
        <v>193</v>
      </c>
      <c r="B24" s="451">
        <f t="shared" ca="1" si="2"/>
        <v>161.45115293607975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161.45115293607975</v>
      </c>
    </row>
    <row r="25" spans="1:17">
      <c r="A25" s="450" t="s">
        <v>111</v>
      </c>
      <c r="B25" s="451">
        <f t="shared" ca="1" si="2"/>
        <v>133.5288190663799</v>
      </c>
      <c r="C25" s="451">
        <f t="shared" ca="1" si="3"/>
        <v>0</v>
      </c>
      <c r="D25" s="451">
        <f t="shared" si="4"/>
        <v>55.568853280944005</v>
      </c>
      <c r="E25" s="451">
        <f t="shared" si="5"/>
        <v>4.3978941385826555</v>
      </c>
      <c r="F25" s="451">
        <f t="shared" si="6"/>
        <v>733.16055289404983</v>
      </c>
      <c r="G25" s="451">
        <f t="shared" si="7"/>
        <v>0</v>
      </c>
      <c r="H25" s="451">
        <f t="shared" si="8"/>
        <v>0</v>
      </c>
      <c r="I25" s="451">
        <f t="shared" si="9"/>
        <v>0</v>
      </c>
      <c r="J25" s="451">
        <f t="shared" si="10"/>
        <v>33.805041501208223</v>
      </c>
      <c r="K25" s="451">
        <f t="shared" si="11"/>
        <v>0</v>
      </c>
      <c r="L25" s="451">
        <f t="shared" si="12"/>
        <v>0</v>
      </c>
      <c r="M25" s="451">
        <f t="shared" si="13"/>
        <v>0</v>
      </c>
      <c r="N25" s="451">
        <f t="shared" si="14"/>
        <v>0</v>
      </c>
      <c r="O25" s="451">
        <f t="shared" si="15"/>
        <v>0</v>
      </c>
      <c r="P25" s="452">
        <f t="shared" si="16"/>
        <v>0</v>
      </c>
      <c r="Q25" s="450">
        <f t="shared" ca="1" si="17"/>
        <v>960.46116088116469</v>
      </c>
    </row>
    <row r="26" spans="1:17">
      <c r="A26" s="450" t="s">
        <v>634</v>
      </c>
      <c r="B26" s="451">
        <f t="shared" ca="1" si="2"/>
        <v>1095.3304679708972</v>
      </c>
      <c r="C26" s="451">
        <f t="shared" ca="1" si="3"/>
        <v>0</v>
      </c>
      <c r="D26" s="451">
        <f t="shared" si="4"/>
        <v>524.14718445112851</v>
      </c>
      <c r="E26" s="451">
        <f t="shared" si="5"/>
        <v>92.76437073962488</v>
      </c>
      <c r="F26" s="451">
        <f t="shared" si="6"/>
        <v>386.16199631122089</v>
      </c>
      <c r="G26" s="451">
        <f t="shared" si="7"/>
        <v>0</v>
      </c>
      <c r="H26" s="451">
        <f t="shared" si="8"/>
        <v>0</v>
      </c>
      <c r="I26" s="451">
        <f t="shared" si="9"/>
        <v>0</v>
      </c>
      <c r="J26" s="451">
        <f t="shared" si="10"/>
        <v>1.9341143068318771</v>
      </c>
      <c r="K26" s="451">
        <f t="shared" si="11"/>
        <v>0</v>
      </c>
      <c r="L26" s="451">
        <f t="shared" si="12"/>
        <v>0</v>
      </c>
      <c r="M26" s="451">
        <f t="shared" si="13"/>
        <v>0</v>
      </c>
      <c r="N26" s="451">
        <f t="shared" si="14"/>
        <v>0</v>
      </c>
      <c r="O26" s="451">
        <f t="shared" si="15"/>
        <v>0</v>
      </c>
      <c r="P26" s="452">
        <f t="shared" si="16"/>
        <v>0</v>
      </c>
      <c r="Q26" s="450">
        <f t="shared" ca="1" si="17"/>
        <v>2100.3381337797032</v>
      </c>
    </row>
    <row r="27" spans="1:17" s="456" customFormat="1">
      <c r="A27" s="454" t="s">
        <v>560</v>
      </c>
      <c r="B27" s="754">
        <f t="shared" ca="1" si="2"/>
        <v>3.1294404009787509</v>
      </c>
      <c r="C27" s="455">
        <f t="shared" ca="1" si="3"/>
        <v>0</v>
      </c>
      <c r="D27" s="455">
        <f t="shared" si="4"/>
        <v>9.3485283523332914</v>
      </c>
      <c r="E27" s="455">
        <f t="shared" si="5"/>
        <v>17.651187706621741</v>
      </c>
      <c r="F27" s="455">
        <f t="shared" si="6"/>
        <v>0</v>
      </c>
      <c r="G27" s="455">
        <f t="shared" si="7"/>
        <v>8733.8518430918903</v>
      </c>
      <c r="H27" s="455">
        <f t="shared" si="8"/>
        <v>1939.7413096942082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10703.722309246034</v>
      </c>
    </row>
    <row r="28" spans="1:17">
      <c r="A28" s="450" t="s">
        <v>550</v>
      </c>
      <c r="B28" s="451">
        <f t="shared" ca="1" si="2"/>
        <v>0</v>
      </c>
      <c r="C28" s="451">
        <f t="shared" ca="1" si="3"/>
        <v>0</v>
      </c>
      <c r="D28" s="451">
        <f t="shared" si="4"/>
        <v>0</v>
      </c>
      <c r="E28" s="451">
        <f t="shared" si="5"/>
        <v>0</v>
      </c>
      <c r="F28" s="451">
        <f t="shared" si="6"/>
        <v>0</v>
      </c>
      <c r="G28" s="451">
        <f t="shared" si="7"/>
        <v>123.21609288609771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123.21609288609771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185.80155767784757</v>
      </c>
      <c r="C32" s="451">
        <f t="shared" ca="1" si="3"/>
        <v>0</v>
      </c>
      <c r="D32" s="451">
        <f t="shared" si="4"/>
        <v>152.17941591325405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337.98097359110159</v>
      </c>
    </row>
    <row r="33" spans="1:17" s="460" customFormat="1">
      <c r="A33" s="1005" t="s">
        <v>554</v>
      </c>
      <c r="B33" s="953">
        <f ca="1">SUM(B22:B32)</f>
        <v>7792.4883702058887</v>
      </c>
      <c r="C33" s="953">
        <f t="shared" ref="C33:Q33" ca="1" si="18">SUM(C22:C32)</f>
        <v>0</v>
      </c>
      <c r="D33" s="953">
        <f t="shared" ca="1" si="18"/>
        <v>9971.5460650999776</v>
      </c>
      <c r="E33" s="953">
        <f t="shared" si="18"/>
        <v>2096.937064872584</v>
      </c>
      <c r="F33" s="953">
        <f t="shared" ca="1" si="18"/>
        <v>5453.7766858412597</v>
      </c>
      <c r="G33" s="953">
        <f t="shared" si="18"/>
        <v>8857.0679359779879</v>
      </c>
      <c r="H33" s="953">
        <f t="shared" si="18"/>
        <v>1939.7413096942082</v>
      </c>
      <c r="I33" s="953">
        <f t="shared" si="18"/>
        <v>0</v>
      </c>
      <c r="J33" s="953">
        <f t="shared" si="18"/>
        <v>428.39647406350207</v>
      </c>
      <c r="K33" s="953">
        <f t="shared" si="18"/>
        <v>0</v>
      </c>
      <c r="L33" s="953">
        <f t="shared" ca="1" si="18"/>
        <v>0</v>
      </c>
      <c r="M33" s="953">
        <f t="shared" si="18"/>
        <v>0</v>
      </c>
      <c r="N33" s="953">
        <f t="shared" ca="1" si="18"/>
        <v>0</v>
      </c>
      <c r="O33" s="953">
        <f t="shared" si="18"/>
        <v>0</v>
      </c>
      <c r="P33" s="953">
        <f t="shared" si="18"/>
        <v>0</v>
      </c>
      <c r="Q33" s="953">
        <f t="shared" ca="1" si="18"/>
        <v>36539.953905755414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3205.7231626811258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3205.7231626811258</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0.20258198010216202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0.20258198010216202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2020-06-20T15:46:16Z</dcterms:modified>
</cp:coreProperties>
</file>