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O9" i="18" l="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J20" i="15"/>
  <c r="K40"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K13" i="14"/>
  <c r="K16" i="14" s="1"/>
  <c r="K27" i="14" s="1"/>
  <c r="J8" i="48"/>
  <c r="E8" i="48"/>
  <c r="E26" i="48" s="1"/>
  <c r="F13" i="14"/>
  <c r="F16" i="14" s="1"/>
  <c r="F27"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<sst xmlns="http://schemas.openxmlformats.org/spreadsheetml/2006/main" count="2398" uniqueCount="887">
  <si>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</si>
  <si>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</si>
  <si>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</si>
  <si>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</si>
  <si>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</si>
  <si>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</si>
  <si>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</si>
  <si>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</si>
  <si>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</si>
  <si>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</si>
  <si>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</si>
  <si>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</si>
  <si>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</si>
  <si>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</si>
  <si>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</si>
  <si>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</si>
  <si>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</si>
  <si>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</si>
  <si>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</si>
  <si>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</si>
  <si>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</si>
  <si>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</si>
  <si>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</si>
  <si>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</si>
  <si>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</si>
  <si>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</si>
  <si>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</si>
  <si>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</si>
  <si>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</si>
  <si>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</si>
  <si>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</si>
  <si>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</si>
  <si>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</si>
  <si>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</si>
  <si>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</si>
  <si>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</si>
  <si>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</si>
  <si>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</si>
  <si>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</si>
  <si>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</si>
  <si>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</si>
  <si>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</si>
  <si>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</si>
  <si>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</si>
  <si>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</si>
  <si>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</si>
  <si>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</si>
  <si>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</si>
  <si>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</si>
  <si>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</si>
  <si>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</si>
  <si>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</si>
  <si>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</si>
  <si>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</si>
  <si>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</si>
  <si>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</si>
  <si>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</si>
  <si>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</si>
  <si>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</si>
  <si>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</si>
  <si>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</si>
  <si>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</si>
  <si>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</si>
  <si>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</si>
  <si>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</si>
  <si>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</si>
  <si>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</si>
  <si>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</si>
  <si>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</si>
  <si>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</si>
  <si>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</si>
  <si>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</si>
  <si>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</si>
  <si>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</si>
  <si>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</si>
  <si>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</si>
  <si>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</si>
  <si>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</si>
  <si>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</si>
  <si>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</si>
  <si>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</si>
  <si>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</si>
  <si>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</si>
  <si>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</si>
  <si>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</si>
  <si>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</si>
  <si>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</si>
  <si>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</si>
  <si>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</si>
  <si>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</si>
  <si>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</si>
  <si>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</si>
  <si>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</si>
  <si>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</si>
  <si>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</si>
  <si>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</si>
  <si>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</si>
  <si>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</si>
  <si>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</si>
  <si>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</si>
  <si>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</si>
  <si>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</si>
  <si>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</si>
  <si>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</si>
  <si>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</si>
  <si>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</si>
  <si>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</si>
  <si>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</si>
  <si>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</si>
  <si>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</si>
  <si>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</si>
  <si>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</si>
  <si>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</si>
  <si>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</si>
  <si>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</si>
  <si>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</si>
  <si>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</si>
  <si>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</si>
  <si>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</si>
  <si>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</si>
  <si>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</si>
  <si>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</si>
  <si>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</si>
  <si>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</si>
  <si>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</si>
  <si>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</si>
  <si>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</si>
  <si>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</si>
  <si>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</si>
  <si>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</si>
  <si>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</si>
  <si>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</si>
  <si>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</si>
  <si>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</si>
  <si>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</si>
  <si>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</si>
  <si>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</si>
  <si>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</si>
  <si>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</si>
  <si>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</si>
  <si>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</si>
  <si>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</si>
  <si>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</si>
  <si>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</si>
  <si>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</si>
  <si>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</si>
  <si>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</si>
  <si>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</si>
  <si>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</si>
  <si>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</si>
  <si>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</si>
  <si>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</si>
  <si>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</si>
  <si>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</si>
  <si>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</si>
  <si>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</si>
  <si>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</si>
  <si>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</si>
  <si>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</si>
  <si>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</si>
  <si>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</si>
  <si>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</si>
  <si>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</si>
  <si>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</si>
  <si>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</si>
  <si>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</si>
  <si>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</si>
  <si>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</si>
  <si>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</si>
  <si>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</si>
  <si>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</si>
  <si>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</si>
  <si>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</si>
  <si>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</si>
  <si>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</si>
  <si>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</si>
  <si>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</si>
  <si>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</si>
  <si>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</si>
  <si>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</si>
  <si>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</si>
  <si>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</si>
  <si>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</si>
  <si>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</si>
  <si>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</si>
  <si>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</si>
  <si>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</si>
  <si>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</si>
  <si>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</si>
  <si>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</si>
  <si>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</si>
  <si>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</si>
  <si>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</si>
  <si>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</si>
  <si>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</si>
  <si>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</si>
  <si>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</si>
  <si>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</si>
  <si>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</si>
  <si>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</si>
  <si>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</si>
  <si>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</si>
  <si>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</si>
  <si>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</si>
  <si>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</si>
  <si>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</si>
  <si>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</si>
  <si>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</si>
  <si>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</si>
  <si>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</si>
  <si>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</si>
  <si>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</si>
  <si>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</si>
  <si>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</si>
  <si>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</si>
  <si>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</si>
  <si>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</si>
  <si>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</si>
  <si>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</si>
  <si>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</si>
  <si>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</si>
  <si>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</si>
  <si>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</si>
  <si>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</si>
  <si>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</si>
  <si>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</si>
  <si>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</si>
  <si>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</si>
  <si>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</si>
  <si>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</si>
  <si>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</si>
  <si>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</si>
  <si>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</si>
  <si>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</si>
  <si>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</si>
  <si>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</si>
  <si>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</si>
  <si>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</si>
  <si>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</si>
  <si>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</si>
  <si>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</si>
  <si>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</si>
  <si>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</si>
  <si>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</si>
  <si>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</si>
  <si>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</si>
  <si>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</si>
  <si>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</si>
  <si>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</si>
  <si>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</si>
  <si>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</si>
  <si>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</si>
  <si>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</si>
  <si>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</si>
  <si>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</si>
  <si>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</si>
  <si>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</si>
  <si>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</si>
  <si>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</si>
  <si>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</si>
  <si>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</si>
  <si>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</si>
  <si>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</si>
  <si>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</si>
  <si>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</si>
  <si>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</si>
  <si>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</si>
  <si>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</si>
  <si>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</si>
  <si>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</si>
  <si>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</si>
  <si>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</si>
  <si>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</si>
  <si>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</si>
  <si>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</si>
  <si>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</si>
  <si>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</si>
  <si>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</si>
  <si>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</si>
  <si>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</si>
  <si>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</si>
  <si>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</si>
  <si>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</si>
  <si>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</si>
  <si>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</si>
  <si>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</si>
  <si>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</si>
  <si>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</si>
  <si>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</si>
  <si>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</si>
  <si>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</si>
  <si>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</si>
  <si>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</si>
  <si>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</si>
  <si>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</si>
  <si>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</si>
  <si>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</si>
  <si>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</si>
  <si>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</si>
  <si>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</si>
  <si>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</si>
  <si>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</si>
  <si>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</si>
  <si>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</si>
  <si>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</si>
  <si>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</si>
  <si>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</si>
  <si>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</si>
  <si>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</si>
  <si>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</si>
  <si>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</si>
  <si>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</si>
  <si>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</si>
  <si>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</si>
  <si>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</si>
  <si>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</si>
  <si>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</si>
  <si>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</si>
  <si>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</si>
  <si>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</si>
  <si>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</si>
  <si>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</si>
  <si>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</si>
  <si>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</si>
  <si>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</si>
  <si>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</si>
  <si>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</si>
  <si>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</si>
  <si>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</si>
  <si>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</si>
  <si>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</si>
  <si>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</si>
  <si>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</si>
  <si>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</si>
  <si>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</si>
  <si>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</si>
  <si>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</si>
  <si>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</si>
  <si>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</si>
  <si>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</si>
  <si>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</si>
  <si>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</si>
  <si>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</si>
  <si>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</si>
  <si>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</si>
  <si>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</si>
  <si>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</si>
  <si>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</si>
  <si>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</si>
  <si>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</si>
  <si>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</si>
  <si>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</si>
  <si>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</si>
  <si>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</si>
  <si>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</si>
  <si>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</si>
  <si>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</si>
  <si>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</si>
  <si>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</si>
  <si>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</si>
  <si>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</si>
  <si>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</si>
  <si>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</si>
  <si>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</si>
  <si>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</si>
  <si>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</si>
  <si>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</si>
  <si>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</si>
  <si>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</si>
  <si>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</si>
  <si>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</si>
  <si>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</si>
  <si>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</si>
  <si>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</si>
  <si>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</si>
  <si>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</si>
  <si>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</si>
  <si>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</si>
  <si>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</si>
  <si>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</si>
  <si>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</si>
  <si>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</si>
  <si>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</si>
  <si>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</si>
  <si>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</si>
  <si>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</si>
  <si>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</si>
  <si>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</si>
  <si>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</si>
  <si>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</si>
  <si>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</si>
  <si>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</si>
  <si>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</si>
  <si>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</si>
  <si>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</si>
  <si>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</si>
  <si>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</si>
  <si>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</si>
  <si>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</si>
  <si>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</si>
  <si>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</si>
  <si>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</si>
  <si>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</si>
  <si>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</si>
  <si>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</si>
  <si>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</si>
  <si>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</si>
  <si>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</si>
  <si>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</si>
  <si>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</si>
  <si>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</si>
  <si>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</si>
  <si>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</si>
  <si>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</si>
  <si>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</si>
  <si>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</si>
  <si>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</si>
  <si>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</si>
  <si>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</si>
  <si>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</si>
  <si>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</si>
  <si>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</si>
  <si>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</si>
  <si>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</si>
  <si>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</si>
  <si>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</si>
  <si>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</si>
  <si>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</si>
  <si>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</si>
  <si>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</si>
  <si>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</si>
  <si>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</si>
  <si>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</si>
  <si>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</si>
  <si>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</si>
  <si>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</si>
  <si>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</si>
  <si>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</si>
  <si>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</si>
  <si>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</si>
  <si>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</si>
  <si>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</si>
  <si>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</si>
  <si>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</si>
  <si>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</si>
  <si>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</si>
  <si>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</si>
  <si>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</si>
  <si>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</si>
  <si>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</si>
  <si>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</si>
  <si>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</si>
  <si>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</si>
  <si>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</si>
  <si>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</si>
  <si>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</si>
  <si>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</si>
  <si>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</si>
  <si>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</si>
  <si>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</si>
  <si>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</si>
  <si>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</si>
  <si>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</si>
  <si>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</si>
  <si>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</si>
  <si>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</si>
  <si>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</si>
  <si>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</si>
  <si>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</si>
  <si>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</si>
  <si>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</si>
  <si>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</si>
  <si>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</si>
  <si>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</si>
  <si>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</si>
  <si>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</si>
  <si>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</si>
  <si>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</si>
  <si>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</si>
  <si>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</si>
  <si>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</si>
  <si>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</si>
  <si>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</si>
  <si>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</si>
  <si>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</si>
  <si>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</si>
  <si>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</si>
  <si>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</si>
  <si>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</si>
  <si>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</si>
  <si>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</si>
  <si>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</si>
  <si>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</si>
  <si>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</si>
  <si>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</si>
  <si>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</si>
  <si>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</si>
  <si>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</si>
  <si>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</si>
  <si>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</si>
  <si>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</si>
  <si>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</si>
  <si>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</si>
  <si>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</si>
  <si>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</si>
  <si>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</si>
  <si>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</si>
  <si>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</si>
  <si>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</si>
  <si>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</si>
  <si>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</si>
  <si>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</si>
  <si>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</si>
  <si>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</si>
  <si>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</si>
  <si>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</si>
  <si>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</si>
  <si>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</si>
  <si>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</si>
  <si>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</si>
  <si>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</si>
  <si>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</si>
  <si>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</si>
  <si>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</si>
  <si>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</si>
  <si>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</si>
  <si>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</si>
  <si>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</si>
  <si>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</si>
  <si>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</si>
  <si>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</si>
  <si>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</si>
  <si>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</si>
  <si>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</si>
  <si>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</si>
  <si>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</si>
  <si>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</si>
  <si>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</si>
  <si>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</si>
  <si>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</si>
  <si>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</si>
  <si>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</si>
  <si>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</si>
  <si>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</si>
  <si>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</si>
  <si>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</si>
  <si>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</si>
  <si>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</si>
  <si>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</si>
  <si>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</si>
  <si>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</si>
  <si>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</si>
  <si>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</si>
  <si>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</si>
  <si>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</si>
  <si>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</si>
  <si>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</si>
  <si>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</si>
  <si>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</si>
  <si>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</si>
  <si>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</si>
  <si>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</si>
  <si>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</si>
  <si>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</si>
  <si>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</si>
  <si>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</si>
  <si>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</si>
  <si>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</si>
  <si>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</si>
  <si>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</si>
  <si>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</si>
  <si>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</si>
  <si>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</si>
  <si>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</si>
  <si>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</si>
  <si>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</si>
  <si>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</si>
  <si>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</si>
  <si>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</si>
  <si>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</si>
  <si>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</si>
  <si>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</si>
  <si>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</si>
  <si>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</si>
  <si>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</si>
  <si>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</si>
  <si>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</si>
  <si>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</si>
  <si>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</si>
  <si>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</si>
  <si>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</si>
  <si>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</si>
  <si>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</si>
  <si>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</si>
  <si>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</si>
  <si>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</si>
  <si>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</si>
  <si>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</si>
  <si>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</si>
  <si>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</si>
  <si>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</si>
  <si>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</si>
  <si>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</si>
  <si>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</si>
  <si>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</si>
  <si>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</si>
  <si>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</si>
  <si>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</si>
  <si>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</si>
  <si>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</si>
  <si>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</si>
  <si>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</si>
  <si>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</si>
  <si>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</si>
  <si>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</si>
  <si>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</si>
  <si>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</si>
  <si>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</si>
  <si>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</si>
  <si>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</si>
  <si>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</si>
  <si>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</si>
  <si>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</si>
  <si>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</si>
  <si>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</si>
  <si>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</si>
  <si>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</si>
  <si>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</si>
  <si>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</si>
  <si>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</si>
  <si>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</si>
  <si>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</si>
  <si>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</si>
  <si>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</si>
  <si>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</si>
  <si>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</si>
  <si>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</si>
  <si>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</si>
  <si>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</si>
  <si>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</si>
  <si>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</si>
  <si>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</si>
  <si>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</si>
  <si>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</si>
  <si>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</si>
  <si>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</si>
  <si>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</si>
  <si>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</si>
  <si>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</si>
  <si>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</si>
  <si>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</si>
  <si>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</si>
  <si>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</si>
  <si>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</si>
  <si>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</si>
  <si>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</si>
  <si>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</si>
  <si>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</si>
  <si>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</si>
  <si>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</si>
  <si>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</si>
  <si>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</si>
  <si>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</si>
  <si>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</si>
  <si>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</si>
  <si>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</si>
  <si>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</si>
  <si>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</si>
  <si>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</si>
  <si>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</si>
  <si>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</si>
  <si>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</si>
  <si>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</si>
  <si>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</si>
  <si>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</si>
  <si>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</si>
  <si>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</si>
  <si>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</si>
  <si>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</si>
  <si>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</si>
  <si>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</si>
  <si>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</si>
  <si>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</si>
  <si>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</si>
  <si>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</si>
  <si>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</si>
  <si>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</si>
  <si>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</si>
  <si>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</si>
  <si>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</si>
  <si>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</si>
  <si>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</si>
  <si>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</si>
  <si>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</si>
  <si>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</si>
  <si>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</si>
  <si>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</si>
  <si>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</si>
  <si>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</si>
  <si>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</si>
  <si>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</si>
  <si>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</si>
  <si>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</si>
  <si>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</si>
  <si>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</si>
  <si>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</si>
  <si>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</si>
  <si>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</si>
  <si>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</si>
  <si>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</si>
  <si>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</si>
  <si>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</si>
  <si>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</si>
  <si>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</si>
  <si>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</si>
  <si>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</si>
  <si>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</si>
  <si>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</si>
  <si>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</si>
  <si>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</si>
  <si>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</si>
  <si>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</si>
  <si>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</si>
  <si>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</si>
  <si>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</si>
  <si>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</si>
  <si>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</si>
  <si>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</si>
  <si>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</si>
  <si>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</si>
  <si>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</si>
  <si>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</si>
  <si>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</si>
  <si>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</si>
  <si>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</si>
  <si>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</si>
  <si>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</si>
  <si>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</si>
  <si>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</si>
  <si>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</si>
  <si>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</si>
  <si>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</si>
  <si>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</si>
  <si>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</si>
  <si>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</si>
  <si>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</si>
  <si>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</si>
  <si>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</si>
  <si>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</si>
  <si>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</si>
  <si>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</si>
  <si>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</si>
  <si>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</si>
  <si>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</si>
  <si>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</si>
  <si>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</si>
  <si>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</si>
  <si>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</si>
  <si>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</si>
  <si>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</si>
  <si>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</si>
  <si>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</si>
  <si>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</si>
  <si>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</si>
  <si>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</si>
  <si>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</si>
  <si>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</si>
  <si>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</si>
  <si>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</si>
  <si>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</si>
  <si>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</si>
  <si>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</si>
  <si>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</si>
  <si>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</si>
  <si>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</si>
  <si>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</si>
  <si>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</si>
  <si>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</si>
  <si>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</si>
  <si>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</si>
  <si>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</si>
  <si>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</si>
  <si>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</si>
  <si>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</si>
  <si>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</si>
  <si>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</si>
  <si>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</si>
  <si>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</si>
  <si>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</si>
  <si>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</si>
  <si>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</si>
  <si>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</si>
  <si>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</si>
  <si>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</si>
  <si>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</si>
  <si>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</si>
  <si>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</si>
  <si>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</si>
  <si>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</si>
  <si>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</si>
  <si>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</si>
  <si>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</si>
  <si>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</si>
  <si>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</si>
  <si>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</si>
  <si>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</si>
  <si>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</si>
  <si>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</si>
  <si>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</si>
  <si>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</si>
  <si>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</si>
  <si>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</si>
  <si>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</si>
  <si>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</si>
  <si>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</si>
  <si>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</si>
  <si>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</si>
  <si>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</si>
  <si>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</si>
  <si>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</si>
  <si>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</si>
  <si>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</si>
  <si>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</si>
  <si>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</si>
  <si>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</si>
  <si>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</si>
  <si>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</si>
  <si>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</si>
  <si>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</si>
  <si>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</si>
  <si>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</si>
  <si>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</si>
  <si>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</si>
  <si>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</si>
  <si>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</si>
  <si>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</si>
  <si>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</si>
  <si>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</si>
  <si>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</si>
  <si>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</si>
  <si>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</si>
  <si>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</si>
  <si>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</si>
  <si>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</si>
  <si>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</si>
  <si>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</si>
  <si>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</si>
  <si>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</si>
  <si>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</si>
  <si>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</si>
  <si>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</si>
  <si>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</si>
  <si>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</si>
  <si>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</si>
  <si>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</si>
  <si>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</si>
  <si>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</si>
  <si>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</si>
  <si>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</si>
  <si>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</si>
  <si>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</si>
  <si>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</si>
  <si>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</si>
  <si>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</si>
  <si>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</si>
  <si>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</si>
  <si>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</si>
  <si>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</si>
  <si>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</si>
  <si>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</si>
  <si>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</si>
  <si>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</si>
  <si>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</si>
  <si>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</si>
  <si>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</si>
  <si>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</si>
  <si>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</si>
  <si>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</si>
  <si>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</si>
  <si>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</si>
  <si>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</si>
  <si>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</si>
  <si>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</si>
  <si>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42025</t>
  </si>
  <si>
    <t>WETTEREN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</si>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</sst>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173266.84350928097</c:v>
                </c:pt>
                <c:pt idx="1">
                  <c:v>91937.635429701681</c:v>
                </c:pt>
                <c:pt idx="2">
                  <c:v>1894.4010000000001</c:v>
                </c:pt>
                <c:pt idx="3">
                  <c:v>8591.2029650276418</c:v>
                </c:pt>
                <c:pt idx="4">
                  <c:v>225335.57536399949</c:v>
                </c:pt>
                <c:pt idx="5">
                  <c:v>226856.99015472937</c:v>
                </c:pt>
                <c:pt idx="6">
                  <c:v>1574.844400976915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173266.84350928097</c:v>
                </c:pt>
                <c:pt idx="1">
                  <c:v>91937.635429701681</c:v>
                </c:pt>
                <c:pt idx="2">
                  <c:v>1894.4010000000001</c:v>
                </c:pt>
                <c:pt idx="3">
                  <c:v>8591.2029650276418</c:v>
                </c:pt>
                <c:pt idx="4">
                  <c:v>225335.57536399949</c:v>
                </c:pt>
                <c:pt idx="5">
                  <c:v>226856.99015472937</c:v>
                </c:pt>
                <c:pt idx="6">
                  <c:v>1574.844400976915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33058.948639257331</c:v>
                </c:pt>
                <c:pt idx="2">
                  <c:v>18678.174433483058</c:v>
                </c:pt>
                <c:pt idx="3">
                  <c:v>401.37239229012692</c:v>
                </c:pt>
                <c:pt idx="4">
                  <c:v>2194.6129327144108</c:v>
                </c:pt>
                <c:pt idx="5">
                  <c:v>48547.760978699538</c:v>
                </c:pt>
                <c:pt idx="6">
                  <c:v>56813.614019004352</c:v>
                </c:pt>
                <c:pt idx="7">
                  <c:v>397.88694039882881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33058.948639257331</c:v>
                </c:pt>
                <c:pt idx="2">
                  <c:v>18678.174433483058</c:v>
                </c:pt>
                <c:pt idx="3">
                  <c:v>401.37239229012692</c:v>
                </c:pt>
                <c:pt idx="4">
                  <c:v>2194.6129327144108</c:v>
                </c:pt>
                <c:pt idx="5">
                  <c:v>48547.760978699538</c:v>
                </c:pt>
                <c:pt idx="6">
                  <c:v>56813.614019004352</c:v>
                </c:pt>
                <c:pt idx="7">
                  <c:v>397.88694039882881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42025</v>
      </c>
      <c r="B6" s="390"/>
      <c r="C6" s="391"/>
    </row>
    <row r="7" spans="1:7" s="388" customFormat="1" ht="15.75" customHeight="1">
      <c r="A7" s="392" t="str">
        <f>txtMunicipality</f>
        <v>WETTEREN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0.21187298375060346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0.21187298375060346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10949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1723.82</v>
      </c>
      <c r="C14" s="330"/>
      <c r="D14" s="330"/>
      <c r="E14" s="330"/>
      <c r="F14" s="330"/>
    </row>
    <row r="15" spans="1:6">
      <c r="A15" s="1293" t="s">
        <v>183</v>
      </c>
      <c r="B15" s="1294">
        <v>14</v>
      </c>
      <c r="C15" s="330"/>
      <c r="D15" s="330"/>
      <c r="E15" s="330"/>
      <c r="F15" s="330"/>
    </row>
    <row r="16" spans="1:6">
      <c r="A16" s="1293" t="s">
        <v>6</v>
      </c>
      <c r="B16" s="1294">
        <v>485</v>
      </c>
      <c r="C16" s="330"/>
      <c r="D16" s="330"/>
      <c r="E16" s="330"/>
      <c r="F16" s="330"/>
    </row>
    <row r="17" spans="1:6">
      <c r="A17" s="1293" t="s">
        <v>7</v>
      </c>
      <c r="B17" s="1294">
        <v>590</v>
      </c>
      <c r="C17" s="330"/>
      <c r="D17" s="330"/>
      <c r="E17" s="330"/>
      <c r="F17" s="330"/>
    </row>
    <row r="18" spans="1:6">
      <c r="A18" s="1293" t="s">
        <v>8</v>
      </c>
      <c r="B18" s="1294">
        <v>769</v>
      </c>
      <c r="C18" s="330"/>
      <c r="D18" s="330"/>
      <c r="E18" s="330"/>
      <c r="F18" s="330"/>
    </row>
    <row r="19" spans="1:6">
      <c r="A19" s="1293" t="s">
        <v>9</v>
      </c>
      <c r="B19" s="1294">
        <v>629</v>
      </c>
      <c r="C19" s="330"/>
      <c r="D19" s="330"/>
      <c r="E19" s="330"/>
      <c r="F19" s="330"/>
    </row>
    <row r="20" spans="1:6">
      <c r="A20" s="1293" t="s">
        <v>10</v>
      </c>
      <c r="B20" s="1294">
        <v>754</v>
      </c>
      <c r="C20" s="330"/>
      <c r="D20" s="330"/>
      <c r="E20" s="330"/>
      <c r="F20" s="330"/>
    </row>
    <row r="21" spans="1:6">
      <c r="A21" s="1293" t="s">
        <v>11</v>
      </c>
      <c r="B21" s="1294">
        <v>0</v>
      </c>
      <c r="C21" s="330"/>
      <c r="D21" s="330"/>
      <c r="E21" s="330"/>
      <c r="F21" s="330"/>
    </row>
    <row r="22" spans="1:6">
      <c r="A22" s="1293" t="s">
        <v>12</v>
      </c>
      <c r="B22" s="1294">
        <v>1352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127</v>
      </c>
      <c r="C26" s="330"/>
      <c r="D26" s="330"/>
      <c r="E26" s="330"/>
      <c r="F26" s="330"/>
    </row>
    <row r="27" spans="1:6">
      <c r="A27" s="1293" t="s">
        <v>17</v>
      </c>
      <c r="B27" s="1294">
        <v>0</v>
      </c>
      <c r="C27" s="330"/>
      <c r="D27" s="330"/>
      <c r="E27" s="330"/>
      <c r="F27" s="330"/>
    </row>
    <row r="28" spans="1:6" s="43" customFormat="1">
      <c r="A28" s="1295" t="s">
        <v>18</v>
      </c>
      <c r="B28" s="1296">
        <v>40</v>
      </c>
      <c r="C28" s="336"/>
      <c r="D28" s="336"/>
      <c r="E28" s="336"/>
      <c r="F28" s="336"/>
    </row>
    <row r="29" spans="1:6">
      <c r="A29" s="1295" t="s">
        <v>734</v>
      </c>
      <c r="B29" s="1296">
        <v>90</v>
      </c>
      <c r="C29" s="336"/>
      <c r="D29" s="336"/>
      <c r="E29" s="336"/>
      <c r="F29" s="336"/>
    </row>
    <row r="30" spans="1:6">
      <c r="A30" s="1288" t="s">
        <v>735</v>
      </c>
      <c r="B30" s="1297">
        <v>20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121859.605897228</v>
      </c>
      <c r="E38" s="1294">
        <v>2</v>
      </c>
      <c r="F38" s="1294">
        <v>73880.902737020006</v>
      </c>
    </row>
    <row r="39" spans="1:6">
      <c r="A39" s="1293" t="s">
        <v>29</v>
      </c>
      <c r="B39" s="1293" t="s">
        <v>30</v>
      </c>
      <c r="C39" s="1294">
        <v>7432</v>
      </c>
      <c r="D39" s="1294">
        <v>109250988.767821</v>
      </c>
      <c r="E39" s="1294">
        <v>10777</v>
      </c>
      <c r="F39" s="1294">
        <v>42668007.728308298</v>
      </c>
    </row>
    <row r="40" spans="1:6">
      <c r="A40" s="1293" t="s">
        <v>29</v>
      </c>
      <c r="B40" s="1293" t="s">
        <v>28</v>
      </c>
      <c r="C40" s="1294">
        <v>0</v>
      </c>
      <c r="D40" s="1294">
        <v>0</v>
      </c>
      <c r="E40" s="1294">
        <v>1</v>
      </c>
      <c r="F40" s="1294">
        <v>2847.5092532804001</v>
      </c>
    </row>
    <row r="41" spans="1:6">
      <c r="A41" s="1293" t="s">
        <v>31</v>
      </c>
      <c r="B41" s="1293" t="s">
        <v>32</v>
      </c>
      <c r="C41" s="1294">
        <v>118</v>
      </c>
      <c r="D41" s="1294">
        <v>3374658.90147562</v>
      </c>
      <c r="E41" s="1294">
        <v>217</v>
      </c>
      <c r="F41" s="1294">
        <v>50954392.413170204</v>
      </c>
    </row>
    <row r="42" spans="1:6">
      <c r="A42" s="1293" t="s">
        <v>31</v>
      </c>
      <c r="B42" s="1293" t="s">
        <v>33</v>
      </c>
      <c r="C42" s="1294">
        <v>0</v>
      </c>
      <c r="D42" s="1294">
        <v>0</v>
      </c>
      <c r="E42" s="1294">
        <v>3</v>
      </c>
      <c r="F42" s="1294">
        <v>21992393.167920299</v>
      </c>
    </row>
    <row r="43" spans="1:6">
      <c r="A43" s="1293" t="s">
        <v>31</v>
      </c>
      <c r="B43" s="1293" t="s">
        <v>34</v>
      </c>
      <c r="C43" s="1294">
        <v>0</v>
      </c>
      <c r="D43" s="1294">
        <v>0</v>
      </c>
      <c r="E43" s="1294">
        <v>3</v>
      </c>
      <c r="F43" s="1294">
        <v>1404914.36395527</v>
      </c>
    </row>
    <row r="44" spans="1:6">
      <c r="A44" s="1293" t="s">
        <v>31</v>
      </c>
      <c r="B44" s="1293" t="s">
        <v>35</v>
      </c>
      <c r="C44" s="1294">
        <v>16</v>
      </c>
      <c r="D44" s="1294">
        <v>1108593.07673054</v>
      </c>
      <c r="E44" s="1294">
        <v>36</v>
      </c>
      <c r="F44" s="1294">
        <v>3368733.04817949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151871.94918141299</v>
      </c>
      <c r="E47" s="1294">
        <v>12</v>
      </c>
      <c r="F47" s="1294">
        <v>254344.74350759701</v>
      </c>
    </row>
    <row r="48" spans="1:6">
      <c r="A48" s="1293" t="s">
        <v>31</v>
      </c>
      <c r="B48" s="1293" t="s">
        <v>28</v>
      </c>
      <c r="C48" s="1294">
        <v>42</v>
      </c>
      <c r="D48" s="1294">
        <v>66874054.884091802</v>
      </c>
      <c r="E48" s="1294">
        <v>41</v>
      </c>
      <c r="F48" s="1294">
        <v>11831965.822876301</v>
      </c>
    </row>
    <row r="49" spans="1:6">
      <c r="A49" s="1293" t="s">
        <v>31</v>
      </c>
      <c r="B49" s="1293" t="s">
        <v>39</v>
      </c>
      <c r="C49" s="1294">
        <v>0</v>
      </c>
      <c r="D49" s="1294">
        <v>0</v>
      </c>
      <c r="E49" s="1294">
        <v>9</v>
      </c>
      <c r="F49" s="1294">
        <v>102697.527737909</v>
      </c>
    </row>
    <row r="50" spans="1:6">
      <c r="A50" s="1293" t="s">
        <v>31</v>
      </c>
      <c r="B50" s="1293" t="s">
        <v>40</v>
      </c>
      <c r="C50" s="1294">
        <v>16</v>
      </c>
      <c r="D50" s="1294">
        <v>1657319.30903982</v>
      </c>
      <c r="E50" s="1294">
        <v>24</v>
      </c>
      <c r="F50" s="1294">
        <v>3895419.57115197</v>
      </c>
    </row>
    <row r="51" spans="1:6">
      <c r="A51" s="1293" t="s">
        <v>41</v>
      </c>
      <c r="B51" s="1293" t="s">
        <v>42</v>
      </c>
      <c r="C51" s="1294">
        <v>20</v>
      </c>
      <c r="D51" s="1294">
        <v>409741.37140317401</v>
      </c>
      <c r="E51" s="1294">
        <v>125</v>
      </c>
      <c r="F51" s="1294">
        <v>1286564.2118995299</v>
      </c>
    </row>
    <row r="52" spans="1:6">
      <c r="A52" s="1293" t="s">
        <v>41</v>
      </c>
      <c r="B52" s="1293" t="s">
        <v>28</v>
      </c>
      <c r="C52" s="1294">
        <v>9</v>
      </c>
      <c r="D52" s="1294">
        <v>154904.411103786</v>
      </c>
      <c r="E52" s="1294">
        <v>7</v>
      </c>
      <c r="F52" s="1294">
        <v>226837.14408077899</v>
      </c>
    </row>
    <row r="53" spans="1:6">
      <c r="A53" s="1293" t="s">
        <v>43</v>
      </c>
      <c r="B53" s="1293" t="s">
        <v>44</v>
      </c>
      <c r="C53" s="1294">
        <v>209</v>
      </c>
      <c r="D53" s="1294">
        <v>2762056.3541520098</v>
      </c>
      <c r="E53" s="1294">
        <v>434</v>
      </c>
      <c r="F53" s="1294">
        <v>1448561.3416956</v>
      </c>
    </row>
    <row r="54" spans="1:6">
      <c r="A54" s="1293" t="s">
        <v>45</v>
      </c>
      <c r="B54" s="1293" t="s">
        <v>46</v>
      </c>
      <c r="C54" s="1294">
        <v>0</v>
      </c>
      <c r="D54" s="1294">
        <v>0</v>
      </c>
      <c r="E54" s="1294">
        <v>3</v>
      </c>
      <c r="F54" s="1294">
        <v>1894401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84</v>
      </c>
      <c r="D57" s="1294">
        <v>7954411.3770766202</v>
      </c>
      <c r="E57" s="1294">
        <v>215</v>
      </c>
      <c r="F57" s="1294">
        <v>3338533.1913674902</v>
      </c>
    </row>
    <row r="58" spans="1:6">
      <c r="A58" s="1293" t="s">
        <v>48</v>
      </c>
      <c r="B58" s="1293" t="s">
        <v>50</v>
      </c>
      <c r="C58" s="1294">
        <v>46</v>
      </c>
      <c r="D58" s="1294">
        <v>3241363.5542830899</v>
      </c>
      <c r="E58" s="1294">
        <v>56</v>
      </c>
      <c r="F58" s="1294">
        <v>959422.96269584401</v>
      </c>
    </row>
    <row r="59" spans="1:6">
      <c r="A59" s="1293" t="s">
        <v>48</v>
      </c>
      <c r="B59" s="1293" t="s">
        <v>51</v>
      </c>
      <c r="C59" s="1294">
        <v>195</v>
      </c>
      <c r="D59" s="1294">
        <v>8113287.2755193096</v>
      </c>
      <c r="E59" s="1294">
        <v>384</v>
      </c>
      <c r="F59" s="1294">
        <v>13364756.1935424</v>
      </c>
    </row>
    <row r="60" spans="1:6">
      <c r="A60" s="1293" t="s">
        <v>48</v>
      </c>
      <c r="B60" s="1293" t="s">
        <v>52</v>
      </c>
      <c r="C60" s="1294">
        <v>106</v>
      </c>
      <c r="D60" s="1294">
        <v>4028984.2381211901</v>
      </c>
      <c r="E60" s="1294">
        <v>126</v>
      </c>
      <c r="F60" s="1294">
        <v>2586330.01547661</v>
      </c>
    </row>
    <row r="61" spans="1:6">
      <c r="A61" s="1293" t="s">
        <v>48</v>
      </c>
      <c r="B61" s="1293" t="s">
        <v>53</v>
      </c>
      <c r="C61" s="1294">
        <v>261</v>
      </c>
      <c r="D61" s="1294">
        <v>9407687.3557814695</v>
      </c>
      <c r="E61" s="1294">
        <v>525</v>
      </c>
      <c r="F61" s="1294">
        <v>9287635.4469304606</v>
      </c>
    </row>
    <row r="62" spans="1:6">
      <c r="A62" s="1293" t="s">
        <v>48</v>
      </c>
      <c r="B62" s="1293" t="s">
        <v>54</v>
      </c>
      <c r="C62" s="1294">
        <v>26</v>
      </c>
      <c r="D62" s="1294">
        <v>7296071.9614188597</v>
      </c>
      <c r="E62" s="1294">
        <v>25</v>
      </c>
      <c r="F62" s="1294">
        <v>1615237.36826405</v>
      </c>
    </row>
    <row r="63" spans="1:6">
      <c r="A63" s="1293" t="s">
        <v>48</v>
      </c>
      <c r="B63" s="1293" t="s">
        <v>28</v>
      </c>
      <c r="C63" s="1294">
        <v>97</v>
      </c>
      <c r="D63" s="1294">
        <v>9916061.2144388501</v>
      </c>
      <c r="E63" s="1294">
        <v>109</v>
      </c>
      <c r="F63" s="1294">
        <v>5198985.53902533</v>
      </c>
    </row>
    <row r="64" spans="1:6">
      <c r="A64" s="1293" t="s">
        <v>55</v>
      </c>
      <c r="B64" s="1293" t="s">
        <v>56</v>
      </c>
      <c r="C64" s="1294">
        <v>0</v>
      </c>
      <c r="D64" s="1294">
        <v>0</v>
      </c>
      <c r="E64" s="1294">
        <v>0</v>
      </c>
      <c r="F64" s="1294">
        <v>0</v>
      </c>
    </row>
    <row r="65" spans="1:6">
      <c r="A65" s="1293" t="s">
        <v>55</v>
      </c>
      <c r="B65" s="1293" t="s">
        <v>28</v>
      </c>
      <c r="C65" s="1294">
        <v>3</v>
      </c>
      <c r="D65" s="1294">
        <v>81438.686513569803</v>
      </c>
      <c r="E65" s="1294">
        <v>4</v>
      </c>
      <c r="F65" s="1294">
        <v>35436.048562073302</v>
      </c>
    </row>
    <row r="66" spans="1:6">
      <c r="A66" s="1293" t="s">
        <v>55</v>
      </c>
      <c r="B66" s="1293" t="s">
        <v>57</v>
      </c>
      <c r="C66" s="1294">
        <v>0</v>
      </c>
      <c r="D66" s="1294">
        <v>0</v>
      </c>
      <c r="E66" s="1294">
        <v>16</v>
      </c>
      <c r="F66" s="1294">
        <v>490117.49521336798</v>
      </c>
    </row>
    <row r="67" spans="1:6">
      <c r="A67" s="1295" t="s">
        <v>55</v>
      </c>
      <c r="B67" s="1295" t="s">
        <v>58</v>
      </c>
      <c r="C67" s="1294">
        <v>0</v>
      </c>
      <c r="D67" s="1294">
        <v>0</v>
      </c>
      <c r="E67" s="1294">
        <v>0</v>
      </c>
      <c r="F67" s="1294">
        <v>0</v>
      </c>
    </row>
    <row r="68" spans="1:6">
      <c r="A68" s="1288" t="s">
        <v>55</v>
      </c>
      <c r="B68" s="1288" t="s">
        <v>59</v>
      </c>
      <c r="C68" s="1297">
        <v>7</v>
      </c>
      <c r="D68" s="1297">
        <v>312930.98679367302</v>
      </c>
      <c r="E68" s="1297">
        <v>11</v>
      </c>
      <c r="F68" s="1297">
        <v>573933.07263786299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80762925</v>
      </c>
      <c r="E73" s="449"/>
      <c r="F73" s="330"/>
    </row>
    <row r="74" spans="1:6">
      <c r="A74" s="1293" t="s">
        <v>63</v>
      </c>
      <c r="B74" s="1293" t="s">
        <v>656</v>
      </c>
      <c r="C74" s="1307" t="s">
        <v>658</v>
      </c>
      <c r="D74" s="1308">
        <v>6007982</v>
      </c>
      <c r="E74" s="449"/>
      <c r="F74" s="330"/>
    </row>
    <row r="75" spans="1:6">
      <c r="A75" s="1293" t="s">
        <v>64</v>
      </c>
      <c r="B75" s="1293" t="s">
        <v>655</v>
      </c>
      <c r="C75" s="1307" t="s">
        <v>659</v>
      </c>
      <c r="D75" s="1308">
        <v>22496598</v>
      </c>
      <c r="E75" s="449"/>
      <c r="F75" s="330"/>
    </row>
    <row r="76" spans="1:6">
      <c r="A76" s="1293" t="s">
        <v>64</v>
      </c>
      <c r="B76" s="1293" t="s">
        <v>656</v>
      </c>
      <c r="C76" s="1307" t="s">
        <v>660</v>
      </c>
      <c r="D76" s="1308">
        <v>1298190</v>
      </c>
      <c r="E76" s="449"/>
      <c r="F76" s="330"/>
    </row>
    <row r="77" spans="1:6">
      <c r="A77" s="1293" t="s">
        <v>65</v>
      </c>
      <c r="B77" s="1293" t="s">
        <v>655</v>
      </c>
      <c r="C77" s="1307" t="s">
        <v>661</v>
      </c>
      <c r="D77" s="1308">
        <v>135071589</v>
      </c>
      <c r="E77" s="449"/>
      <c r="F77" s="330"/>
    </row>
    <row r="78" spans="1:6">
      <c r="A78" s="1288" t="s">
        <v>65</v>
      </c>
      <c r="B78" s="1288" t="s">
        <v>656</v>
      </c>
      <c r="C78" s="1288" t="s">
        <v>662</v>
      </c>
      <c r="D78" s="1309">
        <v>17092257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429510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3833.7596229898008</v>
      </c>
      <c r="C91" s="330"/>
      <c r="D91" s="330"/>
      <c r="E91" s="330"/>
      <c r="F91" s="330"/>
    </row>
    <row r="92" spans="1:6">
      <c r="A92" s="1288" t="s">
        <v>68</v>
      </c>
      <c r="B92" s="1289">
        <v>3665.9404541482872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4298</v>
      </c>
      <c r="C97" s="330"/>
      <c r="D97" s="330"/>
      <c r="E97" s="330"/>
      <c r="F97" s="330"/>
    </row>
    <row r="98" spans="1:6">
      <c r="A98" s="1293" t="s">
        <v>71</v>
      </c>
      <c r="B98" s="1294">
        <v>2</v>
      </c>
      <c r="C98" s="330"/>
      <c r="D98" s="330"/>
      <c r="E98" s="330"/>
      <c r="F98" s="330"/>
    </row>
    <row r="99" spans="1:6">
      <c r="A99" s="1293" t="s">
        <v>72</v>
      </c>
      <c r="B99" s="1294">
        <v>96</v>
      </c>
      <c r="C99" s="330"/>
      <c r="D99" s="330"/>
      <c r="E99" s="330"/>
      <c r="F99" s="330"/>
    </row>
    <row r="100" spans="1:6">
      <c r="A100" s="1293" t="s">
        <v>73</v>
      </c>
      <c r="B100" s="1294">
        <v>1348</v>
      </c>
      <c r="C100" s="330"/>
      <c r="D100" s="330"/>
      <c r="E100" s="330"/>
      <c r="F100" s="330"/>
    </row>
    <row r="101" spans="1:6">
      <c r="A101" s="1293" t="s">
        <v>74</v>
      </c>
      <c r="B101" s="1294">
        <v>87</v>
      </c>
      <c r="C101" s="330"/>
      <c r="D101" s="330"/>
      <c r="E101" s="330"/>
      <c r="F101" s="330"/>
    </row>
    <row r="102" spans="1:6">
      <c r="A102" s="1293" t="s">
        <v>75</v>
      </c>
      <c r="B102" s="1294">
        <v>169</v>
      </c>
      <c r="C102" s="330"/>
      <c r="D102" s="330"/>
      <c r="E102" s="330"/>
      <c r="F102" s="330"/>
    </row>
    <row r="103" spans="1:6">
      <c r="A103" s="1293" t="s">
        <v>76</v>
      </c>
      <c r="B103" s="1294">
        <v>485</v>
      </c>
      <c r="C103" s="330"/>
      <c r="D103" s="330"/>
      <c r="E103" s="330"/>
      <c r="F103" s="330"/>
    </row>
    <row r="104" spans="1:6">
      <c r="A104" s="1293" t="s">
        <v>77</v>
      </c>
      <c r="B104" s="1294">
        <v>2881</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30</v>
      </c>
      <c r="C123" s="1294">
        <v>26</v>
      </c>
      <c r="D123" s="330"/>
      <c r="E123" s="330"/>
      <c r="F123" s="330"/>
    </row>
    <row r="124" spans="1:6" s="43" customFormat="1">
      <c r="A124" s="1295" t="s">
        <v>88</v>
      </c>
      <c r="B124" s="1316">
        <v>1</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176</v>
      </c>
      <c r="C129" s="330"/>
      <c r="D129" s="330"/>
      <c r="E129" s="330"/>
      <c r="F129" s="330"/>
    </row>
    <row r="130" spans="1:6">
      <c r="A130" s="1293" t="s">
        <v>294</v>
      </c>
      <c r="B130" s="1294">
        <v>6</v>
      </c>
      <c r="C130" s="330"/>
      <c r="D130" s="330"/>
      <c r="E130" s="330"/>
      <c r="F130" s="330"/>
    </row>
    <row r="131" spans="1:6">
      <c r="A131" s="1293" t="s">
        <v>295</v>
      </c>
      <c r="B131" s="1294">
        <v>1</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181596.44639145918</v>
      </c>
      <c r="C3" s="43" t="s">
        <v>169</v>
      </c>
      <c r="D3" s="43"/>
      <c r="E3" s="154"/>
      <c r="F3" s="43"/>
      <c r="G3" s="43"/>
      <c r="H3" s="43"/>
      <c r="I3" s="43"/>
      <c r="J3" s="43"/>
      <c r="K3" s="96"/>
    </row>
    <row r="4" spans="1:11">
      <c r="A4" s="358" t="s">
        <v>170</v>
      </c>
      <c r="B4" s="49">
        <f>IF(ISERROR('SEAP template'!B78+'SEAP template'!C78),0,'SEAP template'!B78+'SEAP template'!C78)</f>
        <v>7499.7000771380881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0.21187298375060346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1894.4010000000001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1894.4010000000001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0.21187298375060346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401.37239229012692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42670.855237561576</v>
      </c>
      <c r="C5" s="17">
        <f>IF(ISERROR('Eigen informatie GS &amp; warmtenet'!B57),0,'Eigen informatie GS &amp; warmtenet'!B57)</f>
        <v>0</v>
      </c>
      <c r="D5" s="30">
        <f>(SUM(HH_hh_gas_kWh,HH_rest_gas_kWh)/1000)*0.902</f>
        <v>98544.391868574545</v>
      </c>
      <c r="E5" s="17">
        <f>B46*B57</f>
        <v>10912.899123665808</v>
      </c>
      <c r="F5" s="17">
        <f>B51*B62</f>
        <v>0</v>
      </c>
      <c r="G5" s="18"/>
      <c r="H5" s="17"/>
      <c r="I5" s="17"/>
      <c r="J5" s="17">
        <f>B50*B61+C50*C61</f>
        <v>2323.9600905521547</v>
      </c>
      <c r="K5" s="17"/>
      <c r="L5" s="17"/>
      <c r="M5" s="17"/>
      <c r="N5" s="17">
        <f>B48*B59+C48*C59</f>
        <v>13630.894232603718</v>
      </c>
      <c r="O5" s="17">
        <f>B69*B70*B71</f>
        <v>320.48333333333335</v>
      </c>
      <c r="P5" s="17">
        <f>B77*B78*B79/1000-B77*B78*B79/1000/B80</f>
        <v>1029.5999999999999</v>
      </c>
    </row>
    <row r="6" spans="1:16">
      <c r="A6" s="16" t="s">
        <v>620</v>
      </c>
      <c r="B6" s="762">
        <f>kWh_PV_kleiner_dan_10kW</f>
        <v>3833.7596229898008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46504.614860551374</v>
      </c>
      <c r="C8" s="21">
        <f>C5</f>
        <v>0</v>
      </c>
      <c r="D8" s="21">
        <f>D5</f>
        <v>98544.391868574545</v>
      </c>
      <c r="E8" s="21">
        <f>E5</f>
        <v>10912.899123665808</v>
      </c>
      <c r="F8" s="21">
        <f>F5</f>
        <v>0</v>
      </c>
      <c r="G8" s="21"/>
      <c r="H8" s="21"/>
      <c r="I8" s="21"/>
      <c r="J8" s="21">
        <f>J5</f>
        <v>2323.9600905521547</v>
      </c>
      <c r="K8" s="21"/>
      <c r="L8" s="21">
        <f>L5</f>
        <v>0</v>
      </c>
      <c r="M8" s="21">
        <f>M5</f>
        <v>0</v>
      </c>
      <c r="N8" s="21">
        <f>N5</f>
        <v>13630.894232603718</v>
      </c>
      <c r="O8" s="21">
        <f>O5</f>
        <v>320.48333333333335</v>
      </c>
      <c r="P8" s="21">
        <f>P5</f>
        <v>1029.5999999999999</v>
      </c>
    </row>
    <row r="9" spans="1:16">
      <c r="B9" s="19"/>
      <c r="C9" s="19"/>
      <c r="D9" s="258"/>
      <c r="E9" s="19"/>
      <c r="F9" s="19"/>
      <c r="G9" s="19"/>
      <c r="H9" s="19"/>
      <c r="I9" s="19"/>
      <c r="J9" s="19"/>
      <c r="K9" s="19"/>
      <c r="L9" s="19"/>
      <c r="M9" s="19"/>
      <c r="N9" s="19"/>
      <c r="O9" s="19"/>
      <c r="P9" s="19"/>
    </row>
    <row r="10" spans="1:16">
      <c r="A10" s="24" t="s">
        <v>213</v>
      </c>
      <c r="B10" s="25">
        <f ca="1">'EF ele_warmte'!B12</f>
        <v>0.21187298375060346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9853.0715086776727</v>
      </c>
      <c r="C12" s="23">
        <f ca="1">C10*C8</f>
        <v>0</v>
      </c>
      <c r="D12" s="23">
        <f>D8*D10</f>
        <v>19905.967157452058</v>
      </c>
      <c r="E12" s="23">
        <f>E10*E8</f>
        <v>2477.2281010721385</v>
      </c>
      <c r="F12" s="23">
        <f>F10*F8</f>
        <v>0</v>
      </c>
      <c r="G12" s="23"/>
      <c r="H12" s="23"/>
      <c r="I12" s="23"/>
      <c r="J12" s="23">
        <f>J10*J8</f>
        <v>822.68187205546269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4298</v>
      </c>
      <c r="C18" s="166" t="s">
        <v>110</v>
      </c>
      <c r="D18" s="228"/>
      <c r="E18" s="15"/>
    </row>
    <row r="19" spans="1:7">
      <c r="A19" s="171" t="s">
        <v>71</v>
      </c>
      <c r="B19" s="37">
        <f>aantalw2001_ander</f>
        <v>2</v>
      </c>
      <c r="C19" s="166" t="s">
        <v>110</v>
      </c>
      <c r="D19" s="229"/>
      <c r="E19" s="15"/>
    </row>
    <row r="20" spans="1:7">
      <c r="A20" s="171" t="s">
        <v>72</v>
      </c>
      <c r="B20" s="37">
        <f>aantalw2001_propaan</f>
        <v>96</v>
      </c>
      <c r="C20" s="167">
        <f>IF(ISERROR(B20/SUM($B$20,$B$21,$B$22)*100),0,B20/SUM($B$20,$B$21,$B$22)*100)</f>
        <v>6.2704114957544093</v>
      </c>
      <c r="D20" s="229"/>
      <c r="E20" s="15"/>
    </row>
    <row r="21" spans="1:7">
      <c r="A21" s="171" t="s">
        <v>73</v>
      </c>
      <c r="B21" s="37">
        <f>aantalw2001_elektriciteit</f>
        <v>1348</v>
      </c>
      <c r="C21" s="167">
        <f>IF(ISERROR(B21/SUM($B$20,$B$21,$B$22)*100),0,B21/SUM($B$20,$B$21,$B$22)*100)</f>
        <v>88.047028086218162</v>
      </c>
      <c r="D21" s="229"/>
      <c r="E21" s="15"/>
    </row>
    <row r="22" spans="1:7">
      <c r="A22" s="171" t="s">
        <v>74</v>
      </c>
      <c r="B22" s="37">
        <f>aantalw2001_hout</f>
        <v>87</v>
      </c>
      <c r="C22" s="167">
        <f>IF(ISERROR(B22/SUM($B$20,$B$21,$B$22)*100),0,B22/SUM($B$20,$B$21,$B$22)*100)</f>
        <v>5.6825604180274336</v>
      </c>
      <c r="D22" s="229"/>
      <c r="E22" s="15"/>
    </row>
    <row r="23" spans="1:7">
      <c r="A23" s="171" t="s">
        <v>75</v>
      </c>
      <c r="B23" s="37">
        <f>aantalw2001_niet_gespec</f>
        <v>169</v>
      </c>
      <c r="C23" s="166" t="s">
        <v>110</v>
      </c>
      <c r="D23" s="228"/>
      <c r="E23" s="15"/>
    </row>
    <row r="24" spans="1:7">
      <c r="A24" s="171" t="s">
        <v>76</v>
      </c>
      <c r="B24" s="37">
        <f>aantalw2001_steenkool</f>
        <v>485</v>
      </c>
      <c r="C24" s="166" t="s">
        <v>110</v>
      </c>
      <c r="D24" s="229"/>
      <c r="E24" s="15"/>
    </row>
    <row r="25" spans="1:7">
      <c r="A25" s="171" t="s">
        <v>77</v>
      </c>
      <c r="B25" s="37">
        <f>aantalw2001_stookolie</f>
        <v>2881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10949</v>
      </c>
      <c r="C28" s="36"/>
      <c r="D28" s="228"/>
    </row>
    <row r="29" spans="1:7" s="15" customFormat="1">
      <c r="A29" s="230" t="s">
        <v>781</v>
      </c>
      <c r="B29" s="37">
        <f>SUM(HH_hh_gas_aantal,HH_rest_gas_aantal)</f>
        <v>7432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7432</v>
      </c>
      <c r="C32" s="167">
        <f>IF(ISERROR(B32/SUM($B$32,$B$34,$B$35,$B$36,$B$38,$B$39)*100),0,B32/SUM($B$32,$B$34,$B$35,$B$36,$B$38,$B$39)*100)</f>
        <v>68.214777420835247</v>
      </c>
      <c r="D32" s="233"/>
      <c r="G32" s="15"/>
    </row>
    <row r="33" spans="1:7">
      <c r="A33" s="171" t="s">
        <v>71</v>
      </c>
      <c r="B33" s="34" t="s">
        <v>110</v>
      </c>
      <c r="C33" s="167"/>
      <c r="D33" s="233"/>
      <c r="G33" s="15"/>
    </row>
    <row r="34" spans="1:7">
      <c r="A34" s="171" t="s">
        <v>72</v>
      </c>
      <c r="B34" s="33">
        <f>IF((($B$28-$B$32-$B$39-$B$77-$B$38)*C20/100)&lt;0,0,($B$28-$B$32-$B$39-$B$77-$B$38)*C20/100)</f>
        <v>206.38432397126064</v>
      </c>
      <c r="C34" s="167">
        <f>IF(ISERROR(B34/SUM($B$32,$B$34,$B$35,$B$36,$B$38,$B$39)*100),0,B34/SUM($B$32,$B$34,$B$35,$B$36,$B$38,$B$39)*100)</f>
        <v>1.8943031112552604</v>
      </c>
      <c r="D34" s="233"/>
      <c r="G34" s="15"/>
    </row>
    <row r="35" spans="1:7">
      <c r="A35" s="171" t="s">
        <v>73</v>
      </c>
      <c r="B35" s="33">
        <f>IF((($B$28-$B$32-$B$39-$B$77-$B$38)*C21/100)&lt;0,0,($B$28-$B$32-$B$39-$B$77-$B$38)*C21/100)</f>
        <v>2897.9798824297845</v>
      </c>
      <c r="C35" s="167">
        <f>IF(ISERROR(B35/SUM($B$32,$B$34,$B$35,$B$36,$B$38,$B$39)*100),0,B35/SUM($B$32,$B$34,$B$35,$B$36,$B$38,$B$39)*100)</f>
        <v>26.599172853875945</v>
      </c>
      <c r="D35" s="233"/>
      <c r="G35" s="15"/>
    </row>
    <row r="36" spans="1:7">
      <c r="A36" s="171" t="s">
        <v>74</v>
      </c>
      <c r="B36" s="33">
        <f>IF((($B$28-$B$32-$B$39-$B$77-$B$38)*C22/100)&lt;0,0,($B$28-$B$32-$B$39-$B$77-$B$38)*C22/100)</f>
        <v>187.03579359895494</v>
      </c>
      <c r="C36" s="167">
        <f>IF(ISERROR(B36/SUM($B$32,$B$34,$B$35,$B$36,$B$38,$B$39)*100),0,B36/SUM($B$32,$B$34,$B$35,$B$36,$B$38,$B$39)*100)</f>
        <v>1.7167121945750798</v>
      </c>
      <c r="D36" s="233"/>
      <c r="G36" s="15"/>
    </row>
    <row r="37" spans="1:7">
      <c r="A37" s="171" t="s">
        <v>75</v>
      </c>
      <c r="B37" s="34" t="s">
        <v>110</v>
      </c>
      <c r="C37" s="167"/>
      <c r="D37" s="173"/>
      <c r="G37" s="15"/>
    </row>
    <row r="38" spans="1:7">
      <c r="A38" s="171" t="s">
        <v>76</v>
      </c>
      <c r="B38" s="33">
        <f>IF((B24-(B29-B18)*0.1)&lt;0,0,B24-(B29-B18)*0.1)</f>
        <v>171.59999999999997</v>
      </c>
      <c r="C38" s="167">
        <f>IF(ISERROR(B38/SUM($B$32,$B$34,$B$35,$B$36,$B$38,$B$39)*100),0,B38/SUM($B$32,$B$34,$B$35,$B$36,$B$38,$B$39)*100)</f>
        <v>1.5750344194584667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7432</v>
      </c>
      <c r="C44" s="34" t="s">
        <v>110</v>
      </c>
      <c r="D44" s="174"/>
    </row>
    <row r="45" spans="1:7">
      <c r="A45" s="171" t="s">
        <v>71</v>
      </c>
      <c r="B45" s="33" t="str">
        <f t="shared" si="0"/>
        <v>-</v>
      </c>
      <c r="C45" s="34" t="s">
        <v>110</v>
      </c>
      <c r="D45" s="174"/>
    </row>
    <row r="46" spans="1:7">
      <c r="A46" s="171" t="s">
        <v>72</v>
      </c>
      <c r="B46" s="33">
        <f t="shared" si="0"/>
        <v>206.38432397126064</v>
      </c>
      <c r="C46" s="34" t="s">
        <v>110</v>
      </c>
      <c r="D46" s="174"/>
    </row>
    <row r="47" spans="1:7">
      <c r="A47" s="171" t="s">
        <v>73</v>
      </c>
      <c r="B47" s="33">
        <f t="shared" si="0"/>
        <v>2897.9798824297845</v>
      </c>
      <c r="C47" s="34" t="s">
        <v>110</v>
      </c>
      <c r="D47" s="174"/>
    </row>
    <row r="48" spans="1:7">
      <c r="A48" s="171" t="s">
        <v>74</v>
      </c>
      <c r="B48" s="33">
        <f t="shared" si="0"/>
        <v>187.03579359895494</v>
      </c>
      <c r="C48" s="33">
        <f>B48*10</f>
        <v>1870.3579359895493</v>
      </c>
      <c r="D48" s="234"/>
    </row>
    <row r="49" spans="1:6">
      <c r="A49" s="171" t="s">
        <v>75</v>
      </c>
      <c r="B49" s="33" t="str">
        <f t="shared" si="0"/>
        <v>-</v>
      </c>
      <c r="C49" s="34" t="s">
        <v>110</v>
      </c>
      <c r="D49" s="234"/>
    </row>
    <row r="50" spans="1:6">
      <c r="A50" s="171" t="s">
        <v>76</v>
      </c>
      <c r="B50" s="33">
        <f t="shared" si="0"/>
        <v>171.59999999999997</v>
      </c>
      <c r="C50" s="33">
        <f>B50*2</f>
        <v>343.19999999999993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36350.900717302182</v>
      </c>
      <c r="C5" s="17">
        <f>IF(ISERROR('Eigen informatie GS &amp; warmtenet'!B58),0,'Eigen informatie GS &amp; warmtenet'!B58)</f>
        <v>0</v>
      </c>
      <c r="D5" s="30">
        <f>SUM(D6:D12)</f>
        <v>45061.996012928728</v>
      </c>
      <c r="E5" s="17">
        <f>SUM(E6:E12)</f>
        <v>614.8038085484061</v>
      </c>
      <c r="F5" s="17">
        <f>SUM(F6:F12)</f>
        <v>6495.4564326972813</v>
      </c>
      <c r="G5" s="18"/>
      <c r="H5" s="17"/>
      <c r="I5" s="17"/>
      <c r="J5" s="17">
        <f>SUM(J6:J12)</f>
        <v>8.5055943582869845E-2</v>
      </c>
      <c r="K5" s="17"/>
      <c r="L5" s="17"/>
      <c r="M5" s="17"/>
      <c r="N5" s="17">
        <f>SUM(N6:N12)</f>
        <v>3385.9467356148316</v>
      </c>
      <c r="O5" s="17">
        <f>B38*B39*B40</f>
        <v>9.3800000000000008</v>
      </c>
      <c r="P5" s="17">
        <f>B46*B47*B48/1000-B46*B47*B48/1000/B49</f>
        <v>19.066666666666666</v>
      </c>
      <c r="R5" s="32"/>
    </row>
    <row r="6" spans="1:18">
      <c r="A6" s="32" t="s">
        <v>53</v>
      </c>
      <c r="B6" s="37">
        <f>B26</f>
        <v>9287.6354469304606</v>
      </c>
      <c r="C6" s="33"/>
      <c r="D6" s="37">
        <f>IF(ISERROR(TER_kantoor_gas_kWh/1000),0,TER_kantoor_gas_kWh/1000)*0.902</f>
        <v>8485.7339949148845</v>
      </c>
      <c r="E6" s="33">
        <f>$C$26*'E Balans VL '!I12/100/3.6*1000000</f>
        <v>5.8211809962204319E-2</v>
      </c>
      <c r="F6" s="33">
        <f>$C$26*('E Balans VL '!L12+'E Balans VL '!N12)/100/3.6*1000000</f>
        <v>1395.6720863877395</v>
      </c>
      <c r="G6" s="34"/>
      <c r="H6" s="33"/>
      <c r="I6" s="33"/>
      <c r="J6" s="33">
        <f>$C$26*('E Balans VL '!D12+'E Balans VL '!E12)/100/3.6*1000000</f>
        <v>0</v>
      </c>
      <c r="K6" s="33"/>
      <c r="L6" s="33"/>
      <c r="M6" s="33"/>
      <c r="N6" s="33">
        <f>$C$26*'E Balans VL '!Y12/100/3.6*1000000</f>
        <v>8.8822462619115345</v>
      </c>
      <c r="O6" s="33"/>
      <c r="P6" s="33"/>
      <c r="R6" s="32"/>
    </row>
    <row r="7" spans="1:18">
      <c r="A7" s="32" t="s">
        <v>52</v>
      </c>
      <c r="B7" s="37">
        <f t="shared" ref="B7:B12" si="0">B27</f>
        <v>2586.3300154766102</v>
      </c>
      <c r="C7" s="33"/>
      <c r="D7" s="37">
        <f>IF(ISERROR(TER_horeca_gas_kWh/1000),0,TER_horeca_gas_kWh/1000)*0.902</f>
        <v>3634.1437827853138</v>
      </c>
      <c r="E7" s="33">
        <f>$C$27*'E Balans VL '!I9/100/3.6*1000000</f>
        <v>37.035815021283447</v>
      </c>
      <c r="F7" s="33">
        <f>$C$27*('E Balans VL '!L9+'E Balans VL '!N9)/100/3.6*1000000</f>
        <v>327.51468040952284</v>
      </c>
      <c r="G7" s="34"/>
      <c r="H7" s="33"/>
      <c r="I7" s="33"/>
      <c r="J7" s="33">
        <f>$C$27*('E Balans VL '!D9+'E Balans VL '!E9)/100/3.6*1000000</f>
        <v>0</v>
      </c>
      <c r="K7" s="33"/>
      <c r="L7" s="33"/>
      <c r="M7" s="33"/>
      <c r="N7" s="33">
        <f>$C$27*'E Balans VL '!Y9/100/3.6*1000000</f>
        <v>0.74351285576757786</v>
      </c>
      <c r="O7" s="33"/>
      <c r="P7" s="33"/>
      <c r="R7" s="32"/>
    </row>
    <row r="8" spans="1:18">
      <c r="A8" s="6" t="s">
        <v>51</v>
      </c>
      <c r="B8" s="37">
        <f t="shared" si="0"/>
        <v>13364.7561935424</v>
      </c>
      <c r="C8" s="33"/>
      <c r="D8" s="37">
        <f>IF(ISERROR(TER_handel_gas_kWh/1000),0,TER_handel_gas_kWh/1000)*0.902</f>
        <v>7318.1851225184173</v>
      </c>
      <c r="E8" s="33">
        <f>$C$28*'E Balans VL '!I13/100/3.6*1000000</f>
        <v>484.738059071885</v>
      </c>
      <c r="F8" s="33">
        <f>$C$28*('E Balans VL '!L13+'E Balans VL '!N13)/100/3.6*1000000</f>
        <v>2574.1873696365324</v>
      </c>
      <c r="G8" s="34"/>
      <c r="H8" s="33"/>
      <c r="I8" s="33"/>
      <c r="J8" s="33">
        <f>$C$28*('E Balans VL '!D13+'E Balans VL '!E13)/100/3.6*1000000</f>
        <v>0</v>
      </c>
      <c r="K8" s="33"/>
      <c r="L8" s="33"/>
      <c r="M8" s="33"/>
      <c r="N8" s="33">
        <f>$C$28*'E Balans VL '!Y13/100/3.6*1000000</f>
        <v>18.513262421311307</v>
      </c>
      <c r="O8" s="33"/>
      <c r="P8" s="33"/>
      <c r="R8" s="32"/>
    </row>
    <row r="9" spans="1:18">
      <c r="A9" s="32" t="s">
        <v>50</v>
      </c>
      <c r="B9" s="37">
        <f t="shared" si="0"/>
        <v>959.42296269584403</v>
      </c>
      <c r="C9" s="33"/>
      <c r="D9" s="37">
        <f>IF(ISERROR(TER_gezond_gas_kWh/1000),0,TER_gezond_gas_kWh/1000)*0.902</f>
        <v>2923.7099259633469</v>
      </c>
      <c r="E9" s="33">
        <f>$C$29*'E Balans VL '!I10/100/3.6*1000000</f>
        <v>6.0069350055194051E-2</v>
      </c>
      <c r="F9" s="33">
        <f>$C$29*('E Balans VL '!L10+'E Balans VL '!N10)/100/3.6*1000000</f>
        <v>142.52520227319204</v>
      </c>
      <c r="G9" s="34"/>
      <c r="H9" s="33"/>
      <c r="I9" s="33"/>
      <c r="J9" s="33">
        <f>$C$29*('E Balans VL '!D10+'E Balans VL '!E10)/100/3.6*1000000</f>
        <v>0</v>
      </c>
      <c r="K9" s="33"/>
      <c r="L9" s="33"/>
      <c r="M9" s="33"/>
      <c r="N9" s="33">
        <f>$C$29*'E Balans VL '!Y10/100/3.6*1000000</f>
        <v>14.840446963381771</v>
      </c>
      <c r="O9" s="33"/>
      <c r="P9" s="33"/>
      <c r="R9" s="32"/>
    </row>
    <row r="10" spans="1:18">
      <c r="A10" s="32" t="s">
        <v>49</v>
      </c>
      <c r="B10" s="37">
        <f t="shared" si="0"/>
        <v>3338.5331913674904</v>
      </c>
      <c r="C10" s="33"/>
      <c r="D10" s="37">
        <f>IF(ISERROR(TER_ander_gas_kWh/1000),0,TER_ander_gas_kWh/1000)*0.902</f>
        <v>7174.879062123111</v>
      </c>
      <c r="E10" s="33">
        <f>$C$30*'E Balans VL '!I14/100/3.6*1000000</f>
        <v>3.9794122650917805</v>
      </c>
      <c r="F10" s="33">
        <f>$C$30*('E Balans VL '!L14+'E Balans VL '!N14)/100/3.6*1000000</f>
        <v>873.50870239008748</v>
      </c>
      <c r="G10" s="34"/>
      <c r="H10" s="33"/>
      <c r="I10" s="33"/>
      <c r="J10" s="33">
        <f>$C$30*('E Balans VL '!D14+'E Balans VL '!E14)/100/3.6*1000000</f>
        <v>7.2466468895827182E-2</v>
      </c>
      <c r="K10" s="33"/>
      <c r="L10" s="33"/>
      <c r="M10" s="33"/>
      <c r="N10" s="33">
        <f>$C$30*'E Balans VL '!Y14/100/3.6*1000000</f>
        <v>2835.0006933519871</v>
      </c>
      <c r="O10" s="33"/>
      <c r="P10" s="33"/>
      <c r="R10" s="32"/>
    </row>
    <row r="11" spans="1:18">
      <c r="A11" s="32" t="s">
        <v>54</v>
      </c>
      <c r="B11" s="37">
        <f t="shared" si="0"/>
        <v>1615.23736826405</v>
      </c>
      <c r="C11" s="33"/>
      <c r="D11" s="37">
        <f>IF(ISERROR(TER_onderwijs_gas_kWh/1000),0,TER_onderwijs_gas_kWh/1000)*0.902</f>
        <v>6581.0569091998113</v>
      </c>
      <c r="E11" s="33">
        <f>$C$31*'E Balans VL '!I11/100/3.6*1000000</f>
        <v>24.371330299938801</v>
      </c>
      <c r="F11" s="33">
        <f>$C$31*('E Balans VL '!L11+'E Balans VL '!N11)/100/3.6*1000000</f>
        <v>283.0153911044855</v>
      </c>
      <c r="G11" s="34"/>
      <c r="H11" s="33"/>
      <c r="I11" s="33"/>
      <c r="J11" s="33">
        <f>$C$31*('E Balans VL '!D11+'E Balans VL '!E11)/100/3.6*1000000</f>
        <v>0</v>
      </c>
      <c r="K11" s="33"/>
      <c r="L11" s="33"/>
      <c r="M11" s="33"/>
      <c r="N11" s="33">
        <f>$C$31*'E Balans VL '!Y11/100/3.6*1000000</f>
        <v>4.5454007493160375</v>
      </c>
      <c r="O11" s="33"/>
      <c r="P11" s="33"/>
      <c r="R11" s="32"/>
    </row>
    <row r="12" spans="1:18">
      <c r="A12" s="32" t="s">
        <v>259</v>
      </c>
      <c r="B12" s="37">
        <f t="shared" si="0"/>
        <v>5198.9855390253297</v>
      </c>
      <c r="C12" s="33"/>
      <c r="D12" s="37">
        <f>IF(ISERROR(TER_rest_gas_kWh/1000),0,TER_rest_gas_kWh/1000)*0.902</f>
        <v>8944.287215423843</v>
      </c>
      <c r="E12" s="33">
        <f>$C$32*'E Balans VL '!I8/100/3.6*1000000</f>
        <v>64.560910730189704</v>
      </c>
      <c r="F12" s="33">
        <f>$C$32*('E Balans VL '!L8+'E Balans VL '!N8)/100/3.6*1000000</f>
        <v>899.03300049572147</v>
      </c>
      <c r="G12" s="34"/>
      <c r="H12" s="33"/>
      <c r="I12" s="33"/>
      <c r="J12" s="33">
        <f>$C$32*('E Balans VL '!D8+'E Balans VL '!E8)/100/3.6*1000000</f>
        <v>1.2589474687042667E-2</v>
      </c>
      <c r="K12" s="33"/>
      <c r="L12" s="33"/>
      <c r="M12" s="33"/>
      <c r="N12" s="33">
        <f>$C$32*'E Balans VL '!Y8/100/3.6*1000000</f>
        <v>503.42117301115627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36350.900717302182</v>
      </c>
      <c r="C16" s="21">
        <f t="shared" ca="1" si="1"/>
        <v>0</v>
      </c>
      <c r="D16" s="21">
        <f t="shared" ca="1" si="1"/>
        <v>45061.996012928728</v>
      </c>
      <c r="E16" s="21">
        <f t="shared" si="1"/>
        <v>614.8038085484061</v>
      </c>
      <c r="F16" s="21">
        <f t="shared" ca="1" si="1"/>
        <v>6495.4564326972813</v>
      </c>
      <c r="G16" s="21">
        <f t="shared" si="1"/>
        <v>0</v>
      </c>
      <c r="H16" s="21">
        <f t="shared" si="1"/>
        <v>0</v>
      </c>
      <c r="I16" s="21">
        <f t="shared" si="1"/>
        <v>0</v>
      </c>
      <c r="J16" s="21">
        <f t="shared" si="1"/>
        <v>8.5055943582869845E-2</v>
      </c>
      <c r="K16" s="21">
        <f t="shared" si="1"/>
        <v>0</v>
      </c>
      <c r="L16" s="21">
        <f t="shared" ca="1" si="1"/>
        <v>0</v>
      </c>
      <c r="M16" s="21">
        <f t="shared" si="1"/>
        <v>0</v>
      </c>
      <c r="N16" s="21">
        <f t="shared" ca="1" si="1"/>
        <v>3385.9467356148316</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0.21187298375060346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7701.7737969967648</v>
      </c>
      <c r="C20" s="23">
        <f t="shared" ref="C20:P20" ca="1" si="2">C16*C18</f>
        <v>0</v>
      </c>
      <c r="D20" s="23">
        <f t="shared" ca="1" si="2"/>
        <v>9102.5231946116037</v>
      </c>
      <c r="E20" s="23">
        <f t="shared" si="2"/>
        <v>139.5604645404882</v>
      </c>
      <c r="F20" s="23">
        <f t="shared" ca="1" si="2"/>
        <v>1734.2868675301743</v>
      </c>
      <c r="G20" s="23">
        <f t="shared" si="2"/>
        <v>0</v>
      </c>
      <c r="H20" s="23">
        <f t="shared" si="2"/>
        <v>0</v>
      </c>
      <c r="I20" s="23">
        <f t="shared" si="2"/>
        <v>0</v>
      </c>
      <c r="J20" s="23">
        <f t="shared" si="2"/>
        <v>3.0109804028335924E-2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9287.6354469304606</v>
      </c>
      <c r="C26" s="39">
        <f>IF(ISERROR(B26*3.6/1000000/'E Balans VL '!Z12*100),0,B26*3.6/1000000/'E Balans VL '!Z12*100)</f>
        <v>0.19632590054513432</v>
      </c>
      <c r="D26" s="237" t="s">
        <v>744</v>
      </c>
      <c r="F26" s="6"/>
    </row>
    <row r="27" spans="1:18">
      <c r="A27" s="231" t="s">
        <v>52</v>
      </c>
      <c r="B27" s="33">
        <f>IF(ISERROR(TER_horeca_ele_kWh/1000),0,TER_horeca_ele_kWh/1000)</f>
        <v>2586.3300154766102</v>
      </c>
      <c r="C27" s="39">
        <f>IF(ISERROR(B27*3.6/1000000/'E Balans VL '!Z9*100),0,B27*3.6/1000000/'E Balans VL '!Z9*100)</f>
        <v>0.20387943114561174</v>
      </c>
      <c r="D27" s="237" t="s">
        <v>744</v>
      </c>
      <c r="F27" s="6"/>
    </row>
    <row r="28" spans="1:18">
      <c r="A28" s="171" t="s">
        <v>51</v>
      </c>
      <c r="B28" s="33">
        <f>IF(ISERROR(TER_handel_ele_kWh/1000),0,TER_handel_ele_kWh/1000)</f>
        <v>13364.7561935424</v>
      </c>
      <c r="C28" s="39">
        <f>IF(ISERROR(B28*3.6/1000000/'E Balans VL '!Z13*100),0,B28*3.6/1000000/'E Balans VL '!Z13*100)</f>
        <v>0.38789922440261454</v>
      </c>
      <c r="D28" s="237" t="s">
        <v>744</v>
      </c>
      <c r="F28" s="6"/>
    </row>
    <row r="29" spans="1:18">
      <c r="A29" s="231" t="s">
        <v>50</v>
      </c>
      <c r="B29" s="33">
        <f>IF(ISERROR(TER_gezond_ele_kWh/1000),0,TER_gezond_ele_kWh/1000)</f>
        <v>959.42296269584403</v>
      </c>
      <c r="C29" s="39">
        <f>IF(ISERROR(B29*3.6/1000000/'E Balans VL '!Z10*100),0,B29*3.6/1000000/'E Balans VL '!Z10*100)</f>
        <v>0.10104299211276828</v>
      </c>
      <c r="D29" s="237" t="s">
        <v>744</v>
      </c>
      <c r="F29" s="6"/>
    </row>
    <row r="30" spans="1:18">
      <c r="A30" s="231" t="s">
        <v>49</v>
      </c>
      <c r="B30" s="33">
        <f>IF(ISERROR(TER_ander_ele_kWh/1000),0,TER_ander_ele_kWh/1000)</f>
        <v>3338.5331913674904</v>
      </c>
      <c r="C30" s="39">
        <f>IF(ISERROR(B30*3.6/1000000/'E Balans VL '!Z14*100),0,B30*3.6/1000000/'E Balans VL '!Z14*100)</f>
        <v>0.2462509333210682</v>
      </c>
      <c r="D30" s="237" t="s">
        <v>744</v>
      </c>
      <c r="F30" s="6"/>
    </row>
    <row r="31" spans="1:18">
      <c r="A31" s="231" t="s">
        <v>54</v>
      </c>
      <c r="B31" s="33">
        <f>IF(ISERROR(TER_onderwijs_ele_kWh/1000),0,TER_onderwijs_ele_kWh/1000)</f>
        <v>1615.23736826405</v>
      </c>
      <c r="C31" s="39">
        <f>IF(ISERROR(B31*3.6/1000000/'E Balans VL '!Z11*100),0,B31*3.6/1000000/'E Balans VL '!Z11*100)</f>
        <v>0.40113910071419445</v>
      </c>
      <c r="D31" s="237" t="s">
        <v>744</v>
      </c>
    </row>
    <row r="32" spans="1:18">
      <c r="A32" s="231" t="s">
        <v>259</v>
      </c>
      <c r="B32" s="33">
        <f>IF(ISERROR(TER_rest_ele_kWh/1000),0,TER_rest_ele_kWh/1000)</f>
        <v>5198.9855390253297</v>
      </c>
      <c r="C32" s="39">
        <f>IF(ISERROR(B32*3.6/1000000/'E Balans VL '!Z8*100),0,B32*3.6/1000000/'E Balans VL '!Z8*100)</f>
        <v>4.278075003437537E-2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93804.860658499034</v>
      </c>
      <c r="C5" s="17">
        <f>IF(ISERROR('Eigen informatie GS &amp; warmtenet'!B59),0,'Eigen informatie GS &amp; warmtenet'!B59)</f>
        <v>0</v>
      </c>
      <c r="D5" s="30">
        <f>SUM(D6:D15)</f>
        <v>65996.181304708327</v>
      </c>
      <c r="E5" s="17">
        <f>SUM(E6:E15)</f>
        <v>15642.291895196917</v>
      </c>
      <c r="F5" s="17">
        <f>SUM(F6:F15)</f>
        <v>44104.897544589832</v>
      </c>
      <c r="G5" s="18"/>
      <c r="H5" s="17"/>
      <c r="I5" s="17"/>
      <c r="J5" s="17">
        <f>SUM(J6:J15)</f>
        <v>42.397549456156746</v>
      </c>
      <c r="K5" s="17"/>
      <c r="L5" s="17"/>
      <c r="M5" s="17"/>
      <c r="N5" s="17">
        <f>SUM(N6:N15)</f>
        <v>5744.9464115492301</v>
      </c>
      <c r="O5" s="17">
        <f>B43*B44*B45</f>
        <v>0</v>
      </c>
      <c r="P5" s="17">
        <f>B51*B52*B53/1000-B51*B52*B53/1000/B54</f>
        <v>0</v>
      </c>
      <c r="R5" s="32"/>
    </row>
    <row r="6" spans="1:18">
      <c r="A6" s="6" t="s">
        <v>34</v>
      </c>
      <c r="B6" s="37">
        <f>IF( ISERROR(IND_ijzer_ele_kWh/1000),0,IND_ijzer_ele_kWh/1000)</f>
        <v>1404.9143639552701</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3368.7330481794902</v>
      </c>
      <c r="C8" s="33"/>
      <c r="D8" s="37">
        <f>IF( ISERROR(IND_metaal_Gas_kWH/1000),0,IND_metaal_Gas_kWH/1000)*0.902</f>
        <v>999.9509552109472</v>
      </c>
      <c r="E8" s="33">
        <f>C30*'E Balans VL '!I18/100/3.6*1000000</f>
        <v>30.972246824691091</v>
      </c>
      <c r="F8" s="33">
        <f>C30*'E Balans VL '!L18/100/3.6*1000000+C30*'E Balans VL '!N18/100/3.6*1000000</f>
        <v>315.8750034430696</v>
      </c>
      <c r="G8" s="34"/>
      <c r="H8" s="33"/>
      <c r="I8" s="33"/>
      <c r="J8" s="40">
        <f>C30*'E Balans VL '!D18/100/3.6*1000000+C30*'E Balans VL '!E18/100/3.6*1000000</f>
        <v>0</v>
      </c>
      <c r="K8" s="33"/>
      <c r="L8" s="33"/>
      <c r="M8" s="33"/>
      <c r="N8" s="33">
        <f>C30*'E Balans VL '!Y18/100/3.6*1000000</f>
        <v>48.06054399807752</v>
      </c>
      <c r="O8" s="33"/>
      <c r="P8" s="33"/>
      <c r="R8" s="32"/>
    </row>
    <row r="9" spans="1:18">
      <c r="A9" s="6" t="s">
        <v>32</v>
      </c>
      <c r="B9" s="37">
        <f t="shared" si="0"/>
        <v>50954.392413170201</v>
      </c>
      <c r="C9" s="33"/>
      <c r="D9" s="37">
        <f>IF( ISERROR(IND_andere_gas_kWh/1000),0,IND_andere_gas_kWh/1000)*0.902</f>
        <v>3043.9423291310095</v>
      </c>
      <c r="E9" s="33">
        <f>C31*'E Balans VL '!I19/100/3.6*1000000</f>
        <v>14894.960867388334</v>
      </c>
      <c r="F9" s="33">
        <f>C31*'E Balans VL '!L19/100/3.6*1000000+C31*'E Balans VL '!N19/100/3.6*1000000</f>
        <v>40945.711197093748</v>
      </c>
      <c r="G9" s="34"/>
      <c r="H9" s="33"/>
      <c r="I9" s="33"/>
      <c r="J9" s="40">
        <f>C31*'E Balans VL '!D19/100/3.6*1000000+C31*'E Balans VL '!E19/100/3.6*1000000</f>
        <v>0</v>
      </c>
      <c r="K9" s="33"/>
      <c r="L9" s="33"/>
      <c r="M9" s="33"/>
      <c r="N9" s="33">
        <f>C31*'E Balans VL '!Y19/100/3.6*1000000</f>
        <v>3996.7933362194976</v>
      </c>
      <c r="O9" s="33"/>
      <c r="P9" s="33"/>
      <c r="R9" s="32"/>
    </row>
    <row r="10" spans="1:18">
      <c r="A10" s="6" t="s">
        <v>40</v>
      </c>
      <c r="B10" s="37">
        <f t="shared" si="0"/>
        <v>3895.4195711519701</v>
      </c>
      <c r="C10" s="33"/>
      <c r="D10" s="37">
        <f>IF( ISERROR(IND_voed_gas_kWh/1000),0,IND_voed_gas_kWh/1000)*0.902</f>
        <v>1494.9020167539177</v>
      </c>
      <c r="E10" s="33">
        <f>C32*'E Balans VL '!I20/100/3.6*1000000</f>
        <v>8.2408205019678036</v>
      </c>
      <c r="F10" s="33">
        <f>C32*'E Balans VL '!L20/100/3.6*1000000+C32*'E Balans VL '!N20/100/3.6*1000000</f>
        <v>247.67475538825022</v>
      </c>
      <c r="G10" s="34"/>
      <c r="H10" s="33"/>
      <c r="I10" s="33"/>
      <c r="J10" s="40">
        <f>C32*'E Balans VL '!D20/100/3.6*1000000+C32*'E Balans VL '!E20/100/3.6*1000000</f>
        <v>0</v>
      </c>
      <c r="K10" s="33"/>
      <c r="L10" s="33"/>
      <c r="M10" s="33"/>
      <c r="N10" s="33">
        <f>C32*'E Balans VL '!Y20/100/3.6*1000000</f>
        <v>268.82239134910236</v>
      </c>
      <c r="O10" s="33"/>
      <c r="P10" s="33"/>
      <c r="R10" s="32"/>
    </row>
    <row r="11" spans="1:18">
      <c r="A11" s="6" t="s">
        <v>39</v>
      </c>
      <c r="B11" s="37">
        <f t="shared" si="0"/>
        <v>102.697527737909</v>
      </c>
      <c r="C11" s="33"/>
      <c r="D11" s="37">
        <f>IF( ISERROR(IND_textiel_gas_kWh/1000),0,IND_textiel_gas_kWh/1000)*0.902</f>
        <v>0</v>
      </c>
      <c r="E11" s="33">
        <f>C33*'E Balans VL '!I21/100/3.6*1000000</f>
        <v>0.30500280315253897</v>
      </c>
      <c r="F11" s="33">
        <f>C33*'E Balans VL '!L21/100/3.6*1000000+C33*'E Balans VL '!N21/100/3.6*1000000</f>
        <v>10.375269771431185</v>
      </c>
      <c r="G11" s="34"/>
      <c r="H11" s="33"/>
      <c r="I11" s="33"/>
      <c r="J11" s="40">
        <f>C33*'E Balans VL '!D21/100/3.6*1000000+C33*'E Balans VL '!E21/100/3.6*1000000</f>
        <v>0</v>
      </c>
      <c r="K11" s="33"/>
      <c r="L11" s="33"/>
      <c r="M11" s="33"/>
      <c r="N11" s="33">
        <f>C33*'E Balans VL '!Y21/100/3.6*1000000</f>
        <v>5.6640963989374242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254.344743507597</v>
      </c>
      <c r="C13" s="33"/>
      <c r="D13" s="37">
        <f>IF( ISERROR(IND_papier_gas_kWh/1000),0,IND_papier_gas_kWh/1000)*0.902</f>
        <v>136.98849816163451</v>
      </c>
      <c r="E13" s="33">
        <f>C35*'E Balans VL '!I23/100/3.6*1000000</f>
        <v>0.36085702284599841</v>
      </c>
      <c r="F13" s="33">
        <f>C35*'E Balans VL '!L23/100/3.6*1000000+C35*'E Balans VL '!N23/100/3.6*1000000</f>
        <v>6.2095115869192217</v>
      </c>
      <c r="G13" s="34"/>
      <c r="H13" s="33"/>
      <c r="I13" s="33"/>
      <c r="J13" s="40">
        <f>C35*'E Balans VL '!D23/100/3.6*1000000+C35*'E Balans VL '!E23/100/3.6*1000000</f>
        <v>3.9336802517416544E-2</v>
      </c>
      <c r="K13" s="33"/>
      <c r="L13" s="33"/>
      <c r="M13" s="33"/>
      <c r="N13" s="33">
        <f>C35*'E Balans VL '!Y23/100/3.6*1000000</f>
        <v>103.92157444574612</v>
      </c>
      <c r="O13" s="33"/>
      <c r="P13" s="33"/>
      <c r="R13" s="32"/>
    </row>
    <row r="14" spans="1:18">
      <c r="A14" s="6" t="s">
        <v>33</v>
      </c>
      <c r="B14" s="37">
        <f t="shared" si="0"/>
        <v>21992.393167920298</v>
      </c>
      <c r="C14" s="33"/>
      <c r="D14" s="37">
        <f>IF( ISERROR(IND_chemie_gas_kWh/1000),0,IND_chemie_gas_kWh/1000)*0.902</f>
        <v>0</v>
      </c>
      <c r="E14" s="33">
        <f>C36*'E Balans VL '!I24/100/3.6*1000000</f>
        <v>54.138970745189226</v>
      </c>
      <c r="F14" s="33">
        <f>C36*'E Balans VL '!L24/100/3.6*1000000+C36*'E Balans VL '!N24/100/3.6*1000000</f>
        <v>235.4935145793556</v>
      </c>
      <c r="G14" s="34"/>
      <c r="H14" s="33"/>
      <c r="I14" s="33"/>
      <c r="J14" s="40">
        <f>C36*'E Balans VL '!D24/100/3.6*1000000+C36*'E Balans VL '!E24/100/3.6*1000000</f>
        <v>0</v>
      </c>
      <c r="K14" s="33"/>
      <c r="L14" s="33"/>
      <c r="M14" s="33"/>
      <c r="N14" s="33">
        <f>C36*'E Balans VL '!Y24/100/3.6*1000000</f>
        <v>491.1444281727978</v>
      </c>
      <c r="O14" s="33"/>
      <c r="P14" s="33"/>
      <c r="R14" s="32"/>
    </row>
    <row r="15" spans="1:18">
      <c r="A15" s="6" t="s">
        <v>269</v>
      </c>
      <c r="B15" s="37">
        <f t="shared" si="0"/>
        <v>11831.9658228763</v>
      </c>
      <c r="C15" s="33"/>
      <c r="D15" s="37">
        <f>IF( ISERROR(IND_rest_gas_kWh/1000),0,IND_rest_gas_kWh/1000)*0.902</f>
        <v>60320.397505450812</v>
      </c>
      <c r="E15" s="33">
        <f>C37*'E Balans VL '!I15/100/3.6*1000000</f>
        <v>653.31312991073764</v>
      </c>
      <c r="F15" s="33">
        <f>C37*'E Balans VL '!L15/100/3.6*1000000+C37*'E Balans VL '!N15/100/3.6*1000000</f>
        <v>2343.5582927270566</v>
      </c>
      <c r="G15" s="34"/>
      <c r="H15" s="33"/>
      <c r="I15" s="33"/>
      <c r="J15" s="40">
        <f>C37*'E Balans VL '!D15/100/3.6*1000000+C37*'E Balans VL '!E15/100/3.6*1000000</f>
        <v>42.358212653639328</v>
      </c>
      <c r="K15" s="33"/>
      <c r="L15" s="33"/>
      <c r="M15" s="33"/>
      <c r="N15" s="33">
        <f>C37*'E Balans VL '!Y15/100/3.6*1000000</f>
        <v>830.5400409650714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93804.860658499034</v>
      </c>
      <c r="C18" s="21">
        <f>C5+C16</f>
        <v>0</v>
      </c>
      <c r="D18" s="21">
        <f>MAX((D5+D16),0)</f>
        <v>65996.181304708327</v>
      </c>
      <c r="E18" s="21">
        <f>MAX((E5+E16),0)</f>
        <v>15642.291895196917</v>
      </c>
      <c r="F18" s="21">
        <f>MAX((F5+F16),0)</f>
        <v>44104.897544589832</v>
      </c>
      <c r="G18" s="21"/>
      <c r="H18" s="21"/>
      <c r="I18" s="21"/>
      <c r="J18" s="21">
        <f>MAX((J5+J16),0)</f>
        <v>42.397549456156746</v>
      </c>
      <c r="K18" s="21"/>
      <c r="L18" s="21">
        <f>MAX((L5+L16),0)</f>
        <v>0</v>
      </c>
      <c r="M18" s="21"/>
      <c r="N18" s="21">
        <f>MAX((N5+N16),0)</f>
        <v>5744.9464115492301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0.21187298375060346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19874.715718025785</v>
      </c>
      <c r="C22" s="23">
        <f ca="1">C18*C20</f>
        <v>0</v>
      </c>
      <c r="D22" s="23">
        <f>D18*D20</f>
        <v>13331.228623551084</v>
      </c>
      <c r="E22" s="23">
        <f>E18*E20</f>
        <v>3550.8002602097004</v>
      </c>
      <c r="F22" s="23">
        <f>F18*F20</f>
        <v>11776.007644405487</v>
      </c>
      <c r="G22" s="23"/>
      <c r="H22" s="23"/>
      <c r="I22" s="23"/>
      <c r="J22" s="23">
        <f>J18*J20</f>
        <v>15.008732507479488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3368.7330481794902</v>
      </c>
      <c r="C30" s="39">
        <f>IF(ISERROR(B30*3.6/1000000/'E Balans VL '!Z18*100),0,B30*3.6/1000000/'E Balans VL '!Z18*100)</f>
        <v>0.19091473983683402</v>
      </c>
      <c r="D30" s="237" t="s">
        <v>744</v>
      </c>
    </row>
    <row r="31" spans="1:18">
      <c r="A31" s="6" t="s">
        <v>32</v>
      </c>
      <c r="B31" s="37">
        <f>IF( ISERROR(IND_ander_ele_kWh/1000),0,IND_ander_ele_kWh/1000)</f>
        <v>50954.392413170201</v>
      </c>
      <c r="C31" s="39">
        <f>IF(ISERROR(B31*3.6/1000000/'E Balans VL '!Z19*100),0,B31*3.6/1000000/'E Balans VL '!Z19*100)</f>
        <v>2.3110790694641525</v>
      </c>
      <c r="D31" s="237" t="s">
        <v>744</v>
      </c>
    </row>
    <row r="32" spans="1:18">
      <c r="A32" s="171" t="s">
        <v>40</v>
      </c>
      <c r="B32" s="37">
        <f>IF( ISERROR(IND_voed_ele_kWh/1000),0,IND_voed_ele_kWh/1000)</f>
        <v>3895.4195711519701</v>
      </c>
      <c r="C32" s="39">
        <f>IF(ISERROR(B32*3.6/1000000/'E Balans VL '!Z20*100),0,B32*3.6/1000000/'E Balans VL '!Z20*100)</f>
        <v>0.12050301104745054</v>
      </c>
      <c r="D32" s="237" t="s">
        <v>744</v>
      </c>
    </row>
    <row r="33" spans="1:5">
      <c r="A33" s="171" t="s">
        <v>39</v>
      </c>
      <c r="B33" s="37">
        <f>IF( ISERROR(IND_textiel_ele_kWh/1000),0,IND_textiel_ele_kWh/1000)</f>
        <v>102.697527737909</v>
      </c>
      <c r="C33" s="39">
        <f>IF(ISERROR(B33*3.6/1000000/'E Balans VL '!Z21*100),0,B33*3.6/1000000/'E Balans VL '!Z21*100)</f>
        <v>1.3390616075875097E-2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254.344743507597</v>
      </c>
      <c r="C35" s="39">
        <f>IF(ISERROR(B35*3.6/1000000/'E Balans VL '!Z22*100),0,B35*3.6/1000000/'E Balans VL '!Z22*100)</f>
        <v>4.5748683892411345E-2</v>
      </c>
      <c r="D35" s="237" t="s">
        <v>744</v>
      </c>
    </row>
    <row r="36" spans="1:5">
      <c r="A36" s="171" t="s">
        <v>33</v>
      </c>
      <c r="B36" s="37">
        <f>IF( ISERROR(IND_chemie_ele_kWh/1000),0,IND_chemie_ele_kWh/1000)</f>
        <v>21992.393167920298</v>
      </c>
      <c r="C36" s="39">
        <f>IF(ISERROR(B36*3.6/1000000/'E Balans VL '!Z24*100),0,B36*3.6/1000000/'E Balans VL '!Z24*100)</f>
        <v>0.67063658416603655</v>
      </c>
      <c r="D36" s="237" t="s">
        <v>744</v>
      </c>
    </row>
    <row r="37" spans="1:5">
      <c r="A37" s="171" t="s">
        <v>269</v>
      </c>
      <c r="B37" s="37">
        <f>IF( ISERROR(IND_rest_ele_kWh/1000),0,IND_rest_ele_kWh/1000)</f>
        <v>11831.9658228763</v>
      </c>
      <c r="C37" s="39">
        <f>IF(ISERROR(B37*3.6/1000000/'E Balans VL '!Z15*100),0,B37*3.6/1000000/'E Balans VL '!Z15*100)</f>
        <v>9.3782860182296632E-2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1513.4013559803091</v>
      </c>
      <c r="C5" s="17">
        <f>'Eigen informatie GS &amp; warmtenet'!B60</f>
        <v>0</v>
      </c>
      <c r="D5" s="30">
        <f>IF(ISERROR(SUM(LB_lb_gas_kWh,LB_rest_gas_kWh)/1000),0,SUM(LB_lb_gas_kWh,LB_rest_gas_kWh)/1000)*0.902</f>
        <v>509.31049582127793</v>
      </c>
      <c r="E5" s="17">
        <f>B17*'E Balans VL '!I25/3.6*1000000/100</f>
        <v>44.483488313533854</v>
      </c>
      <c r="F5" s="17">
        <f>B17*('E Balans VL '!L25/3.6*1000000+'E Balans VL '!N25/3.6*1000000)/100</f>
        <v>6304.7482690971265</v>
      </c>
      <c r="G5" s="18"/>
      <c r="H5" s="17"/>
      <c r="I5" s="17"/>
      <c r="J5" s="17">
        <f>('E Balans VL '!D25+'E Balans VL '!E25)/3.6*1000000*landbouw!B17/100</f>
        <v>219.25935581539562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1513.4013559803091</v>
      </c>
      <c r="C8" s="21">
        <f>C5+C6</f>
        <v>0</v>
      </c>
      <c r="D8" s="21">
        <f>MAX((D5+D6),0)</f>
        <v>509.31049582127793</v>
      </c>
      <c r="E8" s="21">
        <f>MAX((E5+E6),0)</f>
        <v>44.483488313533854</v>
      </c>
      <c r="F8" s="21">
        <f>MAX((F5+F6),0)</f>
        <v>6304.7482690971265</v>
      </c>
      <c r="G8" s="21"/>
      <c r="H8" s="21"/>
      <c r="I8" s="21"/>
      <c r="J8" s="21">
        <f>MAX((J5+J6),0)</f>
        <v>219.25935581539562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0.21187298375060346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320.64886090375728</v>
      </c>
      <c r="C12" s="23">
        <f ca="1">C8*C10</f>
        <v>0</v>
      </c>
      <c r="D12" s="23">
        <f>D8*D10</f>
        <v>102.88072015589815</v>
      </c>
      <c r="E12" s="23">
        <f>E8*E10</f>
        <v>10.097751847172185</v>
      </c>
      <c r="F12" s="23">
        <f>F8*F10</f>
        <v>1683.3677878489329</v>
      </c>
      <c r="G12" s="23"/>
      <c r="H12" s="23"/>
      <c r="I12" s="23"/>
      <c r="J12" s="23">
        <f>J8*J10</f>
        <v>77.617811958650051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0.21475640056555634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223.70068255173084</v>
      </c>
      <c r="C26" s="247">
        <f>B26*'GWP N2O_CH4'!B5</f>
        <v>4697.7143335863475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33.313529221179735</v>
      </c>
      <c r="C27" s="247">
        <f>B27*'GWP N2O_CH4'!B5</f>
        <v>699.58411364477445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2.9433979203215581</v>
      </c>
      <c r="C28" s="247">
        <f>B28*'GWP N2O_CH4'!B4</f>
        <v>912.45335529968304</v>
      </c>
      <c r="D28" s="50"/>
    </row>
    <row r="29" spans="1:4">
      <c r="A29" s="41" t="s">
        <v>276</v>
      </c>
      <c r="B29" s="247">
        <f>B34*'ha_N2O bodem landbouw'!B4</f>
        <v>11.215587300503884</v>
      </c>
      <c r="C29" s="247">
        <f>B29*'GWP N2O_CH4'!B4</f>
        <v>3476.8320631562042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2.5593583713416951E-3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2.8694324675041676E-4</v>
      </c>
      <c r="C5" s="437" t="s">
        <v>210</v>
      </c>
      <c r="D5" s="422">
        <f>SUM(D6:D11)</f>
        <v>7.572353728503207E-4</v>
      </c>
      <c r="E5" s="422">
        <f>SUM(E6:E11)</f>
        <v>1.460856865830918E-3</v>
      </c>
      <c r="F5" s="435" t="s">
        <v>210</v>
      </c>
      <c r="G5" s="422">
        <f>SUM(G6:G11)</f>
        <v>0.64159491913139732</v>
      </c>
      <c r="H5" s="422">
        <f>SUM(H6:H11)</f>
        <v>0.13123612644424523</v>
      </c>
      <c r="I5" s="437" t="s">
        <v>210</v>
      </c>
      <c r="J5" s="437" t="s">
        <v>210</v>
      </c>
      <c r="K5" s="437" t="s">
        <v>210</v>
      </c>
      <c r="L5" s="437" t="s">
        <v>210</v>
      </c>
      <c r="M5" s="422">
        <f>SUM(M6:M11)</f>
        <v>4.1349083495951365E-2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9.7236049973032496E-5</v>
      </c>
      <c r="C6" s="423"/>
      <c r="D6" s="865">
        <f>vkm_GW_PW*SUMIFS(TableVerdeelsleutelVkm[CNG],TableVerdeelsleutelVkm[Voertuigtype],"Lichte voertuigen")*SUMIFS(TableECFTransport[EnergieConsumptieFactor (PJ per km)],TableECFTransport[Index],CONCATENATE($A6,"_CNG_CNG"))</f>
        <v>2.4097467381108343E-4</v>
      </c>
      <c r="E6" s="865">
        <f>vkm_GW_PW*SUMIFS(TableVerdeelsleutelVkm[LPG],TableVerdeelsleutelVkm[Voertuigtype],"Lichte voertuigen")*SUMIFS(TableECFTransport[EnergieConsumptieFactor (PJ per km)],TableECFTransport[Index],CONCATENATE($A6,"_LPG_LPG"))</f>
        <v>4.1369334022828784E-4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0.12676164708330717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4.0942603732979865E-2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8.6114911565100261E-3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5.6444257134721329E-2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9.4420975112105065E-7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3.2977871070806195E-3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2.7085204347802198E-5</v>
      </c>
      <c r="C8" s="423"/>
      <c r="D8" s="425">
        <f>vkm_NGW_PW*SUMIFS(TableVerdeelsleutelVkm[CNG],TableVerdeelsleutelVkm[Voertuigtype],"Lichte voertuigen")*SUMIFS(TableECFTransport[EnergieConsumptieFactor (PJ per km)],TableECFTransport[Index],CONCATENATE($A8,"_CNG_CNG"))</f>
        <v>1.1345370037473207E-4</v>
      </c>
      <c r="E8" s="425">
        <f>vkm_NGW_PW*SUMIFS(TableVerdeelsleutelVkm[LPG],TableVerdeelsleutelVkm[Voertuigtype],"Lichte voertuigen")*SUMIFS(TableECFTransport[EnergieConsumptieFactor (PJ per km)],TableECFTransport[Index],CONCATENATE($A8,"_LPG_LPG"))</f>
        <v>1.8496628085670546E-4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5.3311672129762649E-2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1.885228495331627E-2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3.6697876029437087E-3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1.569155207304922E-2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3.23354900621766E-7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9.1678944659651931E-4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1.6262199242958209E-4</v>
      </c>
      <c r="C10" s="423"/>
      <c r="D10" s="425">
        <f>vkm_SW_PW*SUMIFS(TableVerdeelsleutelVkm[CNG],TableVerdeelsleutelVkm[Voertuigtype],"Lichte voertuigen")*SUMIFS(TableECFTransport[EnergieConsumptieFactor (PJ per km)],TableECFTransport[Index],CONCATENATE($A10,"_CNG_CNG"))</f>
        <v>4.0280699866450522E-4</v>
      </c>
      <c r="E10" s="425">
        <f>vkm_SW_PW*SUMIFS(TableVerdeelsleutelVkm[LPG],TableVerdeelsleutelVkm[Voertuigtype],"Lichte voertuigen")*SUMIFS(TableECFTransport[EnergieConsumptieFactor (PJ per km)],TableECFTransport[Index],CONCATENATE($A10,"_LPG_LPG"))</f>
        <v>8.6219724474592468E-4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0.23635295321531663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7.1437243175870482E-2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1.5912194644770887E-2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0.15303283749524035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2.7270174268669643E-6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8.9410335380496041E-3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79.706457430671321</v>
      </c>
      <c r="C14" s="21"/>
      <c r="D14" s="21">
        <f t="shared" ref="D14:M14" si="0">((D5)*10^9/3600)+D12</f>
        <v>210.34315912508907</v>
      </c>
      <c r="E14" s="21">
        <f t="shared" si="0"/>
        <v>405.79357384192167</v>
      </c>
      <c r="F14" s="21"/>
      <c r="G14" s="21">
        <f t="shared" si="0"/>
        <v>178220.81086983261</v>
      </c>
      <c r="H14" s="21">
        <f t="shared" si="0"/>
        <v>36454.479567845898</v>
      </c>
      <c r="I14" s="21"/>
      <c r="J14" s="21"/>
      <c r="K14" s="21"/>
      <c r="L14" s="21"/>
      <c r="M14" s="21">
        <f t="shared" si="0"/>
        <v>11485.856526653157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0.21187298375060346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16.88764496002679</v>
      </c>
      <c r="C18" s="23"/>
      <c r="D18" s="23">
        <f t="shared" ref="D18:M18" si="1">D14*D16</f>
        <v>42.489318143267994</v>
      </c>
      <c r="E18" s="23">
        <f t="shared" si="1"/>
        <v>92.115141262116225</v>
      </c>
      <c r="F18" s="23"/>
      <c r="G18" s="23">
        <f t="shared" si="1"/>
        <v>47584.95650224531</v>
      </c>
      <c r="H18" s="23">
        <f t="shared" si="1"/>
        <v>9077.1654123936278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5.3647677357145452E-3</v>
      </c>
      <c r="H50" s="319">
        <f t="shared" si="2"/>
        <v>0</v>
      </c>
      <c r="I50" s="319">
        <f t="shared" si="2"/>
        <v>0</v>
      </c>
      <c r="J50" s="319">
        <f t="shared" si="2"/>
        <v>0</v>
      </c>
      <c r="K50" s="319">
        <f t="shared" si="2"/>
        <v>0</v>
      </c>
      <c r="L50" s="319">
        <f t="shared" si="2"/>
        <v>0</v>
      </c>
      <c r="M50" s="319">
        <f t="shared" si="2"/>
        <v>3.0467210780234905E-4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5.3647677357145452E-3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3.0467210780234905E-4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1490.2132599207071</v>
      </c>
      <c r="H54" s="21">
        <f t="shared" si="3"/>
        <v>0</v>
      </c>
      <c r="I54" s="21">
        <f t="shared" si="3"/>
        <v>0</v>
      </c>
      <c r="J54" s="21">
        <f t="shared" si="3"/>
        <v>0</v>
      </c>
      <c r="K54" s="21">
        <f t="shared" si="3"/>
        <v>0</v>
      </c>
      <c r="L54" s="21">
        <f t="shared" si="3"/>
        <v>0</v>
      </c>
      <c r="M54" s="21">
        <f t="shared" si="3"/>
        <v>84.631141056208065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0.21187298375060346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397.88694039882881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38245.30171730218</v>
      </c>
      <c r="D10" s="979">
        <f ca="1">tertiair!C16</f>
        <v>0</v>
      </c>
      <c r="E10" s="979">
        <f ca="1">tertiair!D16</f>
        <v>45061.996012928728</v>
      </c>
      <c r="F10" s="979">
        <f>tertiair!E16</f>
        <v>614.8038085484061</v>
      </c>
      <c r="G10" s="979">
        <f ca="1">tertiair!F16</f>
        <v>6495.4564326972813</v>
      </c>
      <c r="H10" s="979">
        <f>tertiair!G16</f>
        <v>0</v>
      </c>
      <c r="I10" s="979">
        <f>tertiair!H16</f>
        <v>0</v>
      </c>
      <c r="J10" s="979">
        <f>tertiair!I16</f>
        <v>0</v>
      </c>
      <c r="K10" s="979">
        <f>tertiair!J16</f>
        <v>8.5055943582869845E-2</v>
      </c>
      <c r="L10" s="979">
        <f>tertiair!K16</f>
        <v>0</v>
      </c>
      <c r="M10" s="979">
        <f ca="1">tertiair!L16</f>
        <v>0</v>
      </c>
      <c r="N10" s="979">
        <f>tertiair!M16</f>
        <v>0</v>
      </c>
      <c r="O10" s="979">
        <f ca="1">tertiair!N16</f>
        <v>3385.9467356148316</v>
      </c>
      <c r="P10" s="979">
        <f>tertiair!O16</f>
        <v>9.3800000000000008</v>
      </c>
      <c r="Q10" s="980">
        <f>tertiair!P16</f>
        <v>19.066666666666666</v>
      </c>
      <c r="R10" s="674">
        <f ca="1">SUM(C10:Q10)</f>
        <v>93832.036429701664</v>
      </c>
      <c r="S10" s="67"/>
    </row>
    <row r="11" spans="1:19" s="447" customFormat="1">
      <c r="A11" s="783" t="s">
        <v>224</v>
      </c>
      <c r="B11" s="788"/>
      <c r="C11" s="979">
        <f>huishoudens!B8</f>
        <v>46504.614860551374</v>
      </c>
      <c r="D11" s="979">
        <f>huishoudens!C8</f>
        <v>0</v>
      </c>
      <c r="E11" s="979">
        <f>huishoudens!D8</f>
        <v>98544.391868574545</v>
      </c>
      <c r="F11" s="979">
        <f>huishoudens!E8</f>
        <v>10912.899123665808</v>
      </c>
      <c r="G11" s="979">
        <f>huishoudens!F8</f>
        <v>0</v>
      </c>
      <c r="H11" s="979">
        <f>huishoudens!G8</f>
        <v>0</v>
      </c>
      <c r="I11" s="979">
        <f>huishoudens!H8</f>
        <v>0</v>
      </c>
      <c r="J11" s="979">
        <f>huishoudens!I8</f>
        <v>0</v>
      </c>
      <c r="K11" s="979">
        <f>huishoudens!J8</f>
        <v>2323.9600905521547</v>
      </c>
      <c r="L11" s="979">
        <f>huishoudens!K8</f>
        <v>0</v>
      </c>
      <c r="M11" s="979">
        <f>huishoudens!L8</f>
        <v>0</v>
      </c>
      <c r="N11" s="979">
        <f>huishoudens!M8</f>
        <v>0</v>
      </c>
      <c r="O11" s="979">
        <f>huishoudens!N8</f>
        <v>13630.894232603718</v>
      </c>
      <c r="P11" s="979">
        <f>huishoudens!O8</f>
        <v>320.48333333333335</v>
      </c>
      <c r="Q11" s="980">
        <f>huishoudens!P8</f>
        <v>1029.5999999999999</v>
      </c>
      <c r="R11" s="674">
        <f>SUM(C11:Q11)</f>
        <v>173266.84350928097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93804.860658499034</v>
      </c>
      <c r="D13" s="979">
        <f>industrie!C18</f>
        <v>0</v>
      </c>
      <c r="E13" s="979">
        <f>industrie!D18</f>
        <v>65996.181304708327</v>
      </c>
      <c r="F13" s="979">
        <f>industrie!E18</f>
        <v>15642.291895196917</v>
      </c>
      <c r="G13" s="979">
        <f>industrie!F18</f>
        <v>44104.897544589832</v>
      </c>
      <c r="H13" s="979">
        <f>industrie!G18</f>
        <v>0</v>
      </c>
      <c r="I13" s="979">
        <f>industrie!H18</f>
        <v>0</v>
      </c>
      <c r="J13" s="979">
        <f>industrie!I18</f>
        <v>0</v>
      </c>
      <c r="K13" s="979">
        <f>industrie!J18</f>
        <v>42.397549456156746</v>
      </c>
      <c r="L13" s="979">
        <f>industrie!K18</f>
        <v>0</v>
      </c>
      <c r="M13" s="979">
        <f>industrie!L18</f>
        <v>0</v>
      </c>
      <c r="N13" s="979">
        <f>industrie!M18</f>
        <v>0</v>
      </c>
      <c r="O13" s="979">
        <f>industrie!N18</f>
        <v>5744.9464115492301</v>
      </c>
      <c r="P13" s="979">
        <f>industrie!O18</f>
        <v>0</v>
      </c>
      <c r="Q13" s="980">
        <f>industrie!P18</f>
        <v>0</v>
      </c>
      <c r="R13" s="674">
        <f>SUM(C13:Q13)</f>
        <v>225335.57536399949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178554.77723635259</v>
      </c>
      <c r="D16" s="706">
        <f t="shared" ref="D16:R16" ca="1" si="0">SUM(D9:D15)</f>
        <v>0</v>
      </c>
      <c r="E16" s="706">
        <f t="shared" ca="1" si="0"/>
        <v>209602.56918621159</v>
      </c>
      <c r="F16" s="706">
        <f t="shared" si="0"/>
        <v>27169.99482741113</v>
      </c>
      <c r="G16" s="706">
        <f t="shared" ca="1" si="0"/>
        <v>50600.353977287115</v>
      </c>
      <c r="H16" s="706">
        <f t="shared" si="0"/>
        <v>0</v>
      </c>
      <c r="I16" s="706">
        <f t="shared" si="0"/>
        <v>0</v>
      </c>
      <c r="J16" s="706">
        <f t="shared" si="0"/>
        <v>0</v>
      </c>
      <c r="K16" s="706">
        <f t="shared" si="0"/>
        <v>2366.4426959518946</v>
      </c>
      <c r="L16" s="706">
        <f t="shared" si="0"/>
        <v>0</v>
      </c>
      <c r="M16" s="706">
        <f t="shared" ca="1" si="0"/>
        <v>0</v>
      </c>
      <c r="N16" s="706">
        <f t="shared" si="0"/>
        <v>0</v>
      </c>
      <c r="O16" s="706">
        <f t="shared" ca="1" si="0"/>
        <v>22761.787379767778</v>
      </c>
      <c r="P16" s="706">
        <f t="shared" si="0"/>
        <v>329.86333333333334</v>
      </c>
      <c r="Q16" s="706">
        <f t="shared" si="0"/>
        <v>1048.6666666666665</v>
      </c>
      <c r="R16" s="706">
        <f t="shared" ca="1" si="0"/>
        <v>492434.45530298213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1490.2132599207071</v>
      </c>
      <c r="I19" s="979">
        <f>transport!H54</f>
        <v>0</v>
      </c>
      <c r="J19" s="979">
        <f>transport!I54</f>
        <v>0</v>
      </c>
      <c r="K19" s="979">
        <f>transport!J54</f>
        <v>0</v>
      </c>
      <c r="L19" s="979">
        <f>transport!K54</f>
        <v>0</v>
      </c>
      <c r="M19" s="979">
        <f>transport!L54</f>
        <v>0</v>
      </c>
      <c r="N19" s="979">
        <f>transport!M54</f>
        <v>84.631141056208065</v>
      </c>
      <c r="O19" s="979">
        <f>transport!N54</f>
        <v>0</v>
      </c>
      <c r="P19" s="979">
        <f>transport!O54</f>
        <v>0</v>
      </c>
      <c r="Q19" s="980">
        <f>transport!P54</f>
        <v>0</v>
      </c>
      <c r="R19" s="674">
        <f>SUM(C19:Q19)</f>
        <v>1574.844400976915</v>
      </c>
      <c r="S19" s="67"/>
    </row>
    <row r="20" spans="1:19" s="447" customFormat="1">
      <c r="A20" s="783" t="s">
        <v>306</v>
      </c>
      <c r="B20" s="788"/>
      <c r="C20" s="979">
        <f>transport!B14</f>
        <v>79.706457430671321</v>
      </c>
      <c r="D20" s="979">
        <f>transport!C14</f>
        <v>0</v>
      </c>
      <c r="E20" s="979">
        <f>transport!D14</f>
        <v>210.34315912508907</v>
      </c>
      <c r="F20" s="979">
        <f>transport!E14</f>
        <v>405.79357384192167</v>
      </c>
      <c r="G20" s="979">
        <f>transport!F14</f>
        <v>0</v>
      </c>
      <c r="H20" s="979">
        <f>transport!G14</f>
        <v>178220.81086983261</v>
      </c>
      <c r="I20" s="979">
        <f>transport!H14</f>
        <v>36454.479567845898</v>
      </c>
      <c r="J20" s="979">
        <f>transport!I14</f>
        <v>0</v>
      </c>
      <c r="K20" s="979">
        <f>transport!J14</f>
        <v>0</v>
      </c>
      <c r="L20" s="979">
        <f>transport!K14</f>
        <v>0</v>
      </c>
      <c r="M20" s="979">
        <f>transport!L14</f>
        <v>0</v>
      </c>
      <c r="N20" s="979">
        <f>transport!M14</f>
        <v>11485.856526653157</v>
      </c>
      <c r="O20" s="979">
        <f>transport!N14</f>
        <v>0</v>
      </c>
      <c r="P20" s="979">
        <f>transport!O14</f>
        <v>0</v>
      </c>
      <c r="Q20" s="980">
        <f>transport!P14</f>
        <v>0</v>
      </c>
      <c r="R20" s="674">
        <f>SUM(C20:Q20)</f>
        <v>226856.99015472937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79.706457430671321</v>
      </c>
      <c r="D22" s="786">
        <f t="shared" ref="D22:R22" si="1">SUM(D18:D21)</f>
        <v>0</v>
      </c>
      <c r="E22" s="786">
        <f t="shared" si="1"/>
        <v>210.34315912508907</v>
      </c>
      <c r="F22" s="786">
        <f t="shared" si="1"/>
        <v>405.79357384192167</v>
      </c>
      <c r="G22" s="786">
        <f t="shared" si="1"/>
        <v>0</v>
      </c>
      <c r="H22" s="786">
        <f t="shared" si="1"/>
        <v>179711.02412975332</v>
      </c>
      <c r="I22" s="786">
        <f t="shared" si="1"/>
        <v>36454.479567845898</v>
      </c>
      <c r="J22" s="786">
        <f t="shared" si="1"/>
        <v>0</v>
      </c>
      <c r="K22" s="786">
        <f t="shared" si="1"/>
        <v>0</v>
      </c>
      <c r="L22" s="786">
        <f t="shared" si="1"/>
        <v>0</v>
      </c>
      <c r="M22" s="786">
        <f t="shared" si="1"/>
        <v>0</v>
      </c>
      <c r="N22" s="786">
        <f t="shared" si="1"/>
        <v>11570.487667709365</v>
      </c>
      <c r="O22" s="786">
        <f t="shared" si="1"/>
        <v>0</v>
      </c>
      <c r="P22" s="786">
        <f t="shared" si="1"/>
        <v>0</v>
      </c>
      <c r="Q22" s="786">
        <f t="shared" si="1"/>
        <v>0</v>
      </c>
      <c r="R22" s="786">
        <f t="shared" si="1"/>
        <v>228431.83455570627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1513.4013559803091</v>
      </c>
      <c r="D24" s="979">
        <f>+landbouw!C8</f>
        <v>0</v>
      </c>
      <c r="E24" s="979">
        <f>+landbouw!D8</f>
        <v>509.31049582127793</v>
      </c>
      <c r="F24" s="979">
        <f>+landbouw!E8</f>
        <v>44.483488313533854</v>
      </c>
      <c r="G24" s="979">
        <f>+landbouw!F8</f>
        <v>6304.7482690971265</v>
      </c>
      <c r="H24" s="979">
        <f>+landbouw!G8</f>
        <v>0</v>
      </c>
      <c r="I24" s="979">
        <f>+landbouw!H8</f>
        <v>0</v>
      </c>
      <c r="J24" s="979">
        <f>+landbouw!I8</f>
        <v>0</v>
      </c>
      <c r="K24" s="979">
        <f>+landbouw!J8</f>
        <v>219.25935581539562</v>
      </c>
      <c r="L24" s="979">
        <f>+landbouw!K8</f>
        <v>0</v>
      </c>
      <c r="M24" s="979">
        <f>+landbouw!L8</f>
        <v>0</v>
      </c>
      <c r="N24" s="979">
        <f>+landbouw!M8</f>
        <v>0</v>
      </c>
      <c r="O24" s="979">
        <f>+landbouw!N8</f>
        <v>0</v>
      </c>
      <c r="P24" s="979">
        <f>+landbouw!O8</f>
        <v>0</v>
      </c>
      <c r="Q24" s="980">
        <f>+landbouw!P8</f>
        <v>0</v>
      </c>
      <c r="R24" s="674">
        <f>SUM(C24:Q24)</f>
        <v>8591.2029650276418</v>
      </c>
      <c r="S24" s="67"/>
    </row>
    <row r="25" spans="1:19" s="447" customFormat="1" ht="15" thickBot="1">
      <c r="A25" s="805" t="s">
        <v>823</v>
      </c>
      <c r="B25" s="982"/>
      <c r="C25" s="983">
        <f>IF(Onbekend_ele_kWh="---",0,Onbekend_ele_kWh)/1000+IF(REST_rest_ele_kWh="---",0,REST_rest_ele_kWh)/1000</f>
        <v>1448.5613416956</v>
      </c>
      <c r="D25" s="983"/>
      <c r="E25" s="983">
        <f>IF(onbekend_gas_kWh="---",0,onbekend_gas_kWh)/1000+IF(REST_rest_gas_kWh="---",0,REST_rest_gas_kWh)/1000</f>
        <v>2762.05635415201</v>
      </c>
      <c r="F25" s="983"/>
      <c r="G25" s="983"/>
      <c r="H25" s="983"/>
      <c r="I25" s="983"/>
      <c r="J25" s="983"/>
      <c r="K25" s="983"/>
      <c r="L25" s="983"/>
      <c r="M25" s="983"/>
      <c r="N25" s="983"/>
      <c r="O25" s="983"/>
      <c r="P25" s="983"/>
      <c r="Q25" s="984"/>
      <c r="R25" s="674">
        <f>SUM(C25:Q25)</f>
        <v>4210.6176958476099</v>
      </c>
      <c r="S25" s="67"/>
    </row>
    <row r="26" spans="1:19" s="447" customFormat="1" ht="15.75" thickBot="1">
      <c r="A26" s="679" t="s">
        <v>824</v>
      </c>
      <c r="B26" s="791"/>
      <c r="C26" s="786">
        <f>SUM(C24:C25)</f>
        <v>2961.9626976759091</v>
      </c>
      <c r="D26" s="786">
        <f t="shared" ref="D26:R26" si="2">SUM(D24:D25)</f>
        <v>0</v>
      </c>
      <c r="E26" s="786">
        <f t="shared" si="2"/>
        <v>3271.366849973288</v>
      </c>
      <c r="F26" s="786">
        <f t="shared" si="2"/>
        <v>44.483488313533854</v>
      </c>
      <c r="G26" s="786">
        <f t="shared" si="2"/>
        <v>6304.7482690971265</v>
      </c>
      <c r="H26" s="786">
        <f t="shared" si="2"/>
        <v>0</v>
      </c>
      <c r="I26" s="786">
        <f t="shared" si="2"/>
        <v>0</v>
      </c>
      <c r="J26" s="786">
        <f t="shared" si="2"/>
        <v>0</v>
      </c>
      <c r="K26" s="786">
        <f t="shared" si="2"/>
        <v>219.25935581539562</v>
      </c>
      <c r="L26" s="786">
        <f t="shared" si="2"/>
        <v>0</v>
      </c>
      <c r="M26" s="786">
        <f t="shared" si="2"/>
        <v>0</v>
      </c>
      <c r="N26" s="786">
        <f t="shared" si="2"/>
        <v>0</v>
      </c>
      <c r="O26" s="786">
        <f t="shared" si="2"/>
        <v>0</v>
      </c>
      <c r="P26" s="786">
        <f t="shared" si="2"/>
        <v>0</v>
      </c>
      <c r="Q26" s="786">
        <f t="shared" si="2"/>
        <v>0</v>
      </c>
      <c r="R26" s="786">
        <f t="shared" si="2"/>
        <v>12801.820660875252</v>
      </c>
      <c r="S26" s="67"/>
    </row>
    <row r="27" spans="1:19" s="447" customFormat="1" ht="17.25" thickTop="1" thickBot="1">
      <c r="A27" s="680" t="s">
        <v>115</v>
      </c>
      <c r="B27" s="779"/>
      <c r="C27" s="681">
        <f ca="1">C22+C16+C26</f>
        <v>181596.44639145918</v>
      </c>
      <c r="D27" s="681">
        <f t="shared" ref="D27:R27" ca="1" si="3">D22+D16+D26</f>
        <v>0</v>
      </c>
      <c r="E27" s="681">
        <f t="shared" ca="1" si="3"/>
        <v>213084.27919530997</v>
      </c>
      <c r="F27" s="681">
        <f t="shared" si="3"/>
        <v>27620.271889566586</v>
      </c>
      <c r="G27" s="681">
        <f t="shared" ca="1" si="3"/>
        <v>56905.102246384238</v>
      </c>
      <c r="H27" s="681">
        <f t="shared" si="3"/>
        <v>179711.02412975332</v>
      </c>
      <c r="I27" s="681">
        <f t="shared" si="3"/>
        <v>36454.479567845898</v>
      </c>
      <c r="J27" s="681">
        <f t="shared" si="3"/>
        <v>0</v>
      </c>
      <c r="K27" s="681">
        <f t="shared" si="3"/>
        <v>2585.7020517672904</v>
      </c>
      <c r="L27" s="681">
        <f t="shared" si="3"/>
        <v>0</v>
      </c>
      <c r="M27" s="681">
        <f t="shared" ca="1" si="3"/>
        <v>0</v>
      </c>
      <c r="N27" s="681">
        <f t="shared" si="3"/>
        <v>11570.487667709365</v>
      </c>
      <c r="O27" s="681">
        <f t="shared" ca="1" si="3"/>
        <v>22761.787379767778</v>
      </c>
      <c r="P27" s="681">
        <f t="shared" si="3"/>
        <v>329.86333333333334</v>
      </c>
      <c r="Q27" s="681">
        <f t="shared" si="3"/>
        <v>1048.6666666666665</v>
      </c>
      <c r="R27" s="681">
        <f t="shared" ca="1" si="3"/>
        <v>733668.11051956366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8103.146189286892</v>
      </c>
      <c r="D40" s="979">
        <f ca="1">tertiair!C20</f>
        <v>0</v>
      </c>
      <c r="E40" s="979">
        <f ca="1">tertiair!D20</f>
        <v>9102.5231946116037</v>
      </c>
      <c r="F40" s="979">
        <f>tertiair!E20</f>
        <v>139.5604645404882</v>
      </c>
      <c r="G40" s="979">
        <f ca="1">tertiair!F20</f>
        <v>1734.2868675301743</v>
      </c>
      <c r="H40" s="979">
        <f>tertiair!G20</f>
        <v>0</v>
      </c>
      <c r="I40" s="979">
        <f>tertiair!H20</f>
        <v>0</v>
      </c>
      <c r="J40" s="979">
        <f>tertiair!I20</f>
        <v>0</v>
      </c>
      <c r="K40" s="979">
        <f>tertiair!J20</f>
        <v>3.0109804028335924E-2</v>
      </c>
      <c r="L40" s="979">
        <f>tertiair!K20</f>
        <v>0</v>
      </c>
      <c r="M40" s="979">
        <f ca="1">tertiair!L20</f>
        <v>0</v>
      </c>
      <c r="N40" s="979">
        <f>tertiair!M20</f>
        <v>0</v>
      </c>
      <c r="O40" s="979">
        <f ca="1">tertiair!N20</f>
        <v>0</v>
      </c>
      <c r="P40" s="979">
        <f>tertiair!O20</f>
        <v>0</v>
      </c>
      <c r="Q40" s="748">
        <f>tertiair!P20</f>
        <v>0</v>
      </c>
      <c r="R40" s="824">
        <f t="shared" ca="1" si="4"/>
        <v>19079.546825773185</v>
      </c>
    </row>
    <row r="41" spans="1:18">
      <c r="A41" s="796" t="s">
        <v>224</v>
      </c>
      <c r="B41" s="803"/>
      <c r="C41" s="979">
        <f ca="1">huishoudens!B12</f>
        <v>9853.0715086776727</v>
      </c>
      <c r="D41" s="979">
        <f ca="1">huishoudens!C12</f>
        <v>0</v>
      </c>
      <c r="E41" s="979">
        <f>huishoudens!D12</f>
        <v>19905.967157452058</v>
      </c>
      <c r="F41" s="979">
        <f>huishoudens!E12</f>
        <v>2477.2281010721385</v>
      </c>
      <c r="G41" s="979">
        <f>huishoudens!F12</f>
        <v>0</v>
      </c>
      <c r="H41" s="979">
        <f>huishoudens!G12</f>
        <v>0</v>
      </c>
      <c r="I41" s="979">
        <f>huishoudens!H12</f>
        <v>0</v>
      </c>
      <c r="J41" s="979">
        <f>huishoudens!I12</f>
        <v>0</v>
      </c>
      <c r="K41" s="979">
        <f>huishoudens!J12</f>
        <v>822.68187205546269</v>
      </c>
      <c r="L41" s="979">
        <f>huishoudens!K12</f>
        <v>0</v>
      </c>
      <c r="M41" s="979">
        <f>huishoudens!L12</f>
        <v>0</v>
      </c>
      <c r="N41" s="979">
        <f>huishoudens!M12</f>
        <v>0</v>
      </c>
      <c r="O41" s="979">
        <f>huishoudens!N12</f>
        <v>0</v>
      </c>
      <c r="P41" s="979">
        <f>huishoudens!O12</f>
        <v>0</v>
      </c>
      <c r="Q41" s="748">
        <f>huishoudens!P12</f>
        <v>0</v>
      </c>
      <c r="R41" s="824">
        <f t="shared" ca="1" si="4"/>
        <v>33058.948639257331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19874.715718025785</v>
      </c>
      <c r="D43" s="979">
        <f ca="1">industrie!C22</f>
        <v>0</v>
      </c>
      <c r="E43" s="979">
        <f>industrie!D22</f>
        <v>13331.228623551084</v>
      </c>
      <c r="F43" s="979">
        <f>industrie!E22</f>
        <v>3550.8002602097004</v>
      </c>
      <c r="G43" s="979">
        <f>industrie!F22</f>
        <v>11776.007644405487</v>
      </c>
      <c r="H43" s="979">
        <f>industrie!G22</f>
        <v>0</v>
      </c>
      <c r="I43" s="979">
        <f>industrie!H22</f>
        <v>0</v>
      </c>
      <c r="J43" s="979">
        <f>industrie!I22</f>
        <v>0</v>
      </c>
      <c r="K43" s="979">
        <f>industrie!J22</f>
        <v>15.008732507479488</v>
      </c>
      <c r="L43" s="979">
        <f>industrie!K22</f>
        <v>0</v>
      </c>
      <c r="M43" s="979">
        <f>industrie!L22</f>
        <v>0</v>
      </c>
      <c r="N43" s="979">
        <f>industrie!M22</f>
        <v>0</v>
      </c>
      <c r="O43" s="979">
        <f>industrie!N22</f>
        <v>0</v>
      </c>
      <c r="P43" s="979">
        <f>industrie!O22</f>
        <v>0</v>
      </c>
      <c r="Q43" s="748">
        <f>industrie!P22</f>
        <v>0</v>
      </c>
      <c r="R43" s="823">
        <f t="shared" ca="1" si="4"/>
        <v>48547.760978699538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37830.933415990352</v>
      </c>
      <c r="D46" s="706">
        <f t="shared" ref="D46:Q46" ca="1" si="5">SUM(D39:D45)</f>
        <v>0</v>
      </c>
      <c r="E46" s="706">
        <f t="shared" ca="1" si="5"/>
        <v>42339.718975614742</v>
      </c>
      <c r="F46" s="706">
        <f t="shared" si="5"/>
        <v>6167.5888258223276</v>
      </c>
      <c r="G46" s="706">
        <f t="shared" ca="1" si="5"/>
        <v>13510.294511935661</v>
      </c>
      <c r="H46" s="706">
        <f t="shared" si="5"/>
        <v>0</v>
      </c>
      <c r="I46" s="706">
        <f t="shared" si="5"/>
        <v>0</v>
      </c>
      <c r="J46" s="706">
        <f t="shared" si="5"/>
        <v>0</v>
      </c>
      <c r="K46" s="706">
        <f t="shared" si="5"/>
        <v>837.72071436697058</v>
      </c>
      <c r="L46" s="706">
        <f t="shared" si="5"/>
        <v>0</v>
      </c>
      <c r="M46" s="706">
        <f t="shared" ca="1" si="5"/>
        <v>0</v>
      </c>
      <c r="N46" s="706">
        <f t="shared" si="5"/>
        <v>0</v>
      </c>
      <c r="O46" s="706">
        <f t="shared" ca="1" si="5"/>
        <v>0</v>
      </c>
      <c r="P46" s="706">
        <f t="shared" si="5"/>
        <v>0</v>
      </c>
      <c r="Q46" s="706">
        <f t="shared" si="5"/>
        <v>0</v>
      </c>
      <c r="R46" s="706">
        <f ca="1">SUM(R39:R45)</f>
        <v>100686.25644373006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397.88694039882881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397.88694039882881</v>
      </c>
    </row>
    <row r="50" spans="1:18">
      <c r="A50" s="799" t="s">
        <v>306</v>
      </c>
      <c r="B50" s="809"/>
      <c r="C50" s="677">
        <f ca="1">transport!B18</f>
        <v>16.88764496002679</v>
      </c>
      <c r="D50" s="677">
        <f>transport!C18</f>
        <v>0</v>
      </c>
      <c r="E50" s="677">
        <f>transport!D18</f>
        <v>42.489318143267994</v>
      </c>
      <c r="F50" s="677">
        <f>transport!E18</f>
        <v>92.115141262116225</v>
      </c>
      <c r="G50" s="677">
        <f>transport!F18</f>
        <v>0</v>
      </c>
      <c r="H50" s="677">
        <f>transport!G18</f>
        <v>47584.95650224531</v>
      </c>
      <c r="I50" s="677">
        <f>transport!H18</f>
        <v>9077.1654123936278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56813.614019004352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16.88764496002679</v>
      </c>
      <c r="D52" s="706">
        <f t="shared" ref="D52:Q52" ca="1" si="6">SUM(D48:D51)</f>
        <v>0</v>
      </c>
      <c r="E52" s="706">
        <f t="shared" si="6"/>
        <v>42.489318143267994</v>
      </c>
      <c r="F52" s="706">
        <f t="shared" si="6"/>
        <v>92.115141262116225</v>
      </c>
      <c r="G52" s="706">
        <f t="shared" si="6"/>
        <v>0</v>
      </c>
      <c r="H52" s="706">
        <f t="shared" si="6"/>
        <v>47982.843442644138</v>
      </c>
      <c r="I52" s="706">
        <f t="shared" si="6"/>
        <v>9077.1654123936278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57211.50095940318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320.64886090375728</v>
      </c>
      <c r="D54" s="677">
        <f ca="1">+landbouw!C12</f>
        <v>0</v>
      </c>
      <c r="E54" s="677">
        <f>+landbouw!D12</f>
        <v>102.88072015589815</v>
      </c>
      <c r="F54" s="677">
        <f>+landbouw!E12</f>
        <v>10.097751847172185</v>
      </c>
      <c r="G54" s="677">
        <f>+landbouw!F12</f>
        <v>1683.3677878489329</v>
      </c>
      <c r="H54" s="677">
        <f>+landbouw!G12</f>
        <v>0</v>
      </c>
      <c r="I54" s="677">
        <f>+landbouw!H12</f>
        <v>0</v>
      </c>
      <c r="J54" s="677">
        <f>+landbouw!I12</f>
        <v>0</v>
      </c>
      <c r="K54" s="677">
        <f>+landbouw!J12</f>
        <v>77.617811958650051</v>
      </c>
      <c r="L54" s="677">
        <f>+landbouw!K12</f>
        <v>0</v>
      </c>
      <c r="M54" s="677">
        <f>+landbouw!L12</f>
        <v>0</v>
      </c>
      <c r="N54" s="677">
        <f>+landbouw!M12</f>
        <v>0</v>
      </c>
      <c r="O54" s="677">
        <f>+landbouw!N12</f>
        <v>0</v>
      </c>
      <c r="P54" s="677">
        <f>+landbouw!O12</f>
        <v>0</v>
      </c>
      <c r="Q54" s="678">
        <f>+landbouw!P12</f>
        <v>0</v>
      </c>
      <c r="R54" s="705">
        <f ca="1">SUM(C54:Q54)</f>
        <v>2194.6129327144108</v>
      </c>
    </row>
    <row r="55" spans="1:18" ht="15" thickBot="1">
      <c r="A55" s="799" t="s">
        <v>823</v>
      </c>
      <c r="B55" s="809"/>
      <c r="C55" s="677">
        <f ca="1">C25*'EF ele_warmte'!B12</f>
        <v>306.91101361082423</v>
      </c>
      <c r="D55" s="677"/>
      <c r="E55" s="677">
        <f>E25*EF_CO2_aardgas</f>
        <v>557.93538353870611</v>
      </c>
      <c r="F55" s="677"/>
      <c r="G55" s="677"/>
      <c r="H55" s="677"/>
      <c r="I55" s="677"/>
      <c r="J55" s="677"/>
      <c r="K55" s="677"/>
      <c r="L55" s="677"/>
      <c r="M55" s="677"/>
      <c r="N55" s="677"/>
      <c r="O55" s="677"/>
      <c r="P55" s="677"/>
      <c r="Q55" s="678"/>
      <c r="R55" s="705">
        <f ca="1">SUM(C55:Q55)</f>
        <v>864.84639714953028</v>
      </c>
    </row>
    <row r="56" spans="1:18" ht="15.75" thickBot="1">
      <c r="A56" s="797" t="s">
        <v>824</v>
      </c>
      <c r="B56" s="810"/>
      <c r="C56" s="706">
        <f ca="1">SUM(C54:C55)</f>
        <v>627.55987451458145</v>
      </c>
      <c r="D56" s="706">
        <f t="shared" ref="D56:Q56" ca="1" si="7">SUM(D54:D55)</f>
        <v>0</v>
      </c>
      <c r="E56" s="706">
        <f t="shared" si="7"/>
        <v>660.81610369460429</v>
      </c>
      <c r="F56" s="706">
        <f t="shared" si="7"/>
        <v>10.097751847172185</v>
      </c>
      <c r="G56" s="706">
        <f t="shared" si="7"/>
        <v>1683.3677878489329</v>
      </c>
      <c r="H56" s="706">
        <f t="shared" si="7"/>
        <v>0</v>
      </c>
      <c r="I56" s="706">
        <f t="shared" si="7"/>
        <v>0</v>
      </c>
      <c r="J56" s="706">
        <f t="shared" si="7"/>
        <v>0</v>
      </c>
      <c r="K56" s="706">
        <f t="shared" si="7"/>
        <v>77.617811958650051</v>
      </c>
      <c r="L56" s="706">
        <f t="shared" si="7"/>
        <v>0</v>
      </c>
      <c r="M56" s="706">
        <f t="shared" si="7"/>
        <v>0</v>
      </c>
      <c r="N56" s="706">
        <f t="shared" si="7"/>
        <v>0</v>
      </c>
      <c r="O56" s="706">
        <f t="shared" si="7"/>
        <v>0</v>
      </c>
      <c r="P56" s="706">
        <f t="shared" si="7"/>
        <v>0</v>
      </c>
      <c r="Q56" s="707">
        <f t="shared" si="7"/>
        <v>0</v>
      </c>
      <c r="R56" s="708">
        <f ca="1">SUM(R54:R55)</f>
        <v>3059.4593298639411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38475.380935464964</v>
      </c>
      <c r="D61" s="714">
        <f t="shared" ref="D61:Q61" ca="1" si="8">D46+D52+D56</f>
        <v>0</v>
      </c>
      <c r="E61" s="714">
        <f t="shared" ca="1" si="8"/>
        <v>43043.024397452617</v>
      </c>
      <c r="F61" s="714">
        <f t="shared" si="8"/>
        <v>6269.8017189316161</v>
      </c>
      <c r="G61" s="714">
        <f t="shared" ca="1" si="8"/>
        <v>15193.662299784593</v>
      </c>
      <c r="H61" s="714">
        <f t="shared" si="8"/>
        <v>47982.843442644138</v>
      </c>
      <c r="I61" s="714">
        <f t="shared" si="8"/>
        <v>9077.1654123936278</v>
      </c>
      <c r="J61" s="714">
        <f t="shared" si="8"/>
        <v>0</v>
      </c>
      <c r="K61" s="714">
        <f t="shared" si="8"/>
        <v>915.33852632562059</v>
      </c>
      <c r="L61" s="714">
        <f t="shared" si="8"/>
        <v>0</v>
      </c>
      <c r="M61" s="714">
        <f t="shared" ca="1" si="8"/>
        <v>0</v>
      </c>
      <c r="N61" s="714">
        <f t="shared" si="8"/>
        <v>0</v>
      </c>
      <c r="O61" s="714">
        <f t="shared" ca="1" si="8"/>
        <v>0</v>
      </c>
      <c r="P61" s="714">
        <f t="shared" si="8"/>
        <v>0</v>
      </c>
      <c r="Q61" s="714">
        <f t="shared" si="8"/>
        <v>0</v>
      </c>
      <c r="R61" s="714">
        <f ca="1">R46+R52+R56</f>
        <v>160957.21673299719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0.21187298375060346</v>
      </c>
      <c r="D63" s="755">
        <f t="shared" ca="1" si="9"/>
        <v>0</v>
      </c>
      <c r="E63" s="990">
        <f t="shared" ca="1" si="9"/>
        <v>0.20200000000000001</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7499.7000771380881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7499.7000771380881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7499.7000771380881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7499.7000771380881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46504.614860551374</v>
      </c>
      <c r="C4" s="451">
        <f>huishoudens!C8</f>
        <v>0</v>
      </c>
      <c r="D4" s="451">
        <f>huishoudens!D8</f>
        <v>98544.391868574545</v>
      </c>
      <c r="E4" s="451">
        <f>huishoudens!E8</f>
        <v>10912.899123665808</v>
      </c>
      <c r="F4" s="451">
        <f>huishoudens!F8</f>
        <v>0</v>
      </c>
      <c r="G4" s="451">
        <f>huishoudens!G8</f>
        <v>0</v>
      </c>
      <c r="H4" s="451">
        <f>huishoudens!H8</f>
        <v>0</v>
      </c>
      <c r="I4" s="451">
        <f>huishoudens!I8</f>
        <v>0</v>
      </c>
      <c r="J4" s="451">
        <f>huishoudens!J8</f>
        <v>2323.9600905521547</v>
      </c>
      <c r="K4" s="451">
        <f>huishoudens!K8</f>
        <v>0</v>
      </c>
      <c r="L4" s="451">
        <f>huishoudens!L8</f>
        <v>0</v>
      </c>
      <c r="M4" s="451">
        <f>huishoudens!M8</f>
        <v>0</v>
      </c>
      <c r="N4" s="451">
        <f>huishoudens!N8</f>
        <v>13630.894232603718</v>
      </c>
      <c r="O4" s="451">
        <f>huishoudens!O8</f>
        <v>320.48333333333335</v>
      </c>
      <c r="P4" s="452">
        <f>huishoudens!P8</f>
        <v>1029.5999999999999</v>
      </c>
      <c r="Q4" s="453">
        <f>SUM(B4:P4)</f>
        <v>173266.84350928097</v>
      </c>
    </row>
    <row r="5" spans="1:17">
      <c r="A5" s="450" t="s">
        <v>155</v>
      </c>
      <c r="B5" s="451">
        <f ca="1">tertiair!B16</f>
        <v>36350.900717302182</v>
      </c>
      <c r="C5" s="451">
        <f ca="1">tertiair!C16</f>
        <v>0</v>
      </c>
      <c r="D5" s="451">
        <f ca="1">tertiair!D16</f>
        <v>45061.996012928728</v>
      </c>
      <c r="E5" s="451">
        <f>tertiair!E16</f>
        <v>614.8038085484061</v>
      </c>
      <c r="F5" s="451">
        <f ca="1">tertiair!F16</f>
        <v>6495.4564326972813</v>
      </c>
      <c r="G5" s="451">
        <f>tertiair!G16</f>
        <v>0</v>
      </c>
      <c r="H5" s="451">
        <f>tertiair!H16</f>
        <v>0</v>
      </c>
      <c r="I5" s="451">
        <f>tertiair!I16</f>
        <v>0</v>
      </c>
      <c r="J5" s="451">
        <f>tertiair!J16</f>
        <v>8.5055943582869845E-2</v>
      </c>
      <c r="K5" s="451">
        <f>tertiair!K16</f>
        <v>0</v>
      </c>
      <c r="L5" s="451">
        <f ca="1">tertiair!L16</f>
        <v>0</v>
      </c>
      <c r="M5" s="451">
        <f>tertiair!M16</f>
        <v>0</v>
      </c>
      <c r="N5" s="451">
        <f ca="1">tertiair!N16</f>
        <v>3385.9467356148316</v>
      </c>
      <c r="O5" s="451">
        <f>tertiair!O16</f>
        <v>9.3800000000000008</v>
      </c>
      <c r="P5" s="452">
        <f>tertiair!P16</f>
        <v>19.066666666666666</v>
      </c>
      <c r="Q5" s="450">
        <f t="shared" ref="Q5:Q14" ca="1" si="0">SUM(B5:P5)</f>
        <v>91937.635429701681</v>
      </c>
    </row>
    <row r="6" spans="1:17">
      <c r="A6" s="450" t="s">
        <v>193</v>
      </c>
      <c r="B6" s="451">
        <f>'openbare verlichting'!B8</f>
        <v>1894.4010000000001</v>
      </c>
      <c r="C6" s="451"/>
      <c r="D6" s="451"/>
      <c r="E6" s="451"/>
      <c r="F6" s="451"/>
      <c r="G6" s="451"/>
      <c r="H6" s="451"/>
      <c r="I6" s="451"/>
      <c r="J6" s="451"/>
      <c r="K6" s="451"/>
      <c r="L6" s="451"/>
      <c r="M6" s="451"/>
      <c r="N6" s="451"/>
      <c r="O6" s="451"/>
      <c r="P6" s="452"/>
      <c r="Q6" s="450">
        <f t="shared" si="0"/>
        <v>1894.4010000000001</v>
      </c>
    </row>
    <row r="7" spans="1:17">
      <c r="A7" s="450" t="s">
        <v>111</v>
      </c>
      <c r="B7" s="451">
        <f>landbouw!B8</f>
        <v>1513.4013559803091</v>
      </c>
      <c r="C7" s="451">
        <f>landbouw!C8</f>
        <v>0</v>
      </c>
      <c r="D7" s="451">
        <f>landbouw!D8</f>
        <v>509.31049582127793</v>
      </c>
      <c r="E7" s="451">
        <f>landbouw!E8</f>
        <v>44.483488313533854</v>
      </c>
      <c r="F7" s="451">
        <f>landbouw!F8</f>
        <v>6304.7482690971265</v>
      </c>
      <c r="G7" s="451">
        <f>landbouw!G8</f>
        <v>0</v>
      </c>
      <c r="H7" s="451">
        <f>landbouw!H8</f>
        <v>0</v>
      </c>
      <c r="I7" s="451">
        <f>landbouw!I8</f>
        <v>0</v>
      </c>
      <c r="J7" s="451">
        <f>landbouw!J8</f>
        <v>219.25935581539562</v>
      </c>
      <c r="K7" s="451">
        <f>landbouw!K8</f>
        <v>0</v>
      </c>
      <c r="L7" s="451">
        <f>landbouw!L8</f>
        <v>0</v>
      </c>
      <c r="M7" s="451">
        <f>landbouw!M8</f>
        <v>0</v>
      </c>
      <c r="N7" s="451">
        <f>landbouw!N8</f>
        <v>0</v>
      </c>
      <c r="O7" s="451">
        <f>landbouw!O8</f>
        <v>0</v>
      </c>
      <c r="P7" s="452">
        <f>landbouw!P8</f>
        <v>0</v>
      </c>
      <c r="Q7" s="450">
        <f t="shared" si="0"/>
        <v>8591.2029650276418</v>
      </c>
    </row>
    <row r="8" spans="1:17">
      <c r="A8" s="450" t="s">
        <v>634</v>
      </c>
      <c r="B8" s="451">
        <f>industrie!B18</f>
        <v>93804.860658499034</v>
      </c>
      <c r="C8" s="451">
        <f>industrie!C18</f>
        <v>0</v>
      </c>
      <c r="D8" s="451">
        <f>industrie!D18</f>
        <v>65996.181304708327</v>
      </c>
      <c r="E8" s="451">
        <f>industrie!E18</f>
        <v>15642.291895196917</v>
      </c>
      <c r="F8" s="451">
        <f>industrie!F18</f>
        <v>44104.897544589832</v>
      </c>
      <c r="G8" s="451">
        <f>industrie!G18</f>
        <v>0</v>
      </c>
      <c r="H8" s="451">
        <f>industrie!H18</f>
        <v>0</v>
      </c>
      <c r="I8" s="451">
        <f>industrie!I18</f>
        <v>0</v>
      </c>
      <c r="J8" s="451">
        <f>industrie!J18</f>
        <v>42.397549456156746</v>
      </c>
      <c r="K8" s="451">
        <f>industrie!K18</f>
        <v>0</v>
      </c>
      <c r="L8" s="451">
        <f>industrie!L18</f>
        <v>0</v>
      </c>
      <c r="M8" s="451">
        <f>industrie!M18</f>
        <v>0</v>
      </c>
      <c r="N8" s="451">
        <f>industrie!N18</f>
        <v>5744.9464115492301</v>
      </c>
      <c r="O8" s="451">
        <f>industrie!O18</f>
        <v>0</v>
      </c>
      <c r="P8" s="452">
        <f>industrie!P18</f>
        <v>0</v>
      </c>
      <c r="Q8" s="450">
        <f t="shared" si="0"/>
        <v>225335.57536399949</v>
      </c>
    </row>
    <row r="9" spans="1:17" s="456" customFormat="1">
      <c r="A9" s="454" t="s">
        <v>560</v>
      </c>
      <c r="B9" s="455">
        <f>transport!B14</f>
        <v>79.706457430671321</v>
      </c>
      <c r="C9" s="455">
        <f>transport!C14</f>
        <v>0</v>
      </c>
      <c r="D9" s="455">
        <f>transport!D14</f>
        <v>210.34315912508907</v>
      </c>
      <c r="E9" s="455">
        <f>transport!E14</f>
        <v>405.79357384192167</v>
      </c>
      <c r="F9" s="455">
        <f>transport!F14</f>
        <v>0</v>
      </c>
      <c r="G9" s="455">
        <f>transport!G14</f>
        <v>178220.81086983261</v>
      </c>
      <c r="H9" s="455">
        <f>transport!H14</f>
        <v>36454.479567845898</v>
      </c>
      <c r="I9" s="455">
        <f>transport!I14</f>
        <v>0</v>
      </c>
      <c r="J9" s="455">
        <f>transport!J14</f>
        <v>0</v>
      </c>
      <c r="K9" s="455">
        <f>transport!K14</f>
        <v>0</v>
      </c>
      <c r="L9" s="455">
        <f>transport!L14</f>
        <v>0</v>
      </c>
      <c r="M9" s="455">
        <f>transport!M14</f>
        <v>11485.856526653157</v>
      </c>
      <c r="N9" s="455">
        <f>transport!N14</f>
        <v>0</v>
      </c>
      <c r="O9" s="455">
        <f>transport!O14</f>
        <v>0</v>
      </c>
      <c r="P9" s="455">
        <f>transport!P14</f>
        <v>0</v>
      </c>
      <c r="Q9" s="454">
        <f>SUM(B9:P9)</f>
        <v>226856.99015472937</v>
      </c>
    </row>
    <row r="10" spans="1:17">
      <c r="A10" s="450" t="s">
        <v>550</v>
      </c>
      <c r="B10" s="451">
        <f>transport!B54</f>
        <v>0</v>
      </c>
      <c r="C10" s="451">
        <f>transport!C54</f>
        <v>0</v>
      </c>
      <c r="D10" s="451">
        <f>transport!D54</f>
        <v>0</v>
      </c>
      <c r="E10" s="451">
        <f>transport!E54</f>
        <v>0</v>
      </c>
      <c r="F10" s="451">
        <f>transport!F54</f>
        <v>0</v>
      </c>
      <c r="G10" s="451">
        <f>transport!G54</f>
        <v>1490.2132599207071</v>
      </c>
      <c r="H10" s="451">
        <f>transport!H54</f>
        <v>0</v>
      </c>
      <c r="I10" s="451">
        <f>transport!I54</f>
        <v>0</v>
      </c>
      <c r="J10" s="451">
        <f>transport!J54</f>
        <v>0</v>
      </c>
      <c r="K10" s="451">
        <f>transport!K54</f>
        <v>0</v>
      </c>
      <c r="L10" s="451">
        <f>transport!L54</f>
        <v>0</v>
      </c>
      <c r="M10" s="451">
        <f>transport!M54</f>
        <v>84.631141056208065</v>
      </c>
      <c r="N10" s="451">
        <f>transport!N54</f>
        <v>0</v>
      </c>
      <c r="O10" s="451">
        <f>transport!O54</f>
        <v>0</v>
      </c>
      <c r="P10" s="452">
        <f>transport!P54</f>
        <v>0</v>
      </c>
      <c r="Q10" s="450">
        <f t="shared" si="0"/>
        <v>1574.844400976915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1448.5613416956</v>
      </c>
      <c r="C14" s="458"/>
      <c r="D14" s="458">
        <f>'SEAP template'!E25</f>
        <v>2762.05635415201</v>
      </c>
      <c r="E14" s="458"/>
      <c r="F14" s="458"/>
      <c r="G14" s="458"/>
      <c r="H14" s="458"/>
      <c r="I14" s="458"/>
      <c r="J14" s="458"/>
      <c r="K14" s="458"/>
      <c r="L14" s="458"/>
      <c r="M14" s="458"/>
      <c r="N14" s="458"/>
      <c r="O14" s="458"/>
      <c r="P14" s="459"/>
      <c r="Q14" s="450">
        <f t="shared" si="0"/>
        <v>4210.6176958476099</v>
      </c>
    </row>
    <row r="15" spans="1:17" s="460" customFormat="1">
      <c r="A15" s="1005" t="s">
        <v>554</v>
      </c>
      <c r="B15" s="953">
        <f ca="1">SUM(B4:B14)</f>
        <v>181596.44639145918</v>
      </c>
      <c r="C15" s="953">
        <f t="shared" ref="C15:Q15" ca="1" si="1">SUM(C4:C14)</f>
        <v>0</v>
      </c>
      <c r="D15" s="953">
        <f t="shared" ca="1" si="1"/>
        <v>213084.27919530997</v>
      </c>
      <c r="E15" s="953">
        <f t="shared" si="1"/>
        <v>27620.271889566586</v>
      </c>
      <c r="F15" s="953">
        <f t="shared" ca="1" si="1"/>
        <v>56905.102246384238</v>
      </c>
      <c r="G15" s="953">
        <f t="shared" si="1"/>
        <v>179711.02412975332</v>
      </c>
      <c r="H15" s="953">
        <f t="shared" si="1"/>
        <v>36454.479567845898</v>
      </c>
      <c r="I15" s="953">
        <f t="shared" si="1"/>
        <v>0</v>
      </c>
      <c r="J15" s="953">
        <f t="shared" si="1"/>
        <v>2585.7020517672904</v>
      </c>
      <c r="K15" s="953">
        <f t="shared" si="1"/>
        <v>0</v>
      </c>
      <c r="L15" s="953">
        <f t="shared" ca="1" si="1"/>
        <v>0</v>
      </c>
      <c r="M15" s="953">
        <f t="shared" si="1"/>
        <v>11570.487667709365</v>
      </c>
      <c r="N15" s="953">
        <f t="shared" ca="1" si="1"/>
        <v>22761.787379767778</v>
      </c>
      <c r="O15" s="953">
        <f t="shared" si="1"/>
        <v>329.86333333333334</v>
      </c>
      <c r="P15" s="953">
        <f t="shared" si="1"/>
        <v>1048.6666666666665</v>
      </c>
      <c r="Q15" s="953">
        <f t="shared" ca="1" si="1"/>
        <v>733668.11051956366</v>
      </c>
    </row>
    <row r="17" spans="1:17">
      <c r="A17" s="461" t="s">
        <v>555</v>
      </c>
      <c r="B17" s="760">
        <f ca="1">huishoudens!B10</f>
        <v>0.21187298375060346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9853.0715086776727</v>
      </c>
      <c r="C22" s="451">
        <f t="shared" ref="C22:C32" ca="1" si="3">C4*$C$17</f>
        <v>0</v>
      </c>
      <c r="D22" s="451">
        <f t="shared" ref="D22:D32" si="4">D4*$D$17</f>
        <v>19905.967157452058</v>
      </c>
      <c r="E22" s="451">
        <f t="shared" ref="E22:E32" si="5">E4*$E$17</f>
        <v>2477.2281010721385</v>
      </c>
      <c r="F22" s="451">
        <f t="shared" ref="F22:F32" si="6">F4*$F$17</f>
        <v>0</v>
      </c>
      <c r="G22" s="451">
        <f t="shared" ref="G22:G32" si="7">G4*$G$17</f>
        <v>0</v>
      </c>
      <c r="H22" s="451">
        <f t="shared" ref="H22:H32" si="8">H4*$H$17</f>
        <v>0</v>
      </c>
      <c r="I22" s="451">
        <f t="shared" ref="I22:I32" si="9">I4*$I$17</f>
        <v>0</v>
      </c>
      <c r="J22" s="451">
        <f t="shared" ref="J22:J32" si="10">J4*$J$17</f>
        <v>822.68187205546269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33058.948639257331</v>
      </c>
    </row>
    <row r="23" spans="1:17">
      <c r="A23" s="450" t="s">
        <v>155</v>
      </c>
      <c r="B23" s="451">
        <f t="shared" ca="1" si="2"/>
        <v>7701.7737969967648</v>
      </c>
      <c r="C23" s="451">
        <f t="shared" ca="1" si="3"/>
        <v>0</v>
      </c>
      <c r="D23" s="451">
        <f t="shared" ca="1" si="4"/>
        <v>9102.5231946116037</v>
      </c>
      <c r="E23" s="451">
        <f t="shared" si="5"/>
        <v>139.5604645404882</v>
      </c>
      <c r="F23" s="451">
        <f t="shared" ca="1" si="6"/>
        <v>1734.2868675301743</v>
      </c>
      <c r="G23" s="451">
        <f t="shared" si="7"/>
        <v>0</v>
      </c>
      <c r="H23" s="451">
        <f t="shared" si="8"/>
        <v>0</v>
      </c>
      <c r="I23" s="451">
        <f t="shared" si="9"/>
        <v>0</v>
      </c>
      <c r="J23" s="451">
        <f t="shared" si="10"/>
        <v>3.0109804028335924E-2</v>
      </c>
      <c r="K23" s="451">
        <f t="shared" si="11"/>
        <v>0</v>
      </c>
      <c r="L23" s="451">
        <f t="shared" ca="1" si="12"/>
        <v>0</v>
      </c>
      <c r="M23" s="451">
        <f t="shared" si="13"/>
        <v>0</v>
      </c>
      <c r="N23" s="451">
        <f t="shared" ca="1" si="14"/>
        <v>0</v>
      </c>
      <c r="O23" s="451">
        <f t="shared" si="15"/>
        <v>0</v>
      </c>
      <c r="P23" s="452">
        <f t="shared" si="16"/>
        <v>0</v>
      </c>
      <c r="Q23" s="450">
        <f t="shared" ref="Q23:Q32" ca="1" si="17">SUM(B23:P23)</f>
        <v>18678.174433483058</v>
      </c>
    </row>
    <row r="24" spans="1:17">
      <c r="A24" s="450" t="s">
        <v>193</v>
      </c>
      <c r="B24" s="451">
        <f t="shared" ca="1" si="2"/>
        <v>401.37239229012692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401.37239229012692</v>
      </c>
    </row>
    <row r="25" spans="1:17">
      <c r="A25" s="450" t="s">
        <v>111</v>
      </c>
      <c r="B25" s="451">
        <f t="shared" ca="1" si="2"/>
        <v>320.64886090375728</v>
      </c>
      <c r="C25" s="451">
        <f t="shared" ca="1" si="3"/>
        <v>0</v>
      </c>
      <c r="D25" s="451">
        <f t="shared" si="4"/>
        <v>102.88072015589815</v>
      </c>
      <c r="E25" s="451">
        <f t="shared" si="5"/>
        <v>10.097751847172185</v>
      </c>
      <c r="F25" s="451">
        <f t="shared" si="6"/>
        <v>1683.3677878489329</v>
      </c>
      <c r="G25" s="451">
        <f t="shared" si="7"/>
        <v>0</v>
      </c>
      <c r="H25" s="451">
        <f t="shared" si="8"/>
        <v>0</v>
      </c>
      <c r="I25" s="451">
        <f t="shared" si="9"/>
        <v>0</v>
      </c>
      <c r="J25" s="451">
        <f t="shared" si="10"/>
        <v>77.617811958650051</v>
      </c>
      <c r="K25" s="451">
        <f t="shared" si="11"/>
        <v>0</v>
      </c>
      <c r="L25" s="451">
        <f t="shared" si="12"/>
        <v>0</v>
      </c>
      <c r="M25" s="451">
        <f t="shared" si="13"/>
        <v>0</v>
      </c>
      <c r="N25" s="451">
        <f t="shared" si="14"/>
        <v>0</v>
      </c>
      <c r="O25" s="451">
        <f t="shared" si="15"/>
        <v>0</v>
      </c>
      <c r="P25" s="452">
        <f t="shared" si="16"/>
        <v>0</v>
      </c>
      <c r="Q25" s="450">
        <f t="shared" ca="1" si="17"/>
        <v>2194.6129327144108</v>
      </c>
    </row>
    <row r="26" spans="1:17">
      <c r="A26" s="450" t="s">
        <v>634</v>
      </c>
      <c r="B26" s="451">
        <f t="shared" ca="1" si="2"/>
        <v>19874.715718025785</v>
      </c>
      <c r="C26" s="451">
        <f t="shared" ca="1" si="3"/>
        <v>0</v>
      </c>
      <c r="D26" s="451">
        <f t="shared" si="4"/>
        <v>13331.228623551084</v>
      </c>
      <c r="E26" s="451">
        <f t="shared" si="5"/>
        <v>3550.8002602097004</v>
      </c>
      <c r="F26" s="451">
        <f t="shared" si="6"/>
        <v>11776.007644405487</v>
      </c>
      <c r="G26" s="451">
        <f t="shared" si="7"/>
        <v>0</v>
      </c>
      <c r="H26" s="451">
        <f t="shared" si="8"/>
        <v>0</v>
      </c>
      <c r="I26" s="451">
        <f t="shared" si="9"/>
        <v>0</v>
      </c>
      <c r="J26" s="451">
        <f t="shared" si="10"/>
        <v>15.008732507479488</v>
      </c>
      <c r="K26" s="451">
        <f t="shared" si="11"/>
        <v>0</v>
      </c>
      <c r="L26" s="451">
        <f t="shared" si="12"/>
        <v>0</v>
      </c>
      <c r="M26" s="451">
        <f t="shared" si="13"/>
        <v>0</v>
      </c>
      <c r="N26" s="451">
        <f t="shared" si="14"/>
        <v>0</v>
      </c>
      <c r="O26" s="451">
        <f t="shared" si="15"/>
        <v>0</v>
      </c>
      <c r="P26" s="452">
        <f t="shared" si="16"/>
        <v>0</v>
      </c>
      <c r="Q26" s="450">
        <f t="shared" ca="1" si="17"/>
        <v>48547.760978699538</v>
      </c>
    </row>
    <row r="27" spans="1:17" s="456" customFormat="1">
      <c r="A27" s="454" t="s">
        <v>560</v>
      </c>
      <c r="B27" s="754">
        <f t="shared" ca="1" si="2"/>
        <v>16.88764496002679</v>
      </c>
      <c r="C27" s="455">
        <f t="shared" ca="1" si="3"/>
        <v>0</v>
      </c>
      <c r="D27" s="455">
        <f t="shared" si="4"/>
        <v>42.489318143267994</v>
      </c>
      <c r="E27" s="455">
        <f t="shared" si="5"/>
        <v>92.115141262116225</v>
      </c>
      <c r="F27" s="455">
        <f t="shared" si="6"/>
        <v>0</v>
      </c>
      <c r="G27" s="455">
        <f t="shared" si="7"/>
        <v>47584.95650224531</v>
      </c>
      <c r="H27" s="455">
        <f t="shared" si="8"/>
        <v>9077.1654123936278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56813.614019004352</v>
      </c>
    </row>
    <row r="28" spans="1:17">
      <c r="A28" s="450" t="s">
        <v>550</v>
      </c>
      <c r="B28" s="451">
        <f t="shared" ca="1" si="2"/>
        <v>0</v>
      </c>
      <c r="C28" s="451">
        <f t="shared" ca="1" si="3"/>
        <v>0</v>
      </c>
      <c r="D28" s="451">
        <f t="shared" si="4"/>
        <v>0</v>
      </c>
      <c r="E28" s="451">
        <f t="shared" si="5"/>
        <v>0</v>
      </c>
      <c r="F28" s="451">
        <f t="shared" si="6"/>
        <v>0</v>
      </c>
      <c r="G28" s="451">
        <f t="shared" si="7"/>
        <v>397.88694039882881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397.88694039882881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306.91101361082423</v>
      </c>
      <c r="C32" s="451">
        <f t="shared" ca="1" si="3"/>
        <v>0</v>
      </c>
      <c r="D32" s="451">
        <f t="shared" si="4"/>
        <v>557.93538353870611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864.84639714953028</v>
      </c>
    </row>
    <row r="33" spans="1:17" s="460" customFormat="1">
      <c r="A33" s="1005" t="s">
        <v>554</v>
      </c>
      <c r="B33" s="953">
        <f ca="1">SUM(B22:B32)</f>
        <v>38475.380935464957</v>
      </c>
      <c r="C33" s="953">
        <f t="shared" ref="C33:Q33" ca="1" si="18">SUM(C22:C32)</f>
        <v>0</v>
      </c>
      <c r="D33" s="953">
        <f t="shared" ca="1" si="18"/>
        <v>43043.024397452624</v>
      </c>
      <c r="E33" s="953">
        <f t="shared" si="18"/>
        <v>6269.8017189316161</v>
      </c>
      <c r="F33" s="953">
        <f t="shared" ca="1" si="18"/>
        <v>15193.662299784593</v>
      </c>
      <c r="G33" s="953">
        <f t="shared" si="18"/>
        <v>47982.843442644138</v>
      </c>
      <c r="H33" s="953">
        <f t="shared" si="18"/>
        <v>9077.1654123936278</v>
      </c>
      <c r="I33" s="953">
        <f t="shared" si="18"/>
        <v>0</v>
      </c>
      <c r="J33" s="953">
        <f t="shared" si="18"/>
        <v>915.33852632562059</v>
      </c>
      <c r="K33" s="953">
        <f t="shared" si="18"/>
        <v>0</v>
      </c>
      <c r="L33" s="953">
        <f t="shared" ca="1" si="18"/>
        <v>0</v>
      </c>
      <c r="M33" s="953">
        <f t="shared" si="18"/>
        <v>0</v>
      </c>
      <c r="N33" s="953">
        <f t="shared" ca="1" si="18"/>
        <v>0</v>
      </c>
      <c r="O33" s="953">
        <f t="shared" si="18"/>
        <v>0</v>
      </c>
      <c r="P33" s="953">
        <f t="shared" si="18"/>
        <v>0</v>
      </c>
      <c r="Q33" s="953">
        <f t="shared" ca="1" si="18"/>
        <v>160957.21673299719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7499.7000771380881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7499.7000771380881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0.21187298375060346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0.21187298375060346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2020-06-20T15:46:14Z</dcterms:modified>
</cp:coreProperties>
</file>