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L6" i="17" s="1"/>
  <c r="S32" i="18"/>
  <c r="R32" i="18"/>
  <c r="Q32" i="18"/>
  <c r="P32" i="18"/>
  <c r="O32" i="18"/>
  <c r="C6" i="17" s="1"/>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B45" i="18"/>
  <c r="F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D49" i="18"/>
  <c r="G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49" i="18"/>
  <c r="E17" i="18" s="1"/>
  <c r="I49" i="18"/>
  <c r="H17" i="18" s="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F24" i="14"/>
  <c r="F26" i="14" s="1"/>
  <c r="E7" i="48"/>
  <c r="E25" i="48" s="1"/>
  <c r="P16" i="14"/>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N52" i="14"/>
  <c r="N61" i="14" s="1"/>
  <c r="N63" i="14" s="1"/>
  <c r="K10" i="14"/>
  <c r="J5" i="48"/>
  <c r="J23" i="48" s="1"/>
  <c r="I20" i="14"/>
  <c r="I22" i="14" s="1"/>
  <c r="I27" i="14"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E8" i="48" l="1"/>
  <c r="E26" i="48" s="1"/>
  <c r="E33" i="48" s="1"/>
  <c r="F13" i="14"/>
  <c r="F16" i="14" s="1"/>
  <c r="F27" i="14" s="1"/>
  <c r="J15" i="48"/>
  <c r="J33" i="48"/>
  <c r="K13" i="14"/>
  <c r="K16" i="14" s="1"/>
  <c r="K27" i="14" s="1"/>
  <c r="J8" i="48"/>
  <c r="J26" i="48"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<sst xmlns="http://schemas.openxmlformats.org/spreadsheetml/2006/main" count="2407" uniqueCount="893">
  <si>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</si>
  <si>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</si>
  <si>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</si>
  <si>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</si>
  <si>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</si>
  <si>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</si>
  <si>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</si>
  <si>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</si>
  <si>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</si>
  <si>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</si>
  <si>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</si>
  <si>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</si>
  <si>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</si>
  <si>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</si>
  <si>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</si>
  <si>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</si>
  <si>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</si>
  <si>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</si>
  <si>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</si>
  <si>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</si>
  <si>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</si>
  <si>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</si>
  <si>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</si>
  <si>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</si>
  <si>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</si>
  <si>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</si>
  <si>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</si>
  <si>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</si>
  <si>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</si>
  <si>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</si>
  <si>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</si>
  <si>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</si>
  <si>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</si>
  <si>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</si>
  <si>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</si>
  <si>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</si>
  <si>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</si>
  <si>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</si>
  <si>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</si>
  <si>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</si>
  <si>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</si>
  <si>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</si>
  <si>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</si>
  <si>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</si>
  <si>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</si>
  <si>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</si>
  <si>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</si>
  <si>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</si>
  <si>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</si>
  <si>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</si>
  <si>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</si>
  <si>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</si>
  <si>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</si>
  <si>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</si>
  <si>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</si>
  <si>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</si>
  <si>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</si>
  <si>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</si>
  <si>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</si>
  <si>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</si>
  <si>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</si>
  <si>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</si>
  <si>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</si>
  <si>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</si>
  <si>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</si>
  <si>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</si>
  <si>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</si>
  <si>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</si>
  <si>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</si>
  <si>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</si>
  <si>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</si>
  <si>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</si>
  <si>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</si>
  <si>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</si>
  <si>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</si>
  <si>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</si>
  <si>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</si>
  <si>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</si>
  <si>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</si>
  <si>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</si>
  <si>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</si>
  <si>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</si>
  <si>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</si>
  <si>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</si>
  <si>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</si>
  <si>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</si>
  <si>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</si>
  <si>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</si>
  <si>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</si>
  <si>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</si>
  <si>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</si>
  <si>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</si>
  <si>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</si>
  <si>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</si>
  <si>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</si>
  <si>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</si>
  <si>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</si>
  <si>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</si>
  <si>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</si>
  <si>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</si>
  <si>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</si>
  <si>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</si>
  <si>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</si>
  <si>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</si>
  <si>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</si>
  <si>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</si>
  <si>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</si>
  <si>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</si>
  <si>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</si>
  <si>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</si>
  <si>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</si>
  <si>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</si>
  <si>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</si>
  <si>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</si>
  <si>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</si>
  <si>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</si>
  <si>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</si>
  <si>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</si>
  <si>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</si>
  <si>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</si>
  <si>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</si>
  <si>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</si>
  <si>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</si>
  <si>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</si>
  <si>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</si>
  <si>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</si>
  <si>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</si>
  <si>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</si>
  <si>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</si>
  <si>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</si>
  <si>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</si>
  <si>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</si>
  <si>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</si>
  <si>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</si>
  <si>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</si>
  <si>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</si>
  <si>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</si>
  <si>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</si>
  <si>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</si>
  <si>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</si>
  <si>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</si>
  <si>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</si>
  <si>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</si>
  <si>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</si>
  <si>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</si>
  <si>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</si>
  <si>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</si>
  <si>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</si>
  <si>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</si>
  <si>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</si>
  <si>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</si>
  <si>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</si>
  <si>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</si>
  <si>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</si>
  <si>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</si>
  <si>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</si>
  <si>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</si>
  <si>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</si>
  <si>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</si>
  <si>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</si>
  <si>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</si>
  <si>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</si>
  <si>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</si>
  <si>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</si>
  <si>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</si>
  <si>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</si>
  <si>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</si>
  <si>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</si>
  <si>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</si>
  <si>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</si>
  <si>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</si>
  <si>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</si>
  <si>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</si>
  <si>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</si>
  <si>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</si>
  <si>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</si>
  <si>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</si>
  <si>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</si>
  <si>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</si>
  <si>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</si>
  <si>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</si>
  <si>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</si>
  <si>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</si>
  <si>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</si>
  <si>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</si>
  <si>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</si>
  <si>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</si>
  <si>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</si>
  <si>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</si>
  <si>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</si>
  <si>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</si>
  <si>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</si>
  <si>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</si>
  <si>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</si>
  <si>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</si>
  <si>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</si>
  <si>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</si>
  <si>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</si>
  <si>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</si>
  <si>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</si>
  <si>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</si>
  <si>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</si>
  <si>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</si>
  <si>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</si>
  <si>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</si>
  <si>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</si>
  <si>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</si>
  <si>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</si>
  <si>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</si>
  <si>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</si>
  <si>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</si>
  <si>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</si>
  <si>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</si>
  <si>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</si>
  <si>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</si>
  <si>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</si>
  <si>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</si>
  <si>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</si>
  <si>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</si>
  <si>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</si>
  <si>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</si>
  <si>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</si>
  <si>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</si>
  <si>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</si>
  <si>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</si>
  <si>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</si>
  <si>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</si>
  <si>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</si>
  <si>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</si>
  <si>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</si>
  <si>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</si>
  <si>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</si>
  <si>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</si>
  <si>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</si>
  <si>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</si>
  <si>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</si>
  <si>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</si>
  <si>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</si>
  <si>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</si>
  <si>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</si>
  <si>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</si>
  <si>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</si>
  <si>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</si>
  <si>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</si>
  <si>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</si>
  <si>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</si>
  <si>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</si>
  <si>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</si>
  <si>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</si>
  <si>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</si>
  <si>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</si>
  <si>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</si>
  <si>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</si>
  <si>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</si>
  <si>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</si>
  <si>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</si>
  <si>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</si>
  <si>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</si>
  <si>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</si>
  <si>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</si>
  <si>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</si>
  <si>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</si>
  <si>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</si>
  <si>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</si>
  <si>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</si>
  <si>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</si>
  <si>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</si>
  <si>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</si>
  <si>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</si>
  <si>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</si>
  <si>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</si>
  <si>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</si>
  <si>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</si>
  <si>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</si>
  <si>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</si>
  <si>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</si>
  <si>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</si>
  <si>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</si>
  <si>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</si>
  <si>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</si>
  <si>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</si>
  <si>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</si>
  <si>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</si>
  <si>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</si>
  <si>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</si>
  <si>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</si>
  <si>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</si>
  <si>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</si>
  <si>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</si>
  <si>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</si>
  <si>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</si>
  <si>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</si>
  <si>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</si>
  <si>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</si>
  <si>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</si>
  <si>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</si>
  <si>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</si>
  <si>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</si>
  <si>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</si>
  <si>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</si>
  <si>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</si>
  <si>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</si>
  <si>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</si>
  <si>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</si>
  <si>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</si>
  <si>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</si>
  <si>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</si>
  <si>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</si>
  <si>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</si>
  <si>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</si>
  <si>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</si>
  <si>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</si>
  <si>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</si>
  <si>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</si>
  <si>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</si>
  <si>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</si>
  <si>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</si>
  <si>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</si>
  <si>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</si>
  <si>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</si>
  <si>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</si>
  <si>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</si>
  <si>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</si>
  <si>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</si>
  <si>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</si>
  <si>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</si>
  <si>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</si>
  <si>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</si>
  <si>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</si>
  <si>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</si>
  <si>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</si>
  <si>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</si>
  <si>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</si>
  <si>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</si>
  <si>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</si>
  <si>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</si>
  <si>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</si>
  <si>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</si>
  <si>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</si>
  <si>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</si>
  <si>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</si>
  <si>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</si>
  <si>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</si>
  <si>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</si>
  <si>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</si>
  <si>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</si>
  <si>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</si>
  <si>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</si>
  <si>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</si>
  <si>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</si>
  <si>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</si>
  <si>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</si>
  <si>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</si>
  <si>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</si>
  <si>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</si>
  <si>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</si>
  <si>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</si>
  <si>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</si>
  <si>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</si>
  <si>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</si>
  <si>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</si>
  <si>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</si>
  <si>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</si>
  <si>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</si>
  <si>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</si>
  <si>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</si>
  <si>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</si>
  <si>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</si>
  <si>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</si>
  <si>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</si>
  <si>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</si>
  <si>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</si>
  <si>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</si>
  <si>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</si>
  <si>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</si>
  <si>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</si>
  <si>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</si>
  <si>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</si>
  <si>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</si>
  <si>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</si>
  <si>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</si>
  <si>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</si>
  <si>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</si>
  <si>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</si>
  <si>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</si>
  <si>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</si>
  <si>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</si>
  <si>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</si>
  <si>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</si>
  <si>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</si>
  <si>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</si>
  <si>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</si>
  <si>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</si>
  <si>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</si>
  <si>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</si>
  <si>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</si>
  <si>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</si>
  <si>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</si>
  <si>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</si>
  <si>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</si>
  <si>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</si>
  <si>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</si>
  <si>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</si>
  <si>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</si>
  <si>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</si>
  <si>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</si>
  <si>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</si>
  <si>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</si>
  <si>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</si>
  <si>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</si>
  <si>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</si>
  <si>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</si>
  <si>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</si>
  <si>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</si>
  <si>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</si>
  <si>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</si>
  <si>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</si>
  <si>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</si>
  <si>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</si>
  <si>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</si>
  <si>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</si>
  <si>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</si>
  <si>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</si>
  <si>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</si>
  <si>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</si>
  <si>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</si>
  <si>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</si>
  <si>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</si>
  <si>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</si>
  <si>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</si>
  <si>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</si>
  <si>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</si>
  <si>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</si>
  <si>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</si>
  <si>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</si>
  <si>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</si>
  <si>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</si>
  <si>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</si>
  <si>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</si>
  <si>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</si>
  <si>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</si>
  <si>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</si>
  <si>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</si>
  <si>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</si>
  <si>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</si>
  <si>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</si>
  <si>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</si>
  <si>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</si>
  <si>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</si>
  <si>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</si>
  <si>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</si>
  <si>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</si>
  <si>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</si>
  <si>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</si>
  <si>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</si>
  <si>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</si>
  <si>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</si>
  <si>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</si>
  <si>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</si>
  <si>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</si>
  <si>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</si>
  <si>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</si>
  <si>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</si>
  <si>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</si>
  <si>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</si>
  <si>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</si>
  <si>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</si>
  <si>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</si>
  <si>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</si>
  <si>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</si>
  <si>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</si>
  <si>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</si>
  <si>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</si>
  <si>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</si>
  <si>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</si>
  <si>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</si>
  <si>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</si>
  <si>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</si>
  <si>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</si>
  <si>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</si>
  <si>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</si>
  <si>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</si>
  <si>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</si>
  <si>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</si>
  <si>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</si>
  <si>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</si>
  <si>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</si>
  <si>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</si>
  <si>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</si>
  <si>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</si>
  <si>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</si>
  <si>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</si>
  <si>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</si>
  <si>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</si>
  <si>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</si>
  <si>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</si>
  <si>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</si>
  <si>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</si>
  <si>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</si>
  <si>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</si>
  <si>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</si>
  <si>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</si>
  <si>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</si>
  <si>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</si>
  <si>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</si>
  <si>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</si>
  <si>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</si>
  <si>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</si>
  <si>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</si>
  <si>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</si>
  <si>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</si>
  <si>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</si>
  <si>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</si>
  <si>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</si>
  <si>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</si>
  <si>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</si>
  <si>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</si>
  <si>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</si>
  <si>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</si>
  <si>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</si>
  <si>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</si>
  <si>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</si>
  <si>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</si>
  <si>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</si>
  <si>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</si>
  <si>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</si>
  <si>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</si>
  <si>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</si>
  <si>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</si>
  <si>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</si>
  <si>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</si>
  <si>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</si>
  <si>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</si>
  <si>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</si>
  <si>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</si>
  <si>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</si>
  <si>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</si>
  <si>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</si>
  <si>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</si>
  <si>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</si>
  <si>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</si>
  <si>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</si>
  <si>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</si>
  <si>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</si>
  <si>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</si>
  <si>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</si>
  <si>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</si>
  <si>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</si>
  <si>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</si>
  <si>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</si>
  <si>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</si>
  <si>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</si>
  <si>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</si>
  <si>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</si>
  <si>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</si>
  <si>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</si>
  <si>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</si>
  <si>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</si>
  <si>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</si>
  <si>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</si>
  <si>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</si>
  <si>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</si>
  <si>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</si>
  <si>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</si>
  <si>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</si>
  <si>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</si>
  <si>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</si>
  <si>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</si>
  <si>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</si>
  <si>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</si>
  <si>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</si>
  <si>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</si>
  <si>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</si>
  <si>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</si>
  <si>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</si>
  <si>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</si>
  <si>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</si>
  <si>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</si>
  <si>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</si>
  <si>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</si>
  <si>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</si>
  <si>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</si>
  <si>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</si>
  <si>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</si>
  <si>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</si>
  <si>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</si>
  <si>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</si>
  <si>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</si>
  <si>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</si>
  <si>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</si>
  <si>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</si>
  <si>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</si>
  <si>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</si>
  <si>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</si>
  <si>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</si>
  <si>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</si>
  <si>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</si>
  <si>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</si>
  <si>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</si>
  <si>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</si>
  <si>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</si>
  <si>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</si>
  <si>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</si>
  <si>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</si>
  <si>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</si>
  <si>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</si>
  <si>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</si>
  <si>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</si>
  <si>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</si>
  <si>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</si>
  <si>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</si>
  <si>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</si>
  <si>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</si>
  <si>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</si>
  <si>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</si>
  <si>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</si>
  <si>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</si>
  <si>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</si>
  <si>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</si>
  <si>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</si>
  <si>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</si>
  <si>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</si>
  <si>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</si>
  <si>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</si>
  <si>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</si>
  <si>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</si>
  <si>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</si>
  <si>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</si>
  <si>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</si>
  <si>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</si>
  <si>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</si>
  <si>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</si>
  <si>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</si>
  <si>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</si>
  <si>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</si>
  <si>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</si>
  <si>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</si>
  <si>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</si>
  <si>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</si>
  <si>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</si>
  <si>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</si>
  <si>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</si>
  <si>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</si>
  <si>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</si>
  <si>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</si>
  <si>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</si>
  <si>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</si>
  <si>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</si>
  <si>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</si>
  <si>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</si>
  <si>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</si>
  <si>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</si>
  <si>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</si>
  <si>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</si>
  <si>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</si>
  <si>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</si>
  <si>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</si>
  <si>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</si>
  <si>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</si>
  <si>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</si>
  <si>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</si>
  <si>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</si>
  <si>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</si>
  <si>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</si>
  <si>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</si>
  <si>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</si>
  <si>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</si>
  <si>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</si>
  <si>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</si>
  <si>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</si>
  <si>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</si>
  <si>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</si>
  <si>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</si>
  <si>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</si>
  <si>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</si>
  <si>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</si>
  <si>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</si>
  <si>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</si>
  <si>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</si>
  <si>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</si>
  <si>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</si>
  <si>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</si>
  <si>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</si>
  <si>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</si>
  <si>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</si>
  <si>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</si>
  <si>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</si>
  <si>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</si>
  <si>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</si>
  <si>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</si>
  <si>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</si>
  <si>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</si>
  <si>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</si>
  <si>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</si>
  <si>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</si>
  <si>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</si>
  <si>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</si>
  <si>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</si>
  <si>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</si>
  <si>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</si>
  <si>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</si>
  <si>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</si>
  <si>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</si>
  <si>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</si>
  <si>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</si>
  <si>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</si>
  <si>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</si>
  <si>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</si>
  <si>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</si>
  <si>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</si>
  <si>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</si>
  <si>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</si>
  <si>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</si>
  <si>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</si>
  <si>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</si>
  <si>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</si>
  <si>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</si>
  <si>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</si>
  <si>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</si>
  <si>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</si>
  <si>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</si>
  <si>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</si>
  <si>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</si>
  <si>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</si>
  <si>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</si>
  <si>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</si>
  <si>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</si>
  <si>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</si>
  <si>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</si>
  <si>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</si>
  <si>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</si>
  <si>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</si>
  <si>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</si>
  <si>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</si>
  <si>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</si>
  <si>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</si>
  <si>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</si>
  <si>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</si>
  <si>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</si>
  <si>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</si>
  <si>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</si>
  <si>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</si>
  <si>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</si>
  <si>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</si>
  <si>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</si>
  <si>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</si>
  <si>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</si>
  <si>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</si>
  <si>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</si>
  <si>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</si>
  <si>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</si>
  <si>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</si>
  <si>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</si>
  <si>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</si>
  <si>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</si>
  <si>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</si>
  <si>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</si>
  <si>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</si>
  <si>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</si>
  <si>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</si>
  <si>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</si>
  <si>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</si>
  <si>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</si>
  <si>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</si>
  <si>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</si>
  <si>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</si>
  <si>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</si>
  <si>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</si>
  <si>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</si>
  <si>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</si>
  <si>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</si>
  <si>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</si>
  <si>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</si>
  <si>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</si>
  <si>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</si>
  <si>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</si>
  <si>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</si>
  <si>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</si>
  <si>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</si>
  <si>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</si>
  <si>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</si>
  <si>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</si>
  <si>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</si>
  <si>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</si>
  <si>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</si>
  <si>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</si>
  <si>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</si>
  <si>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</si>
  <si>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</si>
  <si>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</si>
  <si>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</si>
  <si>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</si>
  <si>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</si>
  <si>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</si>
  <si>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</si>
  <si>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</si>
  <si>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</si>
  <si>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</si>
  <si>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</si>
  <si>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</si>
  <si>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</si>
  <si>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</si>
  <si>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</si>
  <si>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</si>
  <si>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</si>
  <si>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</si>
  <si>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</si>
  <si>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</si>
  <si>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</si>
  <si>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</si>
  <si>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</si>
  <si>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</si>
  <si>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</si>
  <si>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</si>
  <si>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</si>
  <si>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</si>
  <si>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</si>
  <si>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</si>
  <si>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</si>
  <si>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</si>
  <si>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</si>
  <si>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</si>
  <si>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</si>
  <si>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</si>
  <si>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</si>
  <si>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</si>
  <si>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</si>
  <si>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</si>
  <si>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</si>
  <si>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</si>
  <si>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</si>
  <si>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</si>
  <si>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</si>
  <si>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</si>
  <si>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</si>
  <si>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</si>
  <si>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</si>
  <si>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</si>
  <si>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</si>
  <si>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</si>
  <si>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</si>
  <si>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</si>
  <si>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</si>
  <si>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</si>
  <si>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</si>
  <si>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</si>
  <si>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</si>
  <si>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</si>
  <si>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</si>
  <si>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</si>
  <si>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</si>
  <si>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</si>
  <si>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</si>
  <si>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</si>
  <si>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</si>
  <si>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</si>
  <si>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</si>
  <si>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</si>
  <si>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</si>
  <si>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</si>
  <si>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</si>
  <si>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</si>
  <si>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</si>
  <si>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</si>
  <si>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</si>
  <si>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</si>
  <si>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</si>
  <si>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</si>
  <si>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</si>
  <si>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</si>
  <si>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</si>
  <si>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</si>
  <si>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</si>
  <si>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</si>
  <si>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</si>
  <si>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</si>
  <si>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</si>
  <si>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</si>
  <si>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</si>
  <si>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</si>
  <si>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</si>
  <si>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</si>
  <si>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</si>
  <si>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42010</t>
  </si>
  <si>
    <t>LAARNE</t>
  </si>
  <si>
    <t>Fluvius</t>
  </si>
  <si>
    <t>referentietaak LNE (2017); Jaarverslag De Lijn</t>
  </si>
  <si>
    <t>Christoph Pieters</t>
  </si>
  <si>
    <t>Elsstraat 5 , 9270 Laarne</t>
  </si>
  <si>
    <t>WKK-0212 Christoph Pieters</t>
  </si>
  <si>
    <t>interne verbrandingsmotor</t>
  </si>
  <si>
    <t>WKK interne verbrandinsgmotor (gas)</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</si>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</sst>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98834.607587199454</c:v>
                </c:pt>
                <c:pt idx="1">
                  <c:v>23245.474087079121</c:v>
                </c:pt>
                <c:pt idx="2">
                  <c:v>982.40499999999997</c:v>
                </c:pt>
                <c:pt idx="3">
                  <c:v>15893.133839747004</c:v>
                </c:pt>
                <c:pt idx="4">
                  <c:v>6070.2649592489133</c:v>
                </c:pt>
                <c:pt idx="5">
                  <c:v>171892.03853628808</c:v>
                </c:pt>
                <c:pt idx="6">
                  <c:v>631.75639749557047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98834.607587199454</c:v>
                </c:pt>
                <c:pt idx="1">
                  <c:v>23245.474087079121</c:v>
                </c:pt>
                <c:pt idx="2">
                  <c:v>982.40499999999997</c:v>
                </c:pt>
                <c:pt idx="3">
                  <c:v>15893.133839747004</c:v>
                </c:pt>
                <c:pt idx="4">
                  <c:v>6070.2649592489133</c:v>
                </c:pt>
                <c:pt idx="5">
                  <c:v>171892.03853628808</c:v>
                </c:pt>
                <c:pt idx="6">
                  <c:v>631.75639749557047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18992.076009576012</c:v>
                </c:pt>
                <c:pt idx="2">
                  <c:v>4748.3059514910019</c:v>
                </c:pt>
                <c:pt idx="3">
                  <c:v>203.6814113866152</c:v>
                </c:pt>
                <c:pt idx="4">
                  <c:v>3968.8719306940197</c:v>
                </c:pt>
                <c:pt idx="5">
                  <c:v>1284.2485522288059</c:v>
                </c:pt>
                <c:pt idx="6">
                  <c:v>43098.10147926442</c:v>
                </c:pt>
                <c:pt idx="7">
                  <c:v>159.61425771394892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18992.076009576012</c:v>
                </c:pt>
                <c:pt idx="2">
                  <c:v>4748.3059514910019</c:v>
                </c:pt>
                <c:pt idx="3">
                  <c:v>203.6814113866152</c:v>
                </c:pt>
                <c:pt idx="4">
                  <c:v>3968.8719306940197</c:v>
                </c:pt>
                <c:pt idx="5">
                  <c:v>1284.2485522288059</c:v>
                </c:pt>
                <c:pt idx="6">
                  <c:v>43098.10147926442</c:v>
                </c:pt>
                <c:pt idx="7">
                  <c:v>159.61425771394892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42010</v>
      </c>
      <c r="B6" s="390"/>
      <c r="C6" s="391"/>
    </row>
    <row r="7" spans="1:7" s="388" customFormat="1" ht="15.75" customHeight="1">
      <c r="A7" s="392" t="str">
        <f>txtMunicipality</f>
        <v>LAARNE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0.20732937168134852</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0.20732937168134852</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5262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1884.36</v>
      </c>
      <c r="C14" s="330"/>
      <c r="D14" s="330"/>
      <c r="E14" s="330"/>
      <c r="F14" s="330"/>
    </row>
    <row r="15" spans="1:6">
      <c r="A15" s="1293" t="s">
        <v>183</v>
      </c>
      <c r="B15" s="1294">
        <v>15</v>
      </c>
      <c r="C15" s="330"/>
      <c r="D15" s="330"/>
      <c r="E15" s="330"/>
      <c r="F15" s="330"/>
    </row>
    <row r="16" spans="1:6">
      <c r="A16" s="1293" t="s">
        <v>6</v>
      </c>
      <c r="B16" s="1294">
        <v>497</v>
      </c>
      <c r="C16" s="330"/>
      <c r="D16" s="330"/>
      <c r="E16" s="330"/>
      <c r="F16" s="330"/>
    </row>
    <row r="17" spans="1:6">
      <c r="A17" s="1293" t="s">
        <v>7</v>
      </c>
      <c r="B17" s="1294">
        <v>219</v>
      </c>
      <c r="C17" s="330"/>
      <c r="D17" s="330"/>
      <c r="E17" s="330"/>
      <c r="F17" s="330"/>
    </row>
    <row r="18" spans="1:6">
      <c r="A18" s="1293" t="s">
        <v>8</v>
      </c>
      <c r="B18" s="1294">
        <v>368</v>
      </c>
      <c r="C18" s="330"/>
      <c r="D18" s="330"/>
      <c r="E18" s="330"/>
      <c r="F18" s="330"/>
    </row>
    <row r="19" spans="1:6">
      <c r="A19" s="1293" t="s">
        <v>9</v>
      </c>
      <c r="B19" s="1294">
        <v>503</v>
      </c>
      <c r="C19" s="330"/>
      <c r="D19" s="330"/>
      <c r="E19" s="330"/>
      <c r="F19" s="330"/>
    </row>
    <row r="20" spans="1:6">
      <c r="A20" s="1293" t="s">
        <v>10</v>
      </c>
      <c r="B20" s="1294">
        <v>394</v>
      </c>
      <c r="C20" s="330"/>
      <c r="D20" s="330"/>
      <c r="E20" s="330"/>
      <c r="F20" s="330"/>
    </row>
    <row r="21" spans="1:6">
      <c r="A21" s="1293" t="s">
        <v>11</v>
      </c>
      <c r="B21" s="1294">
        <v>176</v>
      </c>
      <c r="C21" s="330"/>
      <c r="D21" s="330"/>
      <c r="E21" s="330"/>
      <c r="F21" s="330"/>
    </row>
    <row r="22" spans="1:6">
      <c r="A22" s="1293" t="s">
        <v>12</v>
      </c>
      <c r="B22" s="1294">
        <v>905</v>
      </c>
      <c r="C22" s="330"/>
      <c r="D22" s="330"/>
      <c r="E22" s="330"/>
      <c r="F22" s="330"/>
    </row>
    <row r="23" spans="1:6">
      <c r="A23" s="1293" t="s">
        <v>13</v>
      </c>
      <c r="B23" s="1294">
        <v>3</v>
      </c>
      <c r="C23" s="330"/>
      <c r="D23" s="330"/>
      <c r="E23" s="330"/>
      <c r="F23" s="330"/>
    </row>
    <row r="24" spans="1:6">
      <c r="A24" s="1293" t="s">
        <v>14</v>
      </c>
      <c r="B24" s="1294">
        <v>1</v>
      </c>
      <c r="C24" s="330"/>
      <c r="D24" s="330"/>
      <c r="E24" s="330"/>
      <c r="F24" s="330"/>
    </row>
    <row r="25" spans="1:6">
      <c r="A25" s="1293" t="s">
        <v>15</v>
      </c>
      <c r="B25" s="1294">
        <v>41</v>
      </c>
      <c r="C25" s="330"/>
      <c r="D25" s="330"/>
      <c r="E25" s="330"/>
      <c r="F25" s="330"/>
    </row>
    <row r="26" spans="1:6">
      <c r="A26" s="1293" t="s">
        <v>16</v>
      </c>
      <c r="B26" s="1294">
        <v>22</v>
      </c>
      <c r="C26" s="330"/>
      <c r="D26" s="330"/>
      <c r="E26" s="330"/>
      <c r="F26" s="330"/>
    </row>
    <row r="27" spans="1:6">
      <c r="A27" s="1293" t="s">
        <v>17</v>
      </c>
      <c r="B27" s="1294">
        <v>0</v>
      </c>
      <c r="C27" s="330"/>
      <c r="D27" s="330"/>
      <c r="E27" s="330"/>
      <c r="F27" s="330"/>
    </row>
    <row r="28" spans="1:6" s="43" customFormat="1">
      <c r="A28" s="1295" t="s">
        <v>18</v>
      </c>
      <c r="B28" s="1296">
        <v>20046</v>
      </c>
      <c r="C28" s="336"/>
      <c r="D28" s="336"/>
      <c r="E28" s="336"/>
      <c r="F28" s="336"/>
    </row>
    <row r="29" spans="1:6">
      <c r="A29" s="1295" t="s">
        <v>734</v>
      </c>
      <c r="B29" s="1296">
        <v>327</v>
      </c>
      <c r="C29" s="336"/>
      <c r="D29" s="336"/>
      <c r="E29" s="336"/>
      <c r="F29" s="336"/>
    </row>
    <row r="30" spans="1:6">
      <c r="A30" s="1288" t="s">
        <v>735</v>
      </c>
      <c r="B30" s="1297">
        <v>113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8594</v>
      </c>
    </row>
    <row r="39" spans="1:6">
      <c r="A39" s="1293" t="s">
        <v>29</v>
      </c>
      <c r="B39" s="1293" t="s">
        <v>30</v>
      </c>
      <c r="C39" s="1294">
        <v>2787</v>
      </c>
      <c r="D39" s="1294">
        <v>44405366.851818703</v>
      </c>
      <c r="E39" s="1294">
        <v>4972</v>
      </c>
      <c r="F39" s="1294">
        <v>22824016.107220002</v>
      </c>
    </row>
    <row r="40" spans="1:6">
      <c r="A40" s="1293" t="s">
        <v>29</v>
      </c>
      <c r="B40" s="1293" t="s">
        <v>28</v>
      </c>
      <c r="C40" s="1294">
        <v>0</v>
      </c>
      <c r="D40" s="1294">
        <v>0</v>
      </c>
      <c r="E40" s="1294">
        <v>0</v>
      </c>
      <c r="F40" s="1294">
        <v>0</v>
      </c>
    </row>
    <row r="41" spans="1:6">
      <c r="A41" s="1293" t="s">
        <v>31</v>
      </c>
      <c r="B41" s="1293" t="s">
        <v>32</v>
      </c>
      <c r="C41" s="1294">
        <v>35</v>
      </c>
      <c r="D41" s="1294">
        <v>807952.94951258495</v>
      </c>
      <c r="E41" s="1294">
        <v>108</v>
      </c>
      <c r="F41" s="1294">
        <v>1037380.5390402999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6</v>
      </c>
      <c r="D44" s="1294">
        <v>705470.56943353906</v>
      </c>
      <c r="E44" s="1294">
        <v>16</v>
      </c>
      <c r="F44" s="1294">
        <v>743591.48061708396</v>
      </c>
    </row>
    <row r="45" spans="1:6">
      <c r="A45" s="1293" t="s">
        <v>31</v>
      </c>
      <c r="B45" s="1293" t="s">
        <v>36</v>
      </c>
      <c r="C45" s="1294">
        <v>0</v>
      </c>
      <c r="D45" s="1294">
        <v>0</v>
      </c>
      <c r="E45" s="1294">
        <v>3</v>
      </c>
      <c r="F45" s="1294">
        <v>24661.0238435514</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19</v>
      </c>
      <c r="D48" s="1294">
        <v>1064197.69401616</v>
      </c>
      <c r="E48" s="1294">
        <v>26</v>
      </c>
      <c r="F48" s="1294">
        <v>312332.846717451</v>
      </c>
    </row>
    <row r="49" spans="1:6">
      <c r="A49" s="1293" t="s">
        <v>31</v>
      </c>
      <c r="B49" s="1293" t="s">
        <v>39</v>
      </c>
      <c r="C49" s="1294">
        <v>0</v>
      </c>
      <c r="D49" s="1294">
        <v>0</v>
      </c>
      <c r="E49" s="1294">
        <v>0</v>
      </c>
      <c r="F49" s="1294">
        <v>0</v>
      </c>
    </row>
    <row r="50" spans="1:6">
      <c r="A50" s="1293" t="s">
        <v>31</v>
      </c>
      <c r="B50" s="1293" t="s">
        <v>40</v>
      </c>
      <c r="C50" s="1294">
        <v>0</v>
      </c>
      <c r="D50" s="1294">
        <v>0</v>
      </c>
      <c r="E50" s="1294">
        <v>4</v>
      </c>
      <c r="F50" s="1294">
        <v>180751.47621096199</v>
      </c>
    </row>
    <row r="51" spans="1:6">
      <c r="A51" s="1293" t="s">
        <v>41</v>
      </c>
      <c r="B51" s="1293" t="s">
        <v>42</v>
      </c>
      <c r="C51" s="1294">
        <v>12</v>
      </c>
      <c r="D51" s="1294">
        <v>12599969.291845599</v>
      </c>
      <c r="E51" s="1294">
        <v>96</v>
      </c>
      <c r="F51" s="1294">
        <v>1809240.69630302</v>
      </c>
    </row>
    <row r="52" spans="1:6">
      <c r="A52" s="1293" t="s">
        <v>41</v>
      </c>
      <c r="B52" s="1293" t="s">
        <v>28</v>
      </c>
      <c r="C52" s="1294">
        <v>6</v>
      </c>
      <c r="D52" s="1294">
        <v>226961.81919483101</v>
      </c>
      <c r="E52" s="1294">
        <v>7</v>
      </c>
      <c r="F52" s="1294">
        <v>56057.681938966001</v>
      </c>
    </row>
    <row r="53" spans="1:6">
      <c r="A53" s="1293" t="s">
        <v>43</v>
      </c>
      <c r="B53" s="1293" t="s">
        <v>44</v>
      </c>
      <c r="C53" s="1294">
        <v>68</v>
      </c>
      <c r="D53" s="1294">
        <v>1107095.4877574299</v>
      </c>
      <c r="E53" s="1294">
        <v>185</v>
      </c>
      <c r="F53" s="1294">
        <v>693843.51491224603</v>
      </c>
    </row>
    <row r="54" spans="1:6">
      <c r="A54" s="1293" t="s">
        <v>45</v>
      </c>
      <c r="B54" s="1293" t="s">
        <v>46</v>
      </c>
      <c r="C54" s="1294">
        <v>0</v>
      </c>
      <c r="D54" s="1294">
        <v>0</v>
      </c>
      <c r="E54" s="1294">
        <v>1</v>
      </c>
      <c r="F54" s="1294">
        <v>982405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23</v>
      </c>
      <c r="D57" s="1294">
        <v>580796.56991690001</v>
      </c>
      <c r="E57" s="1294">
        <v>44</v>
      </c>
      <c r="F57" s="1294">
        <v>462159.11099685798</v>
      </c>
    </row>
    <row r="58" spans="1:6">
      <c r="A58" s="1293" t="s">
        <v>48</v>
      </c>
      <c r="B58" s="1293" t="s">
        <v>50</v>
      </c>
      <c r="C58" s="1294">
        <v>6</v>
      </c>
      <c r="D58" s="1294">
        <v>185861.144782535</v>
      </c>
      <c r="E58" s="1294">
        <v>19</v>
      </c>
      <c r="F58" s="1294">
        <v>139772.93213842399</v>
      </c>
    </row>
    <row r="59" spans="1:6">
      <c r="A59" s="1293" t="s">
        <v>48</v>
      </c>
      <c r="B59" s="1293" t="s">
        <v>51</v>
      </c>
      <c r="C59" s="1294">
        <v>55</v>
      </c>
      <c r="D59" s="1294">
        <v>1851790.0173884099</v>
      </c>
      <c r="E59" s="1294">
        <v>141</v>
      </c>
      <c r="F59" s="1294">
        <v>4143287.19641526</v>
      </c>
    </row>
    <row r="60" spans="1:6">
      <c r="A60" s="1293" t="s">
        <v>48</v>
      </c>
      <c r="B60" s="1293" t="s">
        <v>52</v>
      </c>
      <c r="C60" s="1294">
        <v>35</v>
      </c>
      <c r="D60" s="1294">
        <v>1166585.8364957001</v>
      </c>
      <c r="E60" s="1294">
        <v>55</v>
      </c>
      <c r="F60" s="1294">
        <v>907206.18454961199</v>
      </c>
    </row>
    <row r="61" spans="1:6">
      <c r="A61" s="1293" t="s">
        <v>48</v>
      </c>
      <c r="B61" s="1293" t="s">
        <v>53</v>
      </c>
      <c r="C61" s="1294">
        <v>58</v>
      </c>
      <c r="D61" s="1294">
        <v>2571714.9164708098</v>
      </c>
      <c r="E61" s="1294">
        <v>149</v>
      </c>
      <c r="F61" s="1294">
        <v>2031150.47292366</v>
      </c>
    </row>
    <row r="62" spans="1:6">
      <c r="A62" s="1293" t="s">
        <v>48</v>
      </c>
      <c r="B62" s="1293" t="s">
        <v>54</v>
      </c>
      <c r="C62" s="1294">
        <v>23</v>
      </c>
      <c r="D62" s="1294">
        <v>1694353.11613101</v>
      </c>
      <c r="E62" s="1294">
        <v>53</v>
      </c>
      <c r="F62" s="1294">
        <v>541398.55601525796</v>
      </c>
    </row>
    <row r="63" spans="1:6">
      <c r="A63" s="1293" t="s">
        <v>48</v>
      </c>
      <c r="B63" s="1293" t="s">
        <v>28</v>
      </c>
      <c r="C63" s="1294">
        <v>75</v>
      </c>
      <c r="D63" s="1294">
        <v>4110249.1811883301</v>
      </c>
      <c r="E63" s="1294">
        <v>88</v>
      </c>
      <c r="F63" s="1294">
        <v>1559487.28516641</v>
      </c>
    </row>
    <row r="64" spans="1:6">
      <c r="A64" s="1293" t="s">
        <v>55</v>
      </c>
      <c r="B64" s="1293" t="s">
        <v>56</v>
      </c>
      <c r="C64" s="1294">
        <v>0</v>
      </c>
      <c r="D64" s="1294">
        <v>0</v>
      </c>
      <c r="E64" s="1294">
        <v>0</v>
      </c>
      <c r="F64" s="1294">
        <v>0</v>
      </c>
    </row>
    <row r="65" spans="1:6">
      <c r="A65" s="1293" t="s">
        <v>55</v>
      </c>
      <c r="B65" s="1293" t="s">
        <v>28</v>
      </c>
      <c r="C65" s="1294">
        <v>5</v>
      </c>
      <c r="D65" s="1294">
        <v>147090.55285480301</v>
      </c>
      <c r="E65" s="1294">
        <v>4</v>
      </c>
      <c r="F65" s="1294">
        <v>122036.186760554</v>
      </c>
    </row>
    <row r="66" spans="1:6">
      <c r="A66" s="1293" t="s">
        <v>55</v>
      </c>
      <c r="B66" s="1293" t="s">
        <v>57</v>
      </c>
      <c r="C66" s="1294">
        <v>0</v>
      </c>
      <c r="D66" s="1294">
        <v>0</v>
      </c>
      <c r="E66" s="1294">
        <v>4</v>
      </c>
      <c r="F66" s="1294">
        <v>46165.255597346397</v>
      </c>
    </row>
    <row r="67" spans="1:6">
      <c r="A67" s="1295" t="s">
        <v>55</v>
      </c>
      <c r="B67" s="1295" t="s">
        <v>58</v>
      </c>
      <c r="C67" s="1294">
        <v>0</v>
      </c>
      <c r="D67" s="1294">
        <v>0</v>
      </c>
      <c r="E67" s="1294">
        <v>0</v>
      </c>
      <c r="F67" s="1294">
        <v>0</v>
      </c>
    </row>
    <row r="68" spans="1:6">
      <c r="A68" s="1288" t="s">
        <v>55</v>
      </c>
      <c r="B68" s="1288" t="s">
        <v>59</v>
      </c>
      <c r="C68" s="1297">
        <v>0</v>
      </c>
      <c r="D68" s="1297">
        <v>0</v>
      </c>
      <c r="E68" s="1297">
        <v>7</v>
      </c>
      <c r="F68" s="1297">
        <v>109406.795459211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35196961</v>
      </c>
      <c r="E73" s="449"/>
      <c r="F73" s="330"/>
    </row>
    <row r="74" spans="1:6">
      <c r="A74" s="1293" t="s">
        <v>63</v>
      </c>
      <c r="B74" s="1293" t="s">
        <v>656</v>
      </c>
      <c r="C74" s="1307" t="s">
        <v>658</v>
      </c>
      <c r="D74" s="1308">
        <v>4471895</v>
      </c>
      <c r="E74" s="449"/>
      <c r="F74" s="330"/>
    </row>
    <row r="75" spans="1:6">
      <c r="A75" s="1293" t="s">
        <v>64</v>
      </c>
      <c r="B75" s="1293" t="s">
        <v>655</v>
      </c>
      <c r="C75" s="1307" t="s">
        <v>659</v>
      </c>
      <c r="D75" s="1308">
        <v>28123780</v>
      </c>
      <c r="E75" s="449"/>
      <c r="F75" s="330"/>
    </row>
    <row r="76" spans="1:6">
      <c r="A76" s="1293" t="s">
        <v>64</v>
      </c>
      <c r="B76" s="1293" t="s">
        <v>656</v>
      </c>
      <c r="C76" s="1307" t="s">
        <v>660</v>
      </c>
      <c r="D76" s="1308">
        <v>2092305</v>
      </c>
      <c r="E76" s="449"/>
      <c r="F76" s="330"/>
    </row>
    <row r="77" spans="1:6">
      <c r="A77" s="1293" t="s">
        <v>65</v>
      </c>
      <c r="B77" s="1293" t="s">
        <v>655</v>
      </c>
      <c r="C77" s="1307" t="s">
        <v>661</v>
      </c>
      <c r="D77" s="1308">
        <v>79801311</v>
      </c>
      <c r="E77" s="449"/>
      <c r="F77" s="330"/>
    </row>
    <row r="78" spans="1:6">
      <c r="A78" s="1288" t="s">
        <v>65</v>
      </c>
      <c r="B78" s="1288" t="s">
        <v>656</v>
      </c>
      <c r="C78" s="1288" t="s">
        <v>662</v>
      </c>
      <c r="D78" s="1309">
        <v>19322216</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172300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2553.1898748749427</v>
      </c>
      <c r="C91" s="330"/>
      <c r="D91" s="330"/>
      <c r="E91" s="330"/>
      <c r="F91" s="330"/>
    </row>
    <row r="92" spans="1:6">
      <c r="A92" s="1288" t="s">
        <v>68</v>
      </c>
      <c r="B92" s="1289">
        <v>283.34467993048963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1184</v>
      </c>
      <c r="C97" s="330"/>
      <c r="D97" s="330"/>
      <c r="E97" s="330"/>
      <c r="F97" s="330"/>
    </row>
    <row r="98" spans="1:6">
      <c r="A98" s="1293" t="s">
        <v>71</v>
      </c>
      <c r="B98" s="1294">
        <v>0</v>
      </c>
      <c r="C98" s="330"/>
      <c r="D98" s="330"/>
      <c r="E98" s="330"/>
      <c r="F98" s="330"/>
    </row>
    <row r="99" spans="1:6">
      <c r="A99" s="1293" t="s">
        <v>72</v>
      </c>
      <c r="B99" s="1294">
        <v>71</v>
      </c>
      <c r="C99" s="330"/>
      <c r="D99" s="330"/>
      <c r="E99" s="330"/>
      <c r="F99" s="330"/>
    </row>
    <row r="100" spans="1:6">
      <c r="A100" s="1293" t="s">
        <v>73</v>
      </c>
      <c r="B100" s="1294">
        <v>746</v>
      </c>
      <c r="C100" s="330"/>
      <c r="D100" s="330"/>
      <c r="E100" s="330"/>
      <c r="F100" s="330"/>
    </row>
    <row r="101" spans="1:6">
      <c r="A101" s="1293" t="s">
        <v>74</v>
      </c>
      <c r="B101" s="1294">
        <v>80</v>
      </c>
      <c r="C101" s="330"/>
      <c r="D101" s="330"/>
      <c r="E101" s="330"/>
      <c r="F101" s="330"/>
    </row>
    <row r="102" spans="1:6">
      <c r="A102" s="1293" t="s">
        <v>75</v>
      </c>
      <c r="B102" s="1294">
        <v>62</v>
      </c>
      <c r="C102" s="330"/>
      <c r="D102" s="330"/>
      <c r="E102" s="330"/>
      <c r="F102" s="330"/>
    </row>
    <row r="103" spans="1:6">
      <c r="A103" s="1293" t="s">
        <v>76</v>
      </c>
      <c r="B103" s="1294">
        <v>348</v>
      </c>
      <c r="C103" s="330"/>
      <c r="D103" s="330"/>
      <c r="E103" s="330"/>
      <c r="F103" s="330"/>
    </row>
    <row r="104" spans="1:6">
      <c r="A104" s="1293" t="s">
        <v>77</v>
      </c>
      <c r="B104" s="1294">
        <v>2007</v>
      </c>
      <c r="C104" s="330"/>
      <c r="D104" s="330"/>
      <c r="E104" s="330"/>
      <c r="F104" s="330"/>
    </row>
    <row r="105" spans="1:6">
      <c r="A105" s="1288" t="s">
        <v>78</v>
      </c>
      <c r="B105" s="1297">
        <v>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27</v>
      </c>
      <c r="C123" s="1294">
        <v>35</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174</v>
      </c>
      <c r="C129" s="330"/>
      <c r="D129" s="330"/>
      <c r="E129" s="330"/>
      <c r="F129" s="330"/>
    </row>
    <row r="130" spans="1:6">
      <c r="A130" s="1293" t="s">
        <v>294</v>
      </c>
      <c r="B130" s="1294">
        <v>1</v>
      </c>
      <c r="C130" s="330"/>
      <c r="D130" s="330"/>
      <c r="E130" s="330"/>
      <c r="F130" s="330"/>
    </row>
    <row r="131" spans="1:6">
      <c r="A131" s="1293" t="s">
        <v>295</v>
      </c>
      <c r="B131" s="1294">
        <v>1</v>
      </c>
      <c r="C131" s="330"/>
      <c r="D131" s="330"/>
      <c r="E131" s="330"/>
      <c r="F131" s="330"/>
    </row>
    <row r="132" spans="1:6">
      <c r="A132" s="1288" t="s">
        <v>296</v>
      </c>
      <c r="B132" s="1289">
        <v>15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41049.797118637391</v>
      </c>
      <c r="C3" s="43" t="s">
        <v>169</v>
      </c>
      <c r="D3" s="43"/>
      <c r="E3" s="154"/>
      <c r="F3" s="43"/>
      <c r="G3" s="43"/>
      <c r="H3" s="43"/>
      <c r="I3" s="43"/>
      <c r="J3" s="43"/>
      <c r="K3" s="96"/>
    </row>
    <row r="4" spans="1:11">
      <c r="A4" s="358" t="s">
        <v>170</v>
      </c>
      <c r="B4" s="49">
        <f>IF(ISERROR('SEAP template'!B78+'SEAP template'!C78),0,'SEAP template'!B78+'SEAP template'!C78)</f>
        <v>6783.034554805432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937.87411764705894</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0.20732937168134852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1339.8201680672271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5637.8571428571431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982.40499999999997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982.40499999999997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0.20732937168134852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203.6814113866152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22824.016107220003</v>
      </c>
      <c r="C5" s="17">
        <f>IF(ISERROR('Eigen informatie GS &amp; warmtenet'!B57),0,'Eigen informatie GS &amp; warmtenet'!B57)</f>
        <v>0</v>
      </c>
      <c r="D5" s="30">
        <f>(SUM(HH_hh_gas_kWh,HH_rest_gas_kWh)/1000)*0.902</f>
        <v>40053.64090034047</v>
      </c>
      <c r="E5" s="17">
        <f>B46*B57</f>
        <v>7035.533781574507</v>
      </c>
      <c r="F5" s="17">
        <f>B51*B62</f>
        <v>11771.033644721781</v>
      </c>
      <c r="G5" s="18"/>
      <c r="H5" s="17"/>
      <c r="I5" s="17"/>
      <c r="J5" s="17">
        <f>B50*B61+C50*C61</f>
        <v>2542.0006351785514</v>
      </c>
      <c r="K5" s="17"/>
      <c r="L5" s="17"/>
      <c r="M5" s="17"/>
      <c r="N5" s="17">
        <f>B48*B59+C48*C59</f>
        <v>10926.092643289194</v>
      </c>
      <c r="O5" s="17">
        <f>B69*B70*B71</f>
        <v>328.3</v>
      </c>
      <c r="P5" s="17">
        <f>B77*B78*B79/1000-B77*B78*B79/1000/B80</f>
        <v>800.8</v>
      </c>
    </row>
    <row r="6" spans="1:16">
      <c r="A6" s="16" t="s">
        <v>620</v>
      </c>
      <c r="B6" s="762">
        <f>kWh_PV_kleiner_dan_10kW</f>
        <v>2553.1898748749427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25377.205982094943</v>
      </c>
      <c r="C8" s="21">
        <f>C5</f>
        <v>0</v>
      </c>
      <c r="D8" s="21">
        <f>D5</f>
        <v>40053.64090034047</v>
      </c>
      <c r="E8" s="21">
        <f>E5</f>
        <v>7035.533781574507</v>
      </c>
      <c r="F8" s="21">
        <f>F5</f>
        <v>11771.033644721781</v>
      </c>
      <c r="G8" s="21"/>
      <c r="H8" s="21"/>
      <c r="I8" s="21"/>
      <c r="J8" s="21">
        <f>J5</f>
        <v>2542.0006351785514</v>
      </c>
      <c r="K8" s="21"/>
      <c r="L8" s="21">
        <f>L5</f>
        <v>0</v>
      </c>
      <c r="M8" s="21">
        <f>M5</f>
        <v>0</v>
      </c>
      <c r="N8" s="21">
        <f>N5</f>
        <v>10926.092643289194</v>
      </c>
      <c r="O8" s="21">
        <f>O5</f>
        <v>328.3</v>
      </c>
      <c r="P8" s="21">
        <f>P5</f>
        <v>800.8</v>
      </c>
    </row>
    <row r="9" spans="1:16">
      <c r="B9" s="19"/>
      <c r="C9" s="19"/>
      <c r="D9" s="258"/>
      <c r="E9" s="19"/>
      <c r="F9" s="19"/>
      <c r="G9" s="19"/>
      <c r="H9" s="19"/>
      <c r="I9" s="19"/>
      <c r="J9" s="19"/>
      <c r="K9" s="19"/>
      <c r="L9" s="19"/>
      <c r="M9" s="19"/>
      <c r="N9" s="19"/>
      <c r="O9" s="19"/>
      <c r="P9" s="19"/>
    </row>
    <row r="10" spans="1:16">
      <c r="A10" s="24" t="s">
        <v>213</v>
      </c>
      <c r="B10" s="25">
        <f ca="1">'EF ele_warmte'!B12</f>
        <v>0.20732937168134852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5261.4401712959034</v>
      </c>
      <c r="C12" s="23">
        <f ca="1">C10*C8</f>
        <v>0</v>
      </c>
      <c r="D12" s="23">
        <f>D8*D10</f>
        <v>8090.8354618687754</v>
      </c>
      <c r="E12" s="23">
        <f>E10*E8</f>
        <v>1597.0661684174131</v>
      </c>
      <c r="F12" s="23">
        <f>F10*F8</f>
        <v>3142.8659831407158</v>
      </c>
      <c r="G12" s="23"/>
      <c r="H12" s="23"/>
      <c r="I12" s="23"/>
      <c r="J12" s="23">
        <f>J10*J8</f>
        <v>899.86822485320715</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1184</v>
      </c>
      <c r="C18" s="166" t="s">
        <v>110</v>
      </c>
      <c r="D18" s="228"/>
      <c r="E18" s="15"/>
    </row>
    <row r="19" spans="1:7">
      <c r="A19" s="171" t="s">
        <v>71</v>
      </c>
      <c r="B19" s="37">
        <f>aantalw2001_ander</f>
        <v>0</v>
      </c>
      <c r="C19" s="166" t="s">
        <v>110</v>
      </c>
      <c r="D19" s="229"/>
      <c r="E19" s="15"/>
    </row>
    <row r="20" spans="1:7">
      <c r="A20" s="171" t="s">
        <v>72</v>
      </c>
      <c r="B20" s="37">
        <f>aantalw2001_propaan</f>
        <v>71</v>
      </c>
      <c r="C20" s="167">
        <f>IF(ISERROR(B20/SUM($B$20,$B$21,$B$22)*100),0,B20/SUM($B$20,$B$21,$B$22)*100)</f>
        <v>7.9152731326644368</v>
      </c>
      <c r="D20" s="229"/>
      <c r="E20" s="15"/>
    </row>
    <row r="21" spans="1:7">
      <c r="A21" s="171" t="s">
        <v>73</v>
      </c>
      <c r="B21" s="37">
        <f>aantalw2001_elektriciteit</f>
        <v>746</v>
      </c>
      <c r="C21" s="167">
        <f>IF(ISERROR(B21/SUM($B$20,$B$21,$B$22)*100),0,B21/SUM($B$20,$B$21,$B$22)*100)</f>
        <v>83.166109253065784</v>
      </c>
      <c r="D21" s="229"/>
      <c r="E21" s="15"/>
    </row>
    <row r="22" spans="1:7">
      <c r="A22" s="171" t="s">
        <v>74</v>
      </c>
      <c r="B22" s="37">
        <f>aantalw2001_hout</f>
        <v>80</v>
      </c>
      <c r="C22" s="167">
        <f>IF(ISERROR(B22/SUM($B$20,$B$21,$B$22)*100),0,B22/SUM($B$20,$B$21,$B$22)*100)</f>
        <v>8.9186176142697882</v>
      </c>
      <c r="D22" s="229"/>
      <c r="E22" s="15"/>
    </row>
    <row r="23" spans="1:7">
      <c r="A23" s="171" t="s">
        <v>75</v>
      </c>
      <c r="B23" s="37">
        <f>aantalw2001_niet_gespec</f>
        <v>62</v>
      </c>
      <c r="C23" s="166" t="s">
        <v>110</v>
      </c>
      <c r="D23" s="228"/>
      <c r="E23" s="15"/>
    </row>
    <row r="24" spans="1:7">
      <c r="A24" s="171" t="s">
        <v>76</v>
      </c>
      <c r="B24" s="37">
        <f>aantalw2001_steenkool</f>
        <v>348</v>
      </c>
      <c r="C24" s="166" t="s">
        <v>110</v>
      </c>
      <c r="D24" s="229"/>
      <c r="E24" s="15"/>
    </row>
    <row r="25" spans="1:7">
      <c r="A25" s="171" t="s">
        <v>77</v>
      </c>
      <c r="B25" s="37">
        <f>aantalw2001_stookolie</f>
        <v>2007</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780</v>
      </c>
      <c r="B28" s="37">
        <f>aantalHuishoudens</f>
        <v>5262</v>
      </c>
      <c r="C28" s="36"/>
      <c r="D28" s="228"/>
    </row>
    <row r="29" spans="1:7" s="15" customFormat="1">
      <c r="A29" s="230" t="s">
        <v>781</v>
      </c>
      <c r="B29" s="37">
        <f>SUM(HH_hh_gas_aantal,HH_rest_gas_aantal)</f>
        <v>2787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2787</v>
      </c>
      <c r="C32" s="167">
        <f>IF(ISERROR(B32/SUM($B$32,$B$34,$B$35,$B$36,$B$38,$B$39)*100),0,B32/SUM($B$32,$B$34,$B$35,$B$36,$B$38,$B$39)*100)</f>
        <v>53.390804597701155</v>
      </c>
      <c r="D32" s="233"/>
      <c r="G32" s="15"/>
    </row>
    <row r="33" spans="1:7">
      <c r="A33" s="171" t="s">
        <v>71</v>
      </c>
      <c r="B33" s="34" t="s">
        <v>110</v>
      </c>
      <c r="C33" s="167"/>
      <c r="D33" s="233"/>
      <c r="G33" s="15"/>
    </row>
    <row r="34" spans="1:7">
      <c r="A34" s="171" t="s">
        <v>72</v>
      </c>
      <c r="B34" s="33">
        <f>IF((($B$28-$B$32-$B$39-$B$77-$B$38)*C20/100)&lt;0,0,($B$28-$B$32-$B$39-$B$77-$B$38)*C20/100)</f>
        <v>133.05574136008917</v>
      </c>
      <c r="C34" s="167">
        <f>IF(ISERROR(B34/SUM($B$32,$B$34,$B$35,$B$36,$B$38,$B$39)*100),0,B34/SUM($B$32,$B$34,$B$35,$B$36,$B$38,$B$39)*100)</f>
        <v>2.5489605624538161</v>
      </c>
      <c r="D34" s="233"/>
      <c r="G34" s="15"/>
    </row>
    <row r="35" spans="1:7">
      <c r="A35" s="171" t="s">
        <v>73</v>
      </c>
      <c r="B35" s="33">
        <f>IF((($B$28-$B$32-$B$39-$B$77-$B$38)*C21/100)&lt;0,0,($B$28-$B$32-$B$39-$B$77-$B$38)*C21/100)</f>
        <v>1398.0222965440357</v>
      </c>
      <c r="C35" s="167">
        <f>IF(ISERROR(B35/SUM($B$32,$B$34,$B$35,$B$36,$B$38,$B$39)*100),0,B35/SUM($B$32,$B$34,$B$35,$B$36,$B$38,$B$39)*100)</f>
        <v>26.782036332261228</v>
      </c>
      <c r="D35" s="233"/>
      <c r="G35" s="15"/>
    </row>
    <row r="36" spans="1:7">
      <c r="A36" s="171" t="s">
        <v>74</v>
      </c>
      <c r="B36" s="33">
        <f>IF((($B$28-$B$32-$B$39-$B$77-$B$38)*C22/100)&lt;0,0,($B$28-$B$32-$B$39-$B$77-$B$38)*C22/100)</f>
        <v>149.92196209587513</v>
      </c>
      <c r="C36" s="167">
        <f>IF(ISERROR(B36/SUM($B$32,$B$34,$B$35,$B$36,$B$38,$B$39)*100),0,B36/SUM($B$32,$B$34,$B$35,$B$36,$B$38,$B$39)*100)</f>
        <v>2.8720682393845816</v>
      </c>
      <c r="D36" s="233"/>
      <c r="G36" s="15"/>
    </row>
    <row r="37" spans="1:7">
      <c r="A37" s="171" t="s">
        <v>75</v>
      </c>
      <c r="B37" s="34" t="s">
        <v>110</v>
      </c>
      <c r="C37" s="167"/>
      <c r="D37" s="173"/>
      <c r="G37" s="15"/>
    </row>
    <row r="38" spans="1:7">
      <c r="A38" s="171" t="s">
        <v>76</v>
      </c>
      <c r="B38" s="33">
        <f>IF((B24-(B29-B18)*0.1)&lt;0,0,B24-(B29-B18)*0.1)</f>
        <v>187.7</v>
      </c>
      <c r="C38" s="167">
        <f>IF(ISERROR(B38/SUM($B$32,$B$34,$B$35,$B$36,$B$38,$B$39)*100),0,B38/SUM($B$32,$B$34,$B$35,$B$36,$B$38,$B$39)*100)</f>
        <v>3.5957854406130272</v>
      </c>
      <c r="D38" s="234"/>
      <c r="G38" s="15"/>
    </row>
    <row r="39" spans="1:7">
      <c r="A39" s="171" t="s">
        <v>77</v>
      </c>
      <c r="B39" s="33">
        <f>IF((B25-(B29-B18))&lt;0,0,B25-(B29-B18)*0.9)</f>
        <v>564.29999999999995</v>
      </c>
      <c r="C39" s="167">
        <f>IF(ISERROR(B39/SUM($B$32,$B$34,$B$35,$B$36,$B$38,$B$39)*100),0,B39/SUM($B$32,$B$34,$B$35,$B$36,$B$38,$B$39)*100)</f>
        <v>10.810344827586208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2787</v>
      </c>
      <c r="C44" s="34" t="s">
        <v>110</v>
      </c>
      <c r="D44" s="174"/>
    </row>
    <row r="45" spans="1:7">
      <c r="A45" s="171" t="s">
        <v>71</v>
      </c>
      <c r="B45" s="33" t="str">
        <f t="shared" si="0"/>
        <v>-</v>
      </c>
      <c r="C45" s="34" t="s">
        <v>110</v>
      </c>
      <c r="D45" s="174"/>
    </row>
    <row r="46" spans="1:7">
      <c r="A46" s="171" t="s">
        <v>72</v>
      </c>
      <c r="B46" s="33">
        <f t="shared" si="0"/>
        <v>133.05574136008917</v>
      </c>
      <c r="C46" s="34" t="s">
        <v>110</v>
      </c>
      <c r="D46" s="174"/>
    </row>
    <row r="47" spans="1:7">
      <c r="A47" s="171" t="s">
        <v>73</v>
      </c>
      <c r="B47" s="33">
        <f t="shared" si="0"/>
        <v>1398.0222965440357</v>
      </c>
      <c r="C47" s="34" t="s">
        <v>110</v>
      </c>
      <c r="D47" s="174"/>
    </row>
    <row r="48" spans="1:7">
      <c r="A48" s="171" t="s">
        <v>74</v>
      </c>
      <c r="B48" s="33">
        <f t="shared" si="0"/>
        <v>149.92196209587513</v>
      </c>
      <c r="C48" s="33">
        <f>B48*10</f>
        <v>1499.2196209587514</v>
      </c>
      <c r="D48" s="234"/>
    </row>
    <row r="49" spans="1:6">
      <c r="A49" s="171" t="s">
        <v>75</v>
      </c>
      <c r="B49" s="33" t="str">
        <f t="shared" si="0"/>
        <v>-</v>
      </c>
      <c r="C49" s="34" t="s">
        <v>110</v>
      </c>
      <c r="D49" s="234"/>
    </row>
    <row r="50" spans="1:6">
      <c r="A50" s="171" t="s">
        <v>76</v>
      </c>
      <c r="B50" s="33">
        <f t="shared" si="0"/>
        <v>187.7</v>
      </c>
      <c r="C50" s="33">
        <f>B50*2</f>
        <v>375.4</v>
      </c>
      <c r="D50" s="234"/>
    </row>
    <row r="51" spans="1:6">
      <c r="A51" s="171" t="s">
        <v>77</v>
      </c>
      <c r="B51" s="33">
        <f t="shared" si="0"/>
        <v>564.29999999999995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210</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9784.4617382054821</v>
      </c>
      <c r="C5" s="17">
        <f>IF(ISERROR('Eigen informatie GS &amp; warmtenet'!B58),0,'Eigen informatie GS &amp; warmtenet'!B58)</f>
        <v>0</v>
      </c>
      <c r="D5" s="30">
        <f>SUM(D6:D12)</f>
        <v>10969.538405701074</v>
      </c>
      <c r="E5" s="17">
        <f>SUM(E6:E12)</f>
        <v>191.37443383226898</v>
      </c>
      <c r="F5" s="17">
        <f>SUM(F6:F12)</f>
        <v>1724.367058445479</v>
      </c>
      <c r="G5" s="18"/>
      <c r="H5" s="17"/>
      <c r="I5" s="17"/>
      <c r="J5" s="17">
        <f>SUM(J6:J12)</f>
        <v>1.3808000503108497E-2</v>
      </c>
      <c r="K5" s="17"/>
      <c r="L5" s="17"/>
      <c r="M5" s="17"/>
      <c r="N5" s="17">
        <f>SUM(N6:N12)</f>
        <v>555.08864289431881</v>
      </c>
      <c r="O5" s="17">
        <f>B38*B39*B40</f>
        <v>1.5633333333333335</v>
      </c>
      <c r="P5" s="17">
        <f>B46*B47*B48/1000-B46*B47*B48/1000/B49</f>
        <v>19.066666666666666</v>
      </c>
      <c r="R5" s="32"/>
    </row>
    <row r="6" spans="1:18">
      <c r="A6" s="32" t="s">
        <v>53</v>
      </c>
      <c r="B6" s="37">
        <f>B26</f>
        <v>2031.1504729236599</v>
      </c>
      <c r="C6" s="33"/>
      <c r="D6" s="37">
        <f>IF(ISERROR(TER_kantoor_gas_kWh/1000),0,TER_kantoor_gas_kWh/1000)*0.902</f>
        <v>2319.6868546566707</v>
      </c>
      <c r="E6" s="33">
        <f>$C$26*'E Balans VL '!I12/100/3.6*1000000</f>
        <v>1.273057561422165E-2</v>
      </c>
      <c r="F6" s="33">
        <f>$C$26*('E Balans VL '!L12+'E Balans VL '!N12)/100/3.6*1000000</f>
        <v>305.22516032320249</v>
      </c>
      <c r="G6" s="34"/>
      <c r="H6" s="33"/>
      <c r="I6" s="33"/>
      <c r="J6" s="33">
        <f>$C$26*('E Balans VL '!D12+'E Balans VL '!E12)/100/3.6*1000000</f>
        <v>0</v>
      </c>
      <c r="K6" s="33"/>
      <c r="L6" s="33"/>
      <c r="M6" s="33"/>
      <c r="N6" s="33">
        <f>$C$26*'E Balans VL '!Y12/100/3.6*1000000</f>
        <v>1.9424942762442927</v>
      </c>
      <c r="O6" s="33"/>
      <c r="P6" s="33"/>
      <c r="R6" s="32"/>
    </row>
    <row r="7" spans="1:18">
      <c r="A7" s="32" t="s">
        <v>52</v>
      </c>
      <c r="B7" s="37">
        <f t="shared" ref="B7:B12" si="0">B27</f>
        <v>907.20618454961198</v>
      </c>
      <c r="C7" s="33"/>
      <c r="D7" s="37">
        <f>IF(ISERROR(TER_horeca_gas_kWh/1000),0,TER_horeca_gas_kWh/1000)*0.902</f>
        <v>1052.2604245191214</v>
      </c>
      <c r="E7" s="33">
        <f>$C$27*'E Balans VL '!I9/100/3.6*1000000</f>
        <v>12.991041451047034</v>
      </c>
      <c r="F7" s="33">
        <f>$C$27*('E Balans VL '!L9+'E Balans VL '!N9)/100/3.6*1000000</f>
        <v>114.88222377667249</v>
      </c>
      <c r="G7" s="34"/>
      <c r="H7" s="33"/>
      <c r="I7" s="33"/>
      <c r="J7" s="33">
        <f>$C$27*('E Balans VL '!D9+'E Balans VL '!E9)/100/3.6*1000000</f>
        <v>0</v>
      </c>
      <c r="K7" s="33"/>
      <c r="L7" s="33"/>
      <c r="M7" s="33"/>
      <c r="N7" s="33">
        <f>$C$27*'E Balans VL '!Y9/100/3.6*1000000</f>
        <v>0.26080177587862452</v>
      </c>
      <c r="O7" s="33"/>
      <c r="P7" s="33"/>
      <c r="R7" s="32"/>
    </row>
    <row r="8" spans="1:18">
      <c r="A8" s="6" t="s">
        <v>51</v>
      </c>
      <c r="B8" s="37">
        <f t="shared" si="0"/>
        <v>4143.28719641526</v>
      </c>
      <c r="C8" s="33"/>
      <c r="D8" s="37">
        <f>IF(ISERROR(TER_handel_gas_kWh/1000),0,TER_handel_gas_kWh/1000)*0.902</f>
        <v>1670.3145956843459</v>
      </c>
      <c r="E8" s="33">
        <f>$C$28*'E Balans VL '!I13/100/3.6*1000000</f>
        <v>150.27651568669475</v>
      </c>
      <c r="F8" s="33">
        <f>$C$28*('E Balans VL '!L13+'E Balans VL '!N13)/100/3.6*1000000</f>
        <v>798.03906747975998</v>
      </c>
      <c r="G8" s="34"/>
      <c r="H8" s="33"/>
      <c r="I8" s="33"/>
      <c r="J8" s="33">
        <f>$C$28*('E Balans VL '!D13+'E Balans VL '!E13)/100/3.6*1000000</f>
        <v>0</v>
      </c>
      <c r="K8" s="33"/>
      <c r="L8" s="33"/>
      <c r="M8" s="33"/>
      <c r="N8" s="33">
        <f>$C$28*'E Balans VL '!Y13/100/3.6*1000000</f>
        <v>5.7394060949018826</v>
      </c>
      <c r="O8" s="33"/>
      <c r="P8" s="33"/>
      <c r="R8" s="32"/>
    </row>
    <row r="9" spans="1:18">
      <c r="A9" s="32" t="s">
        <v>50</v>
      </c>
      <c r="B9" s="37">
        <f t="shared" si="0"/>
        <v>139.77293213842398</v>
      </c>
      <c r="C9" s="33"/>
      <c r="D9" s="37">
        <f>IF(ISERROR(TER_gezond_gas_kWh/1000),0,TER_gezond_gas_kWh/1000)*0.902</f>
        <v>167.64675259384657</v>
      </c>
      <c r="E9" s="33">
        <f>$C$29*'E Balans VL '!I10/100/3.6*1000000</f>
        <v>8.7511655602572763E-3</v>
      </c>
      <c r="F9" s="33">
        <f>$C$29*('E Balans VL '!L10+'E Balans VL '!N10)/100/3.6*1000000</f>
        <v>20.763694637212289</v>
      </c>
      <c r="G9" s="34"/>
      <c r="H9" s="33"/>
      <c r="I9" s="33"/>
      <c r="J9" s="33">
        <f>$C$29*('E Balans VL '!D10+'E Balans VL '!E10)/100/3.6*1000000</f>
        <v>0</v>
      </c>
      <c r="K9" s="33"/>
      <c r="L9" s="33"/>
      <c r="M9" s="33"/>
      <c r="N9" s="33">
        <f>$C$29*'E Balans VL '!Y10/100/3.6*1000000</f>
        <v>2.162021201252228</v>
      </c>
      <c r="O9" s="33"/>
      <c r="P9" s="33"/>
      <c r="R9" s="32"/>
    </row>
    <row r="10" spans="1:18">
      <c r="A10" s="32" t="s">
        <v>49</v>
      </c>
      <c r="B10" s="37">
        <f t="shared" si="0"/>
        <v>462.15911099685798</v>
      </c>
      <c r="C10" s="33"/>
      <c r="D10" s="37">
        <f>IF(ISERROR(TER_ander_gas_kWh/1000),0,TER_ander_gas_kWh/1000)*0.902</f>
        <v>523.87850606504378</v>
      </c>
      <c r="E10" s="33">
        <f>$C$30*'E Balans VL '!I14/100/3.6*1000000</f>
        <v>0.5508771455321344</v>
      </c>
      <c r="F10" s="33">
        <f>$C$30*('E Balans VL '!L14+'E Balans VL '!N14)/100/3.6*1000000</f>
        <v>120.9213694171071</v>
      </c>
      <c r="G10" s="34"/>
      <c r="H10" s="33"/>
      <c r="I10" s="33"/>
      <c r="J10" s="33">
        <f>$C$30*('E Balans VL '!D14+'E Balans VL '!E14)/100/3.6*1000000</f>
        <v>1.0031662686048883E-2</v>
      </c>
      <c r="K10" s="33"/>
      <c r="L10" s="33"/>
      <c r="M10" s="33"/>
      <c r="N10" s="33">
        <f>$C$30*'E Balans VL '!Y14/100/3.6*1000000</f>
        <v>392.45420818426936</v>
      </c>
      <c r="O10" s="33"/>
      <c r="P10" s="33"/>
      <c r="R10" s="32"/>
    </row>
    <row r="11" spans="1:18">
      <c r="A11" s="32" t="s">
        <v>54</v>
      </c>
      <c r="B11" s="37">
        <f t="shared" si="0"/>
        <v>541.39855601525801</v>
      </c>
      <c r="C11" s="33"/>
      <c r="D11" s="37">
        <f>IF(ISERROR(TER_onderwijs_gas_kWh/1000),0,TER_onderwijs_gas_kWh/1000)*0.902</f>
        <v>1528.3065107501711</v>
      </c>
      <c r="E11" s="33">
        <f>$C$31*'E Balans VL '!I11/100/3.6*1000000</f>
        <v>8.168832204977063</v>
      </c>
      <c r="F11" s="33">
        <f>$C$31*('E Balans VL '!L11+'E Balans VL '!N11)/100/3.6*1000000</f>
        <v>94.861676113113347</v>
      </c>
      <c r="G11" s="34"/>
      <c r="H11" s="33"/>
      <c r="I11" s="33"/>
      <c r="J11" s="33">
        <f>$C$31*('E Balans VL '!D11+'E Balans VL '!E11)/100/3.6*1000000</f>
        <v>0</v>
      </c>
      <c r="K11" s="33"/>
      <c r="L11" s="33"/>
      <c r="M11" s="33"/>
      <c r="N11" s="33">
        <f>$C$31*'E Balans VL '!Y11/100/3.6*1000000</f>
        <v>1.523536695312564</v>
      </c>
      <c r="O11" s="33"/>
      <c r="P11" s="33"/>
      <c r="R11" s="32"/>
    </row>
    <row r="12" spans="1:18">
      <c r="A12" s="32" t="s">
        <v>259</v>
      </c>
      <c r="B12" s="37">
        <f t="shared" si="0"/>
        <v>1559.4872851664099</v>
      </c>
      <c r="C12" s="33"/>
      <c r="D12" s="37">
        <f>IF(ISERROR(TER_rest_gas_kWh/1000),0,TER_rest_gas_kWh/1000)*0.902</f>
        <v>3707.4447614318738</v>
      </c>
      <c r="E12" s="33">
        <f>$C$32*'E Balans VL '!I8/100/3.6*1000000</f>
        <v>19.365685602843513</v>
      </c>
      <c r="F12" s="33">
        <f>$C$32*('E Balans VL '!L8+'E Balans VL '!N8)/100/3.6*1000000</f>
        <v>269.67386669841125</v>
      </c>
      <c r="G12" s="34"/>
      <c r="H12" s="33"/>
      <c r="I12" s="33"/>
      <c r="J12" s="33">
        <f>$C$32*('E Balans VL '!D8+'E Balans VL '!E8)/100/3.6*1000000</f>
        <v>3.7763378170596129E-3</v>
      </c>
      <c r="K12" s="33"/>
      <c r="L12" s="33"/>
      <c r="M12" s="33"/>
      <c r="N12" s="33">
        <f>$C$32*'E Balans VL '!Y8/100/3.6*1000000</f>
        <v>151.0061746664598</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9784.4617382054821</v>
      </c>
      <c r="C16" s="21">
        <f t="shared" ca="1" si="1"/>
        <v>0</v>
      </c>
      <c r="D16" s="21">
        <f t="shared" ca="1" si="1"/>
        <v>10969.538405701074</v>
      </c>
      <c r="E16" s="21">
        <f t="shared" si="1"/>
        <v>191.37443383226898</v>
      </c>
      <c r="F16" s="21">
        <f t="shared" ca="1" si="1"/>
        <v>1724.367058445479</v>
      </c>
      <c r="G16" s="21">
        <f t="shared" si="1"/>
        <v>0</v>
      </c>
      <c r="H16" s="21">
        <f t="shared" si="1"/>
        <v>0</v>
      </c>
      <c r="I16" s="21">
        <f t="shared" si="1"/>
        <v>0</v>
      </c>
      <c r="J16" s="21">
        <f t="shared" si="1"/>
        <v>1.3808000503108497E-2</v>
      </c>
      <c r="K16" s="21">
        <f t="shared" si="1"/>
        <v>0</v>
      </c>
      <c r="L16" s="21">
        <f t="shared" ca="1" si="1"/>
        <v>0</v>
      </c>
      <c r="M16" s="21">
        <f t="shared" si="1"/>
        <v>0</v>
      </c>
      <c r="N16" s="21">
        <f t="shared" ca="1" si="1"/>
        <v>555.08864289431881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0.20732937168134852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2028.6063044223379</v>
      </c>
      <c r="C20" s="23">
        <f t="shared" ref="C20:P20" ca="1" si="2">C16*C18</f>
        <v>0</v>
      </c>
      <c r="D20" s="23">
        <f t="shared" ca="1" si="2"/>
        <v>2215.8467579516173</v>
      </c>
      <c r="E20" s="23">
        <f t="shared" si="2"/>
        <v>43.441996479925059</v>
      </c>
      <c r="F20" s="23">
        <f t="shared" ca="1" si="2"/>
        <v>460.40600460494289</v>
      </c>
      <c r="G20" s="23">
        <f t="shared" si="2"/>
        <v>0</v>
      </c>
      <c r="H20" s="23">
        <f t="shared" si="2"/>
        <v>0</v>
      </c>
      <c r="I20" s="23">
        <f t="shared" si="2"/>
        <v>0</v>
      </c>
      <c r="J20" s="23">
        <f t="shared" si="2"/>
        <v>4.8880321781004073E-3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2031.1504729236599</v>
      </c>
      <c r="C26" s="39">
        <f>IF(ISERROR(B26*3.6/1000000/'E Balans VL '!Z12*100),0,B26*3.6/1000000/'E Balans VL '!Z12*100)</f>
        <v>4.2935303395355014E-2</v>
      </c>
      <c r="D26" s="237" t="s">
        <v>744</v>
      </c>
      <c r="F26" s="6"/>
    </row>
    <row r="27" spans="1:18">
      <c r="A27" s="231" t="s">
        <v>52</v>
      </c>
      <c r="B27" s="33">
        <f>IF(ISERROR(TER_horeca_ele_kWh/1000),0,TER_horeca_ele_kWh/1000)</f>
        <v>907.20618454961198</v>
      </c>
      <c r="C27" s="39">
        <f>IF(ISERROR(B27*3.6/1000000/'E Balans VL '!Z9*100),0,B27*3.6/1000000/'E Balans VL '!Z9*100)</f>
        <v>7.1514725395038614E-2</v>
      </c>
      <c r="D27" s="237" t="s">
        <v>744</v>
      </c>
      <c r="F27" s="6"/>
    </row>
    <row r="28" spans="1:18">
      <c r="A28" s="171" t="s">
        <v>51</v>
      </c>
      <c r="B28" s="33">
        <f>IF(ISERROR(TER_handel_ele_kWh/1000),0,TER_handel_ele_kWh/1000)</f>
        <v>4143.28719641526</v>
      </c>
      <c r="C28" s="39">
        <f>IF(ISERROR(B28*3.6/1000000/'E Balans VL '!Z13*100),0,B28*3.6/1000000/'E Balans VL '!Z13*100)</f>
        <v>0.1202549351961483</v>
      </c>
      <c r="D28" s="237" t="s">
        <v>744</v>
      </c>
      <c r="F28" s="6"/>
    </row>
    <row r="29" spans="1:18">
      <c r="A29" s="231" t="s">
        <v>50</v>
      </c>
      <c r="B29" s="33">
        <f>IF(ISERROR(TER_gezond_ele_kWh/1000),0,TER_gezond_ele_kWh/1000)</f>
        <v>139.77293213842398</v>
      </c>
      <c r="C29" s="39">
        <f>IF(ISERROR(B29*3.6/1000000/'E Balans VL '!Z10*100),0,B29*3.6/1000000/'E Balans VL '!Z10*100)</f>
        <v>1.4720384886304377E-2</v>
      </c>
      <c r="D29" s="237" t="s">
        <v>744</v>
      </c>
      <c r="F29" s="6"/>
    </row>
    <row r="30" spans="1:18">
      <c r="A30" s="231" t="s">
        <v>49</v>
      </c>
      <c r="B30" s="33">
        <f>IF(ISERROR(TER_ander_ele_kWh/1000),0,TER_ander_ele_kWh/1000)</f>
        <v>462.15911099685798</v>
      </c>
      <c r="C30" s="39">
        <f>IF(ISERROR(B30*3.6/1000000/'E Balans VL '!Z14*100),0,B30*3.6/1000000/'E Balans VL '!Z14*100)</f>
        <v>3.4088956407587821E-2</v>
      </c>
      <c r="D30" s="237" t="s">
        <v>744</v>
      </c>
      <c r="F30" s="6"/>
    </row>
    <row r="31" spans="1:18">
      <c r="A31" s="231" t="s">
        <v>54</v>
      </c>
      <c r="B31" s="33">
        <f>IF(ISERROR(TER_onderwijs_ele_kWh/1000),0,TER_onderwijs_ele_kWh/1000)</f>
        <v>541.39855601525801</v>
      </c>
      <c r="C31" s="39">
        <f>IF(ISERROR(B31*3.6/1000000/'E Balans VL '!Z11*100),0,B31*3.6/1000000/'E Balans VL '!Z11*100)</f>
        <v>0.13445462206049039</v>
      </c>
      <c r="D31" s="237" t="s">
        <v>744</v>
      </c>
    </row>
    <row r="32" spans="1:18">
      <c r="A32" s="231" t="s">
        <v>259</v>
      </c>
      <c r="B32" s="33">
        <f>IF(ISERROR(TER_rest_ele_kWh/1000),0,TER_rest_ele_kWh/1000)</f>
        <v>1559.4872851664099</v>
      </c>
      <c r="C32" s="39">
        <f>IF(ISERROR(B32*3.6/1000000/'E Balans VL '!Z8*100),0,B32*3.6/1000000/'E Balans VL '!Z8*100)</f>
        <v>1.2832510347970366E-2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2298.7173664293482</v>
      </c>
      <c r="C5" s="17">
        <f>IF(ISERROR('Eigen informatie GS &amp; warmtenet'!B59),0,'Eigen informatie GS &amp; warmtenet'!B59)</f>
        <v>0</v>
      </c>
      <c r="D5" s="30">
        <f>SUM(D6:D15)</f>
        <v>2325.0143340919803</v>
      </c>
      <c r="E5" s="17">
        <f>SUM(E6:E15)</f>
        <v>328.42608868034517</v>
      </c>
      <c r="F5" s="17">
        <f>SUM(F6:F15)</f>
        <v>985.17280064197178</v>
      </c>
      <c r="G5" s="18"/>
      <c r="H5" s="17"/>
      <c r="I5" s="17"/>
      <c r="J5" s="17">
        <f>SUM(J6:J15)</f>
        <v>1.1586711457069627</v>
      </c>
      <c r="K5" s="17"/>
      <c r="L5" s="17"/>
      <c r="M5" s="17"/>
      <c r="N5" s="17">
        <f>SUM(N6:N15)</f>
        <v>131.7756982595622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743.5914806170839</v>
      </c>
      <c r="C8" s="33"/>
      <c r="D8" s="37">
        <f>IF( ISERROR(IND_metaal_Gas_kWH/1000),0,IND_metaal_Gas_kWH/1000)*0.902</f>
        <v>636.33445362905218</v>
      </c>
      <c r="E8" s="33">
        <f>C30*'E Balans VL '!I18/100/3.6*1000000</f>
        <v>6.8366054967923136</v>
      </c>
      <c r="F8" s="33">
        <f>C30*'E Balans VL '!L18/100/3.6*1000000+C30*'E Balans VL '!N18/100/3.6*1000000</f>
        <v>69.724124215509462</v>
      </c>
      <c r="G8" s="34"/>
      <c r="H8" s="33"/>
      <c r="I8" s="33"/>
      <c r="J8" s="40">
        <f>C30*'E Balans VL '!D18/100/3.6*1000000+C30*'E Balans VL '!E18/100/3.6*1000000</f>
        <v>0</v>
      </c>
      <c r="K8" s="33"/>
      <c r="L8" s="33"/>
      <c r="M8" s="33"/>
      <c r="N8" s="33">
        <f>C30*'E Balans VL '!Y18/100/3.6*1000000</f>
        <v>10.608561307672023</v>
      </c>
      <c r="O8" s="33"/>
      <c r="P8" s="33"/>
      <c r="R8" s="32"/>
    </row>
    <row r="9" spans="1:18">
      <c r="A9" s="6" t="s">
        <v>32</v>
      </c>
      <c r="B9" s="37">
        <f t="shared" si="0"/>
        <v>1037.3805390402999</v>
      </c>
      <c r="C9" s="33"/>
      <c r="D9" s="37">
        <f>IF( ISERROR(IND_andere_gas_kWh/1000),0,IND_andere_gas_kWh/1000)*0.902</f>
        <v>728.77356046035163</v>
      </c>
      <c r="E9" s="33">
        <f>C31*'E Balans VL '!I19/100/3.6*1000000</f>
        <v>303.24652697853918</v>
      </c>
      <c r="F9" s="33">
        <f>C31*'E Balans VL '!L19/100/3.6*1000000+C31*'E Balans VL '!N19/100/3.6*1000000</f>
        <v>833.61378561057472</v>
      </c>
      <c r="G9" s="34"/>
      <c r="H9" s="33"/>
      <c r="I9" s="33"/>
      <c r="J9" s="40">
        <f>C31*'E Balans VL '!D19/100/3.6*1000000+C31*'E Balans VL '!E19/100/3.6*1000000</f>
        <v>0</v>
      </c>
      <c r="K9" s="33"/>
      <c r="L9" s="33"/>
      <c r="M9" s="33"/>
      <c r="N9" s="33">
        <f>C31*'E Balans VL '!Y19/100/3.6*1000000</f>
        <v>81.370720544366492</v>
      </c>
      <c r="O9" s="33"/>
      <c r="P9" s="33"/>
      <c r="R9" s="32"/>
    </row>
    <row r="10" spans="1:18">
      <c r="A10" s="6" t="s">
        <v>40</v>
      </c>
      <c r="B10" s="37">
        <f t="shared" si="0"/>
        <v>180.75147621096198</v>
      </c>
      <c r="C10" s="33"/>
      <c r="D10" s="37">
        <f>IF( ISERROR(IND_voed_gas_kWh/1000),0,IND_voed_gas_kWh/1000)*0.902</f>
        <v>0</v>
      </c>
      <c r="E10" s="33">
        <f>C32*'E Balans VL '!I20/100/3.6*1000000</f>
        <v>0.38238255050912218</v>
      </c>
      <c r="F10" s="33">
        <f>C32*'E Balans VL '!L20/100/3.6*1000000+C32*'E Balans VL '!N20/100/3.6*1000000</f>
        <v>11.492363489711655</v>
      </c>
      <c r="G10" s="34"/>
      <c r="H10" s="33"/>
      <c r="I10" s="33"/>
      <c r="J10" s="40">
        <f>C32*'E Balans VL '!D20/100/3.6*1000000+C32*'E Balans VL '!E20/100/3.6*1000000</f>
        <v>0</v>
      </c>
      <c r="K10" s="33"/>
      <c r="L10" s="33"/>
      <c r="M10" s="33"/>
      <c r="N10" s="33">
        <f>C32*'E Balans VL '!Y20/100/3.6*1000000</f>
        <v>12.473635557707571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24.661023843551401</v>
      </c>
      <c r="C12" s="33"/>
      <c r="D12" s="37">
        <f>IF( ISERROR(IND_min_gas_kWh/1000),0,IND_min_gas_kWh/1000)*0.902</f>
        <v>0</v>
      </c>
      <c r="E12" s="33">
        <f>C34*'E Balans VL '!I22/100/3.6*1000000</f>
        <v>0.71482153541124005</v>
      </c>
      <c r="F12" s="33">
        <f>C34*'E Balans VL '!L22/100/3.6*1000000+C34*'E Balans VL '!N22/100/3.6*1000000</f>
        <v>8.4787386731932788</v>
      </c>
      <c r="G12" s="34"/>
      <c r="H12" s="33"/>
      <c r="I12" s="33"/>
      <c r="J12" s="40">
        <f>C34*'E Balans VL '!D22/100/3.6*1000000+C34*'E Balans VL '!E22/100/3.6*1000000</f>
        <v>4.0525493663639792E-2</v>
      </c>
      <c r="K12" s="33"/>
      <c r="L12" s="33"/>
      <c r="M12" s="33"/>
      <c r="N12" s="33">
        <f>C34*'E Balans VL '!Y22/100/3.6*1000000</f>
        <v>5.3987033811415994</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312.33284671745099</v>
      </c>
      <c r="C15" s="33"/>
      <c r="D15" s="37">
        <f>IF( ISERROR(IND_rest_gas_kWh/1000),0,IND_rest_gas_kWh/1000)*0.902</f>
        <v>959.90632000257642</v>
      </c>
      <c r="E15" s="33">
        <f>C37*'E Balans VL '!I15/100/3.6*1000000</f>
        <v>17.245752119093314</v>
      </c>
      <c r="F15" s="33">
        <f>C37*'E Balans VL '!L15/100/3.6*1000000+C37*'E Balans VL '!N15/100/3.6*1000000</f>
        <v>61.863788652982471</v>
      </c>
      <c r="G15" s="34"/>
      <c r="H15" s="33"/>
      <c r="I15" s="33"/>
      <c r="J15" s="40">
        <f>C37*'E Balans VL '!D15/100/3.6*1000000+C37*'E Balans VL '!E15/100/3.6*1000000</f>
        <v>1.1181456520433228</v>
      </c>
      <c r="K15" s="33"/>
      <c r="L15" s="33"/>
      <c r="M15" s="33"/>
      <c r="N15" s="33">
        <f>C37*'E Balans VL '!Y15/100/3.6*1000000</f>
        <v>21.924077468674515</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2298.7173664293482</v>
      </c>
      <c r="C18" s="21">
        <f>C5+C16</f>
        <v>0</v>
      </c>
      <c r="D18" s="21">
        <f>MAX((D5+D16),0)</f>
        <v>2325.0143340919803</v>
      </c>
      <c r="E18" s="21">
        <f>MAX((E5+E16),0)</f>
        <v>328.42608868034517</v>
      </c>
      <c r="F18" s="21">
        <f>MAX((F5+F16),0)</f>
        <v>985.17280064197178</v>
      </c>
      <c r="G18" s="21"/>
      <c r="H18" s="21"/>
      <c r="I18" s="21"/>
      <c r="J18" s="21">
        <f>MAX((J5+J16),0)</f>
        <v>1.1586711457069627</v>
      </c>
      <c r="K18" s="21"/>
      <c r="L18" s="21">
        <f>MAX((L5+L16),0)</f>
        <v>0</v>
      </c>
      <c r="M18" s="21"/>
      <c r="N18" s="21">
        <f>MAX((N5+N16),0)</f>
        <v>131.7756982595622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0.20732937168134852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476.59162725480093</v>
      </c>
      <c r="C22" s="23">
        <f ca="1">C18*C20</f>
        <v>0</v>
      </c>
      <c r="D22" s="23">
        <f>D18*D20</f>
        <v>469.65289548658006</v>
      </c>
      <c r="E22" s="23">
        <f>E18*E20</f>
        <v>74.552722130438354</v>
      </c>
      <c r="F22" s="23">
        <f>F18*F20</f>
        <v>263.04113777140645</v>
      </c>
      <c r="G22" s="23"/>
      <c r="H22" s="23"/>
      <c r="I22" s="23"/>
      <c r="J22" s="23">
        <f>J18*J20</f>
        <v>0.41016958558026478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743.5914806170839</v>
      </c>
      <c r="C30" s="39">
        <f>IF(ISERROR(B30*3.6/1000000/'E Balans VL '!Z18*100),0,B30*3.6/1000000/'E Balans VL '!Z18*100)</f>
        <v>4.2141235899833415E-2</v>
      </c>
      <c r="D30" s="237" t="s">
        <v>744</v>
      </c>
    </row>
    <row r="31" spans="1:18">
      <c r="A31" s="6" t="s">
        <v>32</v>
      </c>
      <c r="B31" s="37">
        <f>IF( ISERROR(IND_ander_ele_kWh/1000),0,IND_ander_ele_kWh/1000)</f>
        <v>1037.3805390402999</v>
      </c>
      <c r="C31" s="39">
        <f>IF(ISERROR(B31*3.6/1000000/'E Balans VL '!Z19*100),0,B31*3.6/1000000/'E Balans VL '!Z19*100)</f>
        <v>4.7051261673484369E-2</v>
      </c>
      <c r="D31" s="237" t="s">
        <v>744</v>
      </c>
    </row>
    <row r="32" spans="1:18">
      <c r="A32" s="171" t="s">
        <v>40</v>
      </c>
      <c r="B32" s="37">
        <f>IF( ISERROR(IND_voed_ele_kWh/1000),0,IND_voed_ele_kWh/1000)</f>
        <v>180.75147621096198</v>
      </c>
      <c r="C32" s="39">
        <f>IF(ISERROR(B32*3.6/1000000/'E Balans VL '!Z20*100),0,B32*3.6/1000000/'E Balans VL '!Z20*100)</f>
        <v>5.5914637016241482E-3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24.661023843551401</v>
      </c>
      <c r="C34" s="39">
        <f>IF(ISERROR(B34*3.6/1000000/'E Balans VL '!Z22*100),0,B34*3.6/1000000/'E Balans VL '!Z22*100)</f>
        <v>4.4357487743722675E-3</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312.33284671745099</v>
      </c>
      <c r="C37" s="39">
        <f>IF(ISERROR(B37*3.6/1000000/'E Balans VL '!Z15*100),0,B37*3.6/1000000/'E Balans VL '!Z15*100)</f>
        <v>2.4756213914519883E-3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1865.298378241986</v>
      </c>
      <c r="C5" s="17">
        <f>'Eigen informatie GS &amp; warmtenet'!B60</f>
        <v>0</v>
      </c>
      <c r="D5" s="30">
        <f>IF(ISERROR(SUM(LB_lb_gas_kWh,LB_rest_gas_kWh)/1000),0,SUM(LB_lb_gas_kWh,LB_rest_gas_kWh)/1000)*0.902</f>
        <v>11569.891862158469</v>
      </c>
      <c r="E5" s="17">
        <f>B17*'E Balans VL '!I25/3.6*1000000/100</f>
        <v>54.826816615367591</v>
      </c>
      <c r="F5" s="17">
        <f>B17*('E Balans VL '!L25/3.6*1000000+'E Balans VL '!N25/3.6*1000000)/100</f>
        <v>7770.7322483222706</v>
      </c>
      <c r="G5" s="18"/>
      <c r="H5" s="17"/>
      <c r="I5" s="17"/>
      <c r="J5" s="17">
        <f>('E Balans VL '!D25+'E Balans VL '!E25)/3.6*1000000*landbouw!B17/100</f>
        <v>270.24167726605458</v>
      </c>
      <c r="K5" s="17"/>
      <c r="L5" s="17">
        <f>L6*(-1)</f>
        <v>0</v>
      </c>
      <c r="M5" s="17"/>
      <c r="N5" s="17">
        <f>N6*(-1)</f>
        <v>0</v>
      </c>
      <c r="O5" s="17"/>
      <c r="P5" s="17"/>
      <c r="R5" s="32"/>
    </row>
    <row r="6" spans="1:18">
      <c r="A6" s="16" t="s">
        <v>487</v>
      </c>
      <c r="B6" s="17" t="s">
        <v>210</v>
      </c>
      <c r="C6" s="17">
        <f>'lokale energieproductie'!O39+'lokale energieproductie'!O32</f>
        <v>5637.8571428571431</v>
      </c>
      <c r="D6" s="308">
        <f>('lokale energieproductie'!P32+'lokale energieproductie'!P39)*(-1)</f>
        <v>-11275.714285714286</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1865.298378241986</v>
      </c>
      <c r="C8" s="21">
        <f>C5+C6</f>
        <v>5637.8571428571431</v>
      </c>
      <c r="D8" s="21">
        <f>MAX((D5+D6),0)</f>
        <v>294.17757644418271</v>
      </c>
      <c r="E8" s="21">
        <f>MAX((E5+E6),0)</f>
        <v>54.826816615367591</v>
      </c>
      <c r="F8" s="21">
        <f>MAX((F5+F6),0)</f>
        <v>7770.7322483222706</v>
      </c>
      <c r="G8" s="21"/>
      <c r="H8" s="21"/>
      <c r="I8" s="21"/>
      <c r="J8" s="21">
        <f>MAX((J5+J6),0)</f>
        <v>270.24167726605458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0.20732937168134852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386.73114075914935</v>
      </c>
      <c r="C12" s="23">
        <f ca="1">C8*C10</f>
        <v>1339.8201680672271</v>
      </c>
      <c r="D12" s="23">
        <f>D8*D10</f>
        <v>59.423870441724908</v>
      </c>
      <c r="E12" s="23">
        <f>E8*E10</f>
        <v>12.445687371688443</v>
      </c>
      <c r="F12" s="23">
        <f>F8*F10</f>
        <v>2074.7855103020465</v>
      </c>
      <c r="G12" s="23"/>
      <c r="H12" s="23"/>
      <c r="I12" s="23"/>
      <c r="J12" s="23">
        <f>J8*J10</f>
        <v>95.665553752183314</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0.2646916920677258</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158.42615532316771</v>
      </c>
      <c r="C26" s="247">
        <f>B26*'GWP N2O_CH4'!B5</f>
        <v>3326.9492617865217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29.809297002874519</v>
      </c>
      <c r="C27" s="247">
        <f>B27*'GWP N2O_CH4'!B5</f>
        <v>625.99523706036496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1.8867081649140287</v>
      </c>
      <c r="C28" s="247">
        <f>B28*'GWP N2O_CH4'!B4</f>
        <v>584.8795311233489</v>
      </c>
      <c r="D28" s="50"/>
    </row>
    <row r="29" spans="1:4">
      <c r="A29" s="41" t="s">
        <v>276</v>
      </c>
      <c r="B29" s="247">
        <f>B34*'ha_N2O bodem landbouw'!B4</f>
        <v>12.260099131914876</v>
      </c>
      <c r="C29" s="247">
        <f>B29*'GWP N2O_CH4'!B4</f>
        <v>3800.6307308936116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2.7977123717217787E-3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1.7231449951218283E-4</v>
      </c>
      <c r="C5" s="437" t="s">
        <v>210</v>
      </c>
      <c r="D5" s="422">
        <f>SUM(D6:D11)</f>
        <v>4.848320140904438E-4</v>
      </c>
      <c r="E5" s="422">
        <f>SUM(E6:E11)</f>
        <v>9.2091541077017212E-4</v>
      </c>
      <c r="F5" s="435" t="s">
        <v>210</v>
      </c>
      <c r="G5" s="422">
        <f>SUM(G6:G11)</f>
        <v>0.50183091000718683</v>
      </c>
      <c r="H5" s="422">
        <f>SUM(H6:H11)</f>
        <v>8.3620894102114235E-2</v>
      </c>
      <c r="I5" s="437" t="s">
        <v>210</v>
      </c>
      <c r="J5" s="437" t="s">
        <v>210</v>
      </c>
      <c r="K5" s="437" t="s">
        <v>210</v>
      </c>
      <c r="L5" s="437" t="s">
        <v>210</v>
      </c>
      <c r="M5" s="422">
        <f>SUM(M6:M11)</f>
        <v>3.1781472696963096E-2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4.2376046418512902E-5</v>
      </c>
      <c r="C6" s="423"/>
      <c r="D6" s="865">
        <f>vkm_GW_PW*SUMIFS(TableVerdeelsleutelVkm[CNG],TableVerdeelsleutelVkm[Voertuigtype],"Lichte voertuigen")*SUMIFS(TableECFTransport[EnergieConsumptieFactor (PJ per km)],TableECFTransport[Index],CONCATENATE($A6,"_CNG_CNG"))</f>
        <v>1.0501818991964969E-4</v>
      </c>
      <c r="E6" s="865">
        <f>vkm_GW_PW*SUMIFS(TableVerdeelsleutelVkm[LPG],TableVerdeelsleutelVkm[Voertuigtype],"Lichte voertuigen")*SUMIFS(TableECFTransport[EnergieConsumptieFactor (PJ per km)],TableECFTransport[Index],CONCATENATE($A6,"_LPG_LPG"))</f>
        <v>1.8029000759909052E-4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5.5243476492300478E-2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1.7843029172459352E-2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3.7529388439996236E-3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4.2012907372138371E-2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7.0279951987031102E-7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2.4546274731213056E-3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3.3860156470442002E-5</v>
      </c>
      <c r="C8" s="423"/>
      <c r="D8" s="425">
        <f>vkm_NGW_PW*SUMIFS(TableVerdeelsleutelVkm[CNG],TableVerdeelsleutelVkm[Voertuigtype],"Lichte voertuigen")*SUMIFS(TableECFTransport[EnergieConsumptieFactor (PJ per km)],TableECFTransport[Index],CONCATENATE($A8,"_CNG_CNG"))</f>
        <v>1.4183241881838678E-4</v>
      </c>
      <c r="E8" s="425">
        <f>vkm_NGW_PW*SUMIFS(TableVerdeelsleutelVkm[LPG],TableVerdeelsleutelVkm[Voertuigtype],"Lichte voertuigen")*SUMIFS(TableECFTransport[EnergieConsumptieFactor (PJ per km)],TableECFTransport[Index],CONCATENATE($A8,"_LPG_LPG"))</f>
        <v>2.3123278418506641E-4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6.6646776477473468E-2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2.3567897444954879E-2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4.5877291842933866E-3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2.5290221662623538E-2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5.2115412639553846E-7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1.4775981505489415E-3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9.6078296623227903E-5</v>
      </c>
      <c r="C10" s="423"/>
      <c r="D10" s="425">
        <f>vkm_SW_PW*SUMIFS(TableVerdeelsleutelVkm[CNG],TableVerdeelsleutelVkm[Voertuigtype],"Lichte voertuigen")*SUMIFS(TableECFTransport[EnergieConsumptieFactor (PJ per km)],TableECFTransport[Index],CONCATENATE($A10,"_CNG_CNG"))</f>
        <v>2.3798140535240733E-4</v>
      </c>
      <c r="E10" s="425">
        <f>vkm_SW_PW*SUMIFS(TableVerdeelsleutelVkm[LPG],TableVerdeelsleutelVkm[Voertuigtype],"Lichte voertuigen")*SUMIFS(TableECFTransport[EnergieConsumptieFactor (PJ per km)],TableECFTransport[Index],CONCATENATE($A10,"_LPG_LPG"))</f>
        <v>5.0939261898601523E-4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0.13963910297452659</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4.2205660730475804E-2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9.4010443124341713E-3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0.17299842502812435</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3.082800577927636E-6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1.0107534732565671E-2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47.865138753384123</v>
      </c>
      <c r="C14" s="21"/>
      <c r="D14" s="21">
        <f t="shared" ref="D14:M14" si="0">((D5)*10^9/3600)+D12</f>
        <v>134.67555946956773</v>
      </c>
      <c r="E14" s="21">
        <f t="shared" si="0"/>
        <v>255.80983632504783</v>
      </c>
      <c r="F14" s="21"/>
      <c r="G14" s="21">
        <f t="shared" si="0"/>
        <v>139397.47500199635</v>
      </c>
      <c r="H14" s="21">
        <f t="shared" si="0"/>
        <v>23228.026139476176</v>
      </c>
      <c r="I14" s="21"/>
      <c r="J14" s="21"/>
      <c r="K14" s="21"/>
      <c r="L14" s="21"/>
      <c r="M14" s="21">
        <f t="shared" si="0"/>
        <v>8828.1868602675277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0.20732937168134852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9.9238491431796962</v>
      </c>
      <c r="C18" s="23"/>
      <c r="D18" s="23">
        <f t="shared" ref="D18:M18" si="1">D14*D16</f>
        <v>27.204463012852685</v>
      </c>
      <c r="E18" s="23">
        <f t="shared" si="1"/>
        <v>58.068832845785856</v>
      </c>
      <c r="F18" s="23"/>
      <c r="G18" s="23">
        <f t="shared" si="1"/>
        <v>37219.125825533032</v>
      </c>
      <c r="H18" s="23">
        <f t="shared" si="1"/>
        <v>5783.7785087295679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2.1521023511993113E-3</v>
      </c>
      <c r="H50" s="319">
        <f t="shared" si="2"/>
        <v>0</v>
      </c>
      <c r="I50" s="319">
        <f t="shared" si="2"/>
        <v>0</v>
      </c>
      <c r="J50" s="319">
        <f t="shared" si="2"/>
        <v>0</v>
      </c>
      <c r="K50" s="319">
        <f t="shared" si="2"/>
        <v>0</v>
      </c>
      <c r="L50" s="319">
        <f t="shared" si="2"/>
        <v>0</v>
      </c>
      <c r="M50" s="319">
        <f t="shared" si="2"/>
        <v>1.222206797847425E-4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2.1521023511993113E-3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1.222206797847425E-4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597.8062086664753</v>
      </c>
      <c r="H54" s="21">
        <f t="shared" si="3"/>
        <v>0</v>
      </c>
      <c r="I54" s="21">
        <f t="shared" si="3"/>
        <v>0</v>
      </c>
      <c r="J54" s="21">
        <f t="shared" si="3"/>
        <v>0</v>
      </c>
      <c r="K54" s="21">
        <f t="shared" si="3"/>
        <v>0</v>
      </c>
      <c r="L54" s="21">
        <f t="shared" si="3"/>
        <v>0</v>
      </c>
      <c r="M54" s="21">
        <f t="shared" si="3"/>
        <v>33.95018882909514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0.20732937168134852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159.61425771394892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10766.866738205483</v>
      </c>
      <c r="D10" s="979">
        <f ca="1">tertiair!C16</f>
        <v>0</v>
      </c>
      <c r="E10" s="979">
        <f ca="1">tertiair!D16</f>
        <v>10969.538405701074</v>
      </c>
      <c r="F10" s="979">
        <f>tertiair!E16</f>
        <v>191.37443383226898</v>
      </c>
      <c r="G10" s="979">
        <f ca="1">tertiair!F16</f>
        <v>1724.367058445479</v>
      </c>
      <c r="H10" s="979">
        <f>tertiair!G16</f>
        <v>0</v>
      </c>
      <c r="I10" s="979">
        <f>tertiair!H16</f>
        <v>0</v>
      </c>
      <c r="J10" s="979">
        <f>tertiair!I16</f>
        <v>0</v>
      </c>
      <c r="K10" s="979">
        <f>tertiair!J16</f>
        <v>1.3808000503108497E-2</v>
      </c>
      <c r="L10" s="979">
        <f>tertiair!K16</f>
        <v>0</v>
      </c>
      <c r="M10" s="979">
        <f ca="1">tertiair!L16</f>
        <v>0</v>
      </c>
      <c r="N10" s="979">
        <f>tertiair!M16</f>
        <v>0</v>
      </c>
      <c r="O10" s="979">
        <f ca="1">tertiair!N16</f>
        <v>555.08864289431881</v>
      </c>
      <c r="P10" s="979">
        <f>tertiair!O16</f>
        <v>1.5633333333333335</v>
      </c>
      <c r="Q10" s="980">
        <f>tertiair!P16</f>
        <v>19.066666666666666</v>
      </c>
      <c r="R10" s="674">
        <f ca="1">SUM(C10:Q10)</f>
        <v>24227.879087079124</v>
      </c>
      <c r="S10" s="67"/>
    </row>
    <row r="11" spans="1:19" s="447" customFormat="1">
      <c r="A11" s="783" t="s">
        <v>224</v>
      </c>
      <c r="B11" s="788"/>
      <c r="C11" s="979">
        <f>huishoudens!B8</f>
        <v>25377.205982094943</v>
      </c>
      <c r="D11" s="979">
        <f>huishoudens!C8</f>
        <v>0</v>
      </c>
      <c r="E11" s="979">
        <f>huishoudens!D8</f>
        <v>40053.64090034047</v>
      </c>
      <c r="F11" s="979">
        <f>huishoudens!E8</f>
        <v>7035.533781574507</v>
      </c>
      <c r="G11" s="979">
        <f>huishoudens!F8</f>
        <v>11771.033644721781</v>
      </c>
      <c r="H11" s="979">
        <f>huishoudens!G8</f>
        <v>0</v>
      </c>
      <c r="I11" s="979">
        <f>huishoudens!H8</f>
        <v>0</v>
      </c>
      <c r="J11" s="979">
        <f>huishoudens!I8</f>
        <v>0</v>
      </c>
      <c r="K11" s="979">
        <f>huishoudens!J8</f>
        <v>2542.0006351785514</v>
      </c>
      <c r="L11" s="979">
        <f>huishoudens!K8</f>
        <v>0</v>
      </c>
      <c r="M11" s="979">
        <f>huishoudens!L8</f>
        <v>0</v>
      </c>
      <c r="N11" s="979">
        <f>huishoudens!M8</f>
        <v>0</v>
      </c>
      <c r="O11" s="979">
        <f>huishoudens!N8</f>
        <v>10926.092643289194</v>
      </c>
      <c r="P11" s="979">
        <f>huishoudens!O8</f>
        <v>328.3</v>
      </c>
      <c r="Q11" s="980">
        <f>huishoudens!P8</f>
        <v>800.8</v>
      </c>
      <c r="R11" s="674">
        <f>SUM(C11:Q11)</f>
        <v>98834.607587199454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2298.7173664293482</v>
      </c>
      <c r="D13" s="979">
        <f>industrie!C18</f>
        <v>0</v>
      </c>
      <c r="E13" s="979">
        <f>industrie!D18</f>
        <v>2325.0143340919803</v>
      </c>
      <c r="F13" s="979">
        <f>industrie!E18</f>
        <v>328.42608868034517</v>
      </c>
      <c r="G13" s="979">
        <f>industrie!F18</f>
        <v>985.17280064197178</v>
      </c>
      <c r="H13" s="979">
        <f>industrie!G18</f>
        <v>0</v>
      </c>
      <c r="I13" s="979">
        <f>industrie!H18</f>
        <v>0</v>
      </c>
      <c r="J13" s="979">
        <f>industrie!I18</f>
        <v>0</v>
      </c>
      <c r="K13" s="979">
        <f>industrie!J18</f>
        <v>1.1586711457069627</v>
      </c>
      <c r="L13" s="979">
        <f>industrie!K18</f>
        <v>0</v>
      </c>
      <c r="M13" s="979">
        <f>industrie!L18</f>
        <v>0</v>
      </c>
      <c r="N13" s="979">
        <f>industrie!M18</f>
        <v>0</v>
      </c>
      <c r="O13" s="979">
        <f>industrie!N18</f>
        <v>131.7756982595622</v>
      </c>
      <c r="P13" s="979">
        <f>industrie!O18</f>
        <v>0</v>
      </c>
      <c r="Q13" s="980">
        <f>industrie!P18</f>
        <v>0</v>
      </c>
      <c r="R13" s="674">
        <f>SUM(C13:Q13)</f>
        <v>6070.2649592489133</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38442.790086729779</v>
      </c>
      <c r="D16" s="706">
        <f t="shared" ref="D16:R16" ca="1" si="0">SUM(D9:D15)</f>
        <v>0</v>
      </c>
      <c r="E16" s="706">
        <f t="shared" ca="1" si="0"/>
        <v>53348.193640133526</v>
      </c>
      <c r="F16" s="706">
        <f t="shared" si="0"/>
        <v>7555.3343040871205</v>
      </c>
      <c r="G16" s="706">
        <f t="shared" ca="1" si="0"/>
        <v>14480.573503809233</v>
      </c>
      <c r="H16" s="706">
        <f t="shared" si="0"/>
        <v>0</v>
      </c>
      <c r="I16" s="706">
        <f t="shared" si="0"/>
        <v>0</v>
      </c>
      <c r="J16" s="706">
        <f t="shared" si="0"/>
        <v>0</v>
      </c>
      <c r="K16" s="706">
        <f t="shared" si="0"/>
        <v>2543.1731143247616</v>
      </c>
      <c r="L16" s="706">
        <f t="shared" si="0"/>
        <v>0</v>
      </c>
      <c r="M16" s="706">
        <f t="shared" ca="1" si="0"/>
        <v>0</v>
      </c>
      <c r="N16" s="706">
        <f t="shared" si="0"/>
        <v>0</v>
      </c>
      <c r="O16" s="706">
        <f t="shared" ca="1" si="0"/>
        <v>11612.956984443075</v>
      </c>
      <c r="P16" s="706">
        <f t="shared" si="0"/>
        <v>329.86333333333334</v>
      </c>
      <c r="Q16" s="706">
        <f t="shared" si="0"/>
        <v>819.86666666666667</v>
      </c>
      <c r="R16" s="706">
        <f t="shared" ca="1" si="0"/>
        <v>129132.7516335275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597.8062086664753</v>
      </c>
      <c r="I19" s="979">
        <f>transport!H54</f>
        <v>0</v>
      </c>
      <c r="J19" s="979">
        <f>transport!I54</f>
        <v>0</v>
      </c>
      <c r="K19" s="979">
        <f>transport!J54</f>
        <v>0</v>
      </c>
      <c r="L19" s="979">
        <f>transport!K54</f>
        <v>0</v>
      </c>
      <c r="M19" s="979">
        <f>transport!L54</f>
        <v>0</v>
      </c>
      <c r="N19" s="979">
        <f>transport!M54</f>
        <v>33.95018882909514</v>
      </c>
      <c r="O19" s="979">
        <f>transport!N54</f>
        <v>0</v>
      </c>
      <c r="P19" s="979">
        <f>transport!O54</f>
        <v>0</v>
      </c>
      <c r="Q19" s="980">
        <f>transport!P54</f>
        <v>0</v>
      </c>
      <c r="R19" s="674">
        <f>SUM(C19:Q19)</f>
        <v>631.75639749557047</v>
      </c>
      <c r="S19" s="67"/>
    </row>
    <row r="20" spans="1:19" s="447" customFormat="1">
      <c r="A20" s="783" t="s">
        <v>306</v>
      </c>
      <c r="B20" s="788"/>
      <c r="C20" s="979">
        <f>transport!B14</f>
        <v>47.865138753384123</v>
      </c>
      <c r="D20" s="979">
        <f>transport!C14</f>
        <v>0</v>
      </c>
      <c r="E20" s="979">
        <f>transport!D14</f>
        <v>134.67555946956773</v>
      </c>
      <c r="F20" s="979">
        <f>transport!E14</f>
        <v>255.80983632504783</v>
      </c>
      <c r="G20" s="979">
        <f>transport!F14</f>
        <v>0</v>
      </c>
      <c r="H20" s="979">
        <f>transport!G14</f>
        <v>139397.47500199635</v>
      </c>
      <c r="I20" s="979">
        <f>transport!H14</f>
        <v>23228.026139476176</v>
      </c>
      <c r="J20" s="979">
        <f>transport!I14</f>
        <v>0</v>
      </c>
      <c r="K20" s="979">
        <f>transport!J14</f>
        <v>0</v>
      </c>
      <c r="L20" s="979">
        <f>transport!K14</f>
        <v>0</v>
      </c>
      <c r="M20" s="979">
        <f>transport!L14</f>
        <v>0</v>
      </c>
      <c r="N20" s="979">
        <f>transport!M14</f>
        <v>8828.1868602675277</v>
      </c>
      <c r="O20" s="979">
        <f>transport!N14</f>
        <v>0</v>
      </c>
      <c r="P20" s="979">
        <f>transport!O14</f>
        <v>0</v>
      </c>
      <c r="Q20" s="980">
        <f>transport!P14</f>
        <v>0</v>
      </c>
      <c r="R20" s="674">
        <f>SUM(C20:Q20)</f>
        <v>171892.03853628808</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47.865138753384123</v>
      </c>
      <c r="D22" s="786">
        <f t="shared" ref="D22:R22" si="1">SUM(D18:D21)</f>
        <v>0</v>
      </c>
      <c r="E22" s="786">
        <f t="shared" si="1"/>
        <v>134.67555946956773</v>
      </c>
      <c r="F22" s="786">
        <f t="shared" si="1"/>
        <v>255.80983632504783</v>
      </c>
      <c r="G22" s="786">
        <f t="shared" si="1"/>
        <v>0</v>
      </c>
      <c r="H22" s="786">
        <f t="shared" si="1"/>
        <v>139995.28121066283</v>
      </c>
      <c r="I22" s="786">
        <f t="shared" si="1"/>
        <v>23228.026139476176</v>
      </c>
      <c r="J22" s="786">
        <f t="shared" si="1"/>
        <v>0</v>
      </c>
      <c r="K22" s="786">
        <f t="shared" si="1"/>
        <v>0</v>
      </c>
      <c r="L22" s="786">
        <f t="shared" si="1"/>
        <v>0</v>
      </c>
      <c r="M22" s="786">
        <f t="shared" si="1"/>
        <v>0</v>
      </c>
      <c r="N22" s="786">
        <f t="shared" si="1"/>
        <v>8862.1370490966219</v>
      </c>
      <c r="O22" s="786">
        <f t="shared" si="1"/>
        <v>0</v>
      </c>
      <c r="P22" s="786">
        <f t="shared" si="1"/>
        <v>0</v>
      </c>
      <c r="Q22" s="786">
        <f t="shared" si="1"/>
        <v>0</v>
      </c>
      <c r="R22" s="786">
        <f t="shared" si="1"/>
        <v>172523.79493378365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1865.298378241986</v>
      </c>
      <c r="D24" s="979">
        <f>+landbouw!C8</f>
        <v>5637.8571428571431</v>
      </c>
      <c r="E24" s="979">
        <f>+landbouw!D8</f>
        <v>294.17757644418271</v>
      </c>
      <c r="F24" s="979">
        <f>+landbouw!E8</f>
        <v>54.826816615367591</v>
      </c>
      <c r="G24" s="979">
        <f>+landbouw!F8</f>
        <v>7770.7322483222706</v>
      </c>
      <c r="H24" s="979">
        <f>+landbouw!G8</f>
        <v>0</v>
      </c>
      <c r="I24" s="979">
        <f>+landbouw!H8</f>
        <v>0</v>
      </c>
      <c r="J24" s="979">
        <f>+landbouw!I8</f>
        <v>0</v>
      </c>
      <c r="K24" s="979">
        <f>+landbouw!J8</f>
        <v>270.24167726605458</v>
      </c>
      <c r="L24" s="979">
        <f>+landbouw!K8</f>
        <v>0</v>
      </c>
      <c r="M24" s="979">
        <f>+landbouw!L8</f>
        <v>0</v>
      </c>
      <c r="N24" s="979">
        <f>+landbouw!M8</f>
        <v>0</v>
      </c>
      <c r="O24" s="979">
        <f>+landbouw!N8</f>
        <v>0</v>
      </c>
      <c r="P24" s="979">
        <f>+landbouw!O8</f>
        <v>0</v>
      </c>
      <c r="Q24" s="980">
        <f>+landbouw!P8</f>
        <v>0</v>
      </c>
      <c r="R24" s="674">
        <f>SUM(C24:Q24)</f>
        <v>15893.133839747004</v>
      </c>
      <c r="S24" s="67"/>
    </row>
    <row r="25" spans="1:19" s="447" customFormat="1" ht="15" thickBot="1">
      <c r="A25" s="805" t="s">
        <v>823</v>
      </c>
      <c r="B25" s="982"/>
      <c r="C25" s="983">
        <f>IF(Onbekend_ele_kWh="---",0,Onbekend_ele_kWh)/1000+IF(REST_rest_ele_kWh="---",0,REST_rest_ele_kWh)/1000</f>
        <v>693.84351491224606</v>
      </c>
      <c r="D25" s="983"/>
      <c r="E25" s="983">
        <f>IF(onbekend_gas_kWh="---",0,onbekend_gas_kWh)/1000+IF(REST_rest_gas_kWh="---",0,REST_rest_gas_kWh)/1000</f>
        <v>1107.09548775743</v>
      </c>
      <c r="F25" s="983"/>
      <c r="G25" s="983"/>
      <c r="H25" s="983"/>
      <c r="I25" s="983"/>
      <c r="J25" s="983"/>
      <c r="K25" s="983"/>
      <c r="L25" s="983"/>
      <c r="M25" s="983"/>
      <c r="N25" s="983"/>
      <c r="O25" s="983"/>
      <c r="P25" s="983"/>
      <c r="Q25" s="984"/>
      <c r="R25" s="674">
        <f>SUM(C25:Q25)</f>
        <v>1800.939002669676</v>
      </c>
      <c r="S25" s="67"/>
    </row>
    <row r="26" spans="1:19" s="447" customFormat="1" ht="15.75" thickBot="1">
      <c r="A26" s="679" t="s">
        <v>824</v>
      </c>
      <c r="B26" s="791"/>
      <c r="C26" s="786">
        <f>SUM(C24:C25)</f>
        <v>2559.1418931542321</v>
      </c>
      <c r="D26" s="786">
        <f t="shared" ref="D26:R26" si="2">SUM(D24:D25)</f>
        <v>5637.8571428571431</v>
      </c>
      <c r="E26" s="786">
        <f t="shared" si="2"/>
        <v>1401.2730642016127</v>
      </c>
      <c r="F26" s="786">
        <f t="shared" si="2"/>
        <v>54.826816615367591</v>
      </c>
      <c r="G26" s="786">
        <f t="shared" si="2"/>
        <v>7770.7322483222706</v>
      </c>
      <c r="H26" s="786">
        <f t="shared" si="2"/>
        <v>0</v>
      </c>
      <c r="I26" s="786">
        <f t="shared" si="2"/>
        <v>0</v>
      </c>
      <c r="J26" s="786">
        <f t="shared" si="2"/>
        <v>0</v>
      </c>
      <c r="K26" s="786">
        <f t="shared" si="2"/>
        <v>270.24167726605458</v>
      </c>
      <c r="L26" s="786">
        <f t="shared" si="2"/>
        <v>0</v>
      </c>
      <c r="M26" s="786">
        <f t="shared" si="2"/>
        <v>0</v>
      </c>
      <c r="N26" s="786">
        <f t="shared" si="2"/>
        <v>0</v>
      </c>
      <c r="O26" s="786">
        <f t="shared" si="2"/>
        <v>0</v>
      </c>
      <c r="P26" s="786">
        <f t="shared" si="2"/>
        <v>0</v>
      </c>
      <c r="Q26" s="786">
        <f t="shared" si="2"/>
        <v>0</v>
      </c>
      <c r="R26" s="786">
        <f t="shared" si="2"/>
        <v>17694.072842416681</v>
      </c>
      <c r="S26" s="67"/>
    </row>
    <row r="27" spans="1:19" s="447" customFormat="1" ht="17.25" thickTop="1" thickBot="1">
      <c r="A27" s="680" t="s">
        <v>115</v>
      </c>
      <c r="B27" s="779"/>
      <c r="C27" s="681">
        <f ca="1">C22+C16+C26</f>
        <v>41049.797118637391</v>
      </c>
      <c r="D27" s="681">
        <f t="shared" ref="D27:R27" ca="1" si="3">D22+D16+D26</f>
        <v>5637.8571428571431</v>
      </c>
      <c r="E27" s="681">
        <f t="shared" ca="1" si="3"/>
        <v>54884.142263804701</v>
      </c>
      <c r="F27" s="681">
        <f t="shared" si="3"/>
        <v>7865.9709570275354</v>
      </c>
      <c r="G27" s="681">
        <f t="shared" ca="1" si="3"/>
        <v>22251.305752131506</v>
      </c>
      <c r="H27" s="681">
        <f t="shared" si="3"/>
        <v>139995.28121066283</v>
      </c>
      <c r="I27" s="681">
        <f t="shared" si="3"/>
        <v>23228.026139476176</v>
      </c>
      <c r="J27" s="681">
        <f t="shared" si="3"/>
        <v>0</v>
      </c>
      <c r="K27" s="681">
        <f t="shared" si="3"/>
        <v>2813.4147915908161</v>
      </c>
      <c r="L27" s="681">
        <f t="shared" si="3"/>
        <v>0</v>
      </c>
      <c r="M27" s="681">
        <f t="shared" ca="1" si="3"/>
        <v>0</v>
      </c>
      <c r="N27" s="681">
        <f t="shared" si="3"/>
        <v>8862.1370490966219</v>
      </c>
      <c r="O27" s="681">
        <f t="shared" ca="1" si="3"/>
        <v>11612.956984443075</v>
      </c>
      <c r="P27" s="681">
        <f t="shared" si="3"/>
        <v>329.86333333333334</v>
      </c>
      <c r="Q27" s="681">
        <f t="shared" si="3"/>
        <v>819.86666666666667</v>
      </c>
      <c r="R27" s="681">
        <f t="shared" ca="1" si="3"/>
        <v>319350.61940972786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2232.2877158089532</v>
      </c>
      <c r="D40" s="979">
        <f ca="1">tertiair!C20</f>
        <v>0</v>
      </c>
      <c r="E40" s="979">
        <f ca="1">tertiair!D20</f>
        <v>2215.8467579516173</v>
      </c>
      <c r="F40" s="979">
        <f>tertiair!E20</f>
        <v>43.441996479925059</v>
      </c>
      <c r="G40" s="979">
        <f ca="1">tertiair!F20</f>
        <v>460.40600460494289</v>
      </c>
      <c r="H40" s="979">
        <f>tertiair!G20</f>
        <v>0</v>
      </c>
      <c r="I40" s="979">
        <f>tertiair!H20</f>
        <v>0</v>
      </c>
      <c r="J40" s="979">
        <f>tertiair!I20</f>
        <v>0</v>
      </c>
      <c r="K40" s="979">
        <f>tertiair!J20</f>
        <v>4.8880321781004073E-3</v>
      </c>
      <c r="L40" s="979">
        <f>tertiair!K20</f>
        <v>0</v>
      </c>
      <c r="M40" s="979">
        <f ca="1">tertiair!L20</f>
        <v>0</v>
      </c>
      <c r="N40" s="979">
        <f>tertiair!M20</f>
        <v>0</v>
      </c>
      <c r="O40" s="979">
        <f ca="1">tertiair!N20</f>
        <v>0</v>
      </c>
      <c r="P40" s="979">
        <f>tertiair!O20</f>
        <v>0</v>
      </c>
      <c r="Q40" s="748">
        <f>tertiair!P20</f>
        <v>0</v>
      </c>
      <c r="R40" s="824">
        <f t="shared" ca="1" si="4"/>
        <v>4951.9873628776168</v>
      </c>
    </row>
    <row r="41" spans="1:18">
      <c r="A41" s="796" t="s">
        <v>224</v>
      </c>
      <c r="B41" s="803"/>
      <c r="C41" s="979">
        <f ca="1">huishoudens!B12</f>
        <v>5261.4401712959034</v>
      </c>
      <c r="D41" s="979">
        <f ca="1">huishoudens!C12</f>
        <v>0</v>
      </c>
      <c r="E41" s="979">
        <f>huishoudens!D12</f>
        <v>8090.8354618687754</v>
      </c>
      <c r="F41" s="979">
        <f>huishoudens!E12</f>
        <v>1597.0661684174131</v>
      </c>
      <c r="G41" s="979">
        <f>huishoudens!F12</f>
        <v>3142.8659831407158</v>
      </c>
      <c r="H41" s="979">
        <f>huishoudens!G12</f>
        <v>0</v>
      </c>
      <c r="I41" s="979">
        <f>huishoudens!H12</f>
        <v>0</v>
      </c>
      <c r="J41" s="979">
        <f>huishoudens!I12</f>
        <v>0</v>
      </c>
      <c r="K41" s="979">
        <f>huishoudens!J12</f>
        <v>899.86822485320715</v>
      </c>
      <c r="L41" s="979">
        <f>huishoudens!K12</f>
        <v>0</v>
      </c>
      <c r="M41" s="979">
        <f>huishoudens!L12</f>
        <v>0</v>
      </c>
      <c r="N41" s="979">
        <f>huishoudens!M12</f>
        <v>0</v>
      </c>
      <c r="O41" s="979">
        <f>huishoudens!N12</f>
        <v>0</v>
      </c>
      <c r="P41" s="979">
        <f>huishoudens!O12</f>
        <v>0</v>
      </c>
      <c r="Q41" s="748">
        <f>huishoudens!P12</f>
        <v>0</v>
      </c>
      <c r="R41" s="824">
        <f t="shared" ca="1" si="4"/>
        <v>18992.076009576012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476.59162725480093</v>
      </c>
      <c r="D43" s="979">
        <f ca="1">industrie!C22</f>
        <v>0</v>
      </c>
      <c r="E43" s="979">
        <f>industrie!D22</f>
        <v>469.65289548658006</v>
      </c>
      <c r="F43" s="979">
        <f>industrie!E22</f>
        <v>74.552722130438354</v>
      </c>
      <c r="G43" s="979">
        <f>industrie!F22</f>
        <v>263.04113777140645</v>
      </c>
      <c r="H43" s="979">
        <f>industrie!G22</f>
        <v>0</v>
      </c>
      <c r="I43" s="979">
        <f>industrie!H22</f>
        <v>0</v>
      </c>
      <c r="J43" s="979">
        <f>industrie!I22</f>
        <v>0</v>
      </c>
      <c r="K43" s="979">
        <f>industrie!J22</f>
        <v>0.41016958558026478</v>
      </c>
      <c r="L43" s="979">
        <f>industrie!K22</f>
        <v>0</v>
      </c>
      <c r="M43" s="979">
        <f>industrie!L22</f>
        <v>0</v>
      </c>
      <c r="N43" s="979">
        <f>industrie!M22</f>
        <v>0</v>
      </c>
      <c r="O43" s="979">
        <f>industrie!N22</f>
        <v>0</v>
      </c>
      <c r="P43" s="979">
        <f>industrie!O22</f>
        <v>0</v>
      </c>
      <c r="Q43" s="748">
        <f>industrie!P22</f>
        <v>0</v>
      </c>
      <c r="R43" s="823">
        <f t="shared" ca="1" si="4"/>
        <v>1284.2485522288059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7970.3195143596577</v>
      </c>
      <c r="D46" s="706">
        <f t="shared" ref="D46:Q46" ca="1" si="5">SUM(D39:D45)</f>
        <v>0</v>
      </c>
      <c r="E46" s="706">
        <f t="shared" ca="1" si="5"/>
        <v>10776.335115306973</v>
      </c>
      <c r="F46" s="706">
        <f t="shared" si="5"/>
        <v>1715.0608870277765</v>
      </c>
      <c r="G46" s="706">
        <f t="shared" ca="1" si="5"/>
        <v>3866.3131255170651</v>
      </c>
      <c r="H46" s="706">
        <f t="shared" si="5"/>
        <v>0</v>
      </c>
      <c r="I46" s="706">
        <f t="shared" si="5"/>
        <v>0</v>
      </c>
      <c r="J46" s="706">
        <f t="shared" si="5"/>
        <v>0</v>
      </c>
      <c r="K46" s="706">
        <f t="shared" si="5"/>
        <v>900.28328247096556</v>
      </c>
      <c r="L46" s="706">
        <f t="shared" si="5"/>
        <v>0</v>
      </c>
      <c r="M46" s="706">
        <f t="shared" ca="1" si="5"/>
        <v>0</v>
      </c>
      <c r="N46" s="706">
        <f t="shared" si="5"/>
        <v>0</v>
      </c>
      <c r="O46" s="706">
        <f t="shared" ca="1" si="5"/>
        <v>0</v>
      </c>
      <c r="P46" s="706">
        <f t="shared" si="5"/>
        <v>0</v>
      </c>
      <c r="Q46" s="706">
        <f t="shared" si="5"/>
        <v>0</v>
      </c>
      <c r="R46" s="706">
        <f ca="1">SUM(R39:R45)</f>
        <v>25228.311924682435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159.61425771394892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159.61425771394892</v>
      </c>
    </row>
    <row r="50" spans="1:18">
      <c r="A50" s="799" t="s">
        <v>306</v>
      </c>
      <c r="B50" s="809"/>
      <c r="C50" s="677">
        <f ca="1">transport!B18</f>
        <v>9.9238491431796962</v>
      </c>
      <c r="D50" s="677">
        <f>transport!C18</f>
        <v>0</v>
      </c>
      <c r="E50" s="677">
        <f>transport!D18</f>
        <v>27.204463012852685</v>
      </c>
      <c r="F50" s="677">
        <f>transport!E18</f>
        <v>58.068832845785856</v>
      </c>
      <c r="G50" s="677">
        <f>transport!F18</f>
        <v>0</v>
      </c>
      <c r="H50" s="677">
        <f>transport!G18</f>
        <v>37219.125825533032</v>
      </c>
      <c r="I50" s="677">
        <f>transport!H18</f>
        <v>5783.7785087295679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43098.10147926442</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9.9238491431796962</v>
      </c>
      <c r="D52" s="706">
        <f t="shared" ref="D52:Q52" ca="1" si="6">SUM(D48:D51)</f>
        <v>0</v>
      </c>
      <c r="E52" s="706">
        <f t="shared" si="6"/>
        <v>27.204463012852685</v>
      </c>
      <c r="F52" s="706">
        <f t="shared" si="6"/>
        <v>58.068832845785856</v>
      </c>
      <c r="G52" s="706">
        <f t="shared" si="6"/>
        <v>0</v>
      </c>
      <c r="H52" s="706">
        <f t="shared" si="6"/>
        <v>37378.740083246979</v>
      </c>
      <c r="I52" s="706">
        <f t="shared" si="6"/>
        <v>5783.7785087295679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43257.715736978367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386.73114075914935</v>
      </c>
      <c r="D54" s="677">
        <f ca="1">+landbouw!C12</f>
        <v>1339.8201680672271</v>
      </c>
      <c r="E54" s="677">
        <f>+landbouw!D12</f>
        <v>59.423870441724908</v>
      </c>
      <c r="F54" s="677">
        <f>+landbouw!E12</f>
        <v>12.445687371688443</v>
      </c>
      <c r="G54" s="677">
        <f>+landbouw!F12</f>
        <v>2074.7855103020465</v>
      </c>
      <c r="H54" s="677">
        <f>+landbouw!G12</f>
        <v>0</v>
      </c>
      <c r="I54" s="677">
        <f>+landbouw!H12</f>
        <v>0</v>
      </c>
      <c r="J54" s="677">
        <f>+landbouw!I12</f>
        <v>0</v>
      </c>
      <c r="K54" s="677">
        <f>+landbouw!J12</f>
        <v>95.665553752183314</v>
      </c>
      <c r="L54" s="677">
        <f>+landbouw!K12</f>
        <v>0</v>
      </c>
      <c r="M54" s="677">
        <f>+landbouw!L12</f>
        <v>0</v>
      </c>
      <c r="N54" s="677">
        <f>+landbouw!M12</f>
        <v>0</v>
      </c>
      <c r="O54" s="677">
        <f>+landbouw!N12</f>
        <v>0</v>
      </c>
      <c r="P54" s="677">
        <f>+landbouw!O12</f>
        <v>0</v>
      </c>
      <c r="Q54" s="678">
        <f>+landbouw!P12</f>
        <v>0</v>
      </c>
      <c r="R54" s="705">
        <f ca="1">SUM(C54:Q54)</f>
        <v>3968.8719306940197</v>
      </c>
    </row>
    <row r="55" spans="1:18" ht="15" thickBot="1">
      <c r="A55" s="799" t="s">
        <v>823</v>
      </c>
      <c r="B55" s="809"/>
      <c r="C55" s="677">
        <f ca="1">C25*'EF ele_warmte'!B12</f>
        <v>143.85413999193435</v>
      </c>
      <c r="D55" s="677"/>
      <c r="E55" s="677">
        <f>E25*EF_CO2_aardgas</f>
        <v>223.63328852700087</v>
      </c>
      <c r="F55" s="677"/>
      <c r="G55" s="677"/>
      <c r="H55" s="677"/>
      <c r="I55" s="677"/>
      <c r="J55" s="677"/>
      <c r="K55" s="677"/>
      <c r="L55" s="677"/>
      <c r="M55" s="677"/>
      <c r="N55" s="677"/>
      <c r="O55" s="677"/>
      <c r="P55" s="677"/>
      <c r="Q55" s="678"/>
      <c r="R55" s="705">
        <f ca="1">SUM(C55:Q55)</f>
        <v>367.48742851893519</v>
      </c>
    </row>
    <row r="56" spans="1:18" ht="15.75" thickBot="1">
      <c r="A56" s="797" t="s">
        <v>824</v>
      </c>
      <c r="B56" s="810"/>
      <c r="C56" s="706">
        <f ca="1">SUM(C54:C55)</f>
        <v>530.5852807510837</v>
      </c>
      <c r="D56" s="706">
        <f t="shared" ref="D56:Q56" ca="1" si="7">SUM(D54:D55)</f>
        <v>1339.8201680672271</v>
      </c>
      <c r="E56" s="706">
        <f t="shared" si="7"/>
        <v>283.05715896872579</v>
      </c>
      <c r="F56" s="706">
        <f t="shared" si="7"/>
        <v>12.445687371688443</v>
      </c>
      <c r="G56" s="706">
        <f t="shared" si="7"/>
        <v>2074.7855103020465</v>
      </c>
      <c r="H56" s="706">
        <f t="shared" si="7"/>
        <v>0</v>
      </c>
      <c r="I56" s="706">
        <f t="shared" si="7"/>
        <v>0</v>
      </c>
      <c r="J56" s="706">
        <f t="shared" si="7"/>
        <v>0</v>
      </c>
      <c r="K56" s="706">
        <f t="shared" si="7"/>
        <v>95.665553752183314</v>
      </c>
      <c r="L56" s="706">
        <f t="shared" si="7"/>
        <v>0</v>
      </c>
      <c r="M56" s="706">
        <f t="shared" si="7"/>
        <v>0</v>
      </c>
      <c r="N56" s="706">
        <f t="shared" si="7"/>
        <v>0</v>
      </c>
      <c r="O56" s="706">
        <f t="shared" si="7"/>
        <v>0</v>
      </c>
      <c r="P56" s="706">
        <f t="shared" si="7"/>
        <v>0</v>
      </c>
      <c r="Q56" s="707">
        <f t="shared" si="7"/>
        <v>0</v>
      </c>
      <c r="R56" s="708">
        <f ca="1">SUM(R54:R55)</f>
        <v>4336.3593592129546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8510.8286442539211</v>
      </c>
      <c r="D61" s="714">
        <f t="shared" ref="D61:Q61" ca="1" si="8">D46+D52+D56</f>
        <v>1339.8201680672271</v>
      </c>
      <c r="E61" s="714">
        <f t="shared" ca="1" si="8"/>
        <v>11086.596737288552</v>
      </c>
      <c r="F61" s="714">
        <f t="shared" si="8"/>
        <v>1785.5754072452507</v>
      </c>
      <c r="G61" s="714">
        <f t="shared" ca="1" si="8"/>
        <v>5941.0986358191112</v>
      </c>
      <c r="H61" s="714">
        <f t="shared" si="8"/>
        <v>37378.740083246979</v>
      </c>
      <c r="I61" s="714">
        <f t="shared" si="8"/>
        <v>5783.7785087295679</v>
      </c>
      <c r="J61" s="714">
        <f t="shared" si="8"/>
        <v>0</v>
      </c>
      <c r="K61" s="714">
        <f t="shared" si="8"/>
        <v>995.94883622314887</v>
      </c>
      <c r="L61" s="714">
        <f t="shared" si="8"/>
        <v>0</v>
      </c>
      <c r="M61" s="714">
        <f t="shared" ca="1" si="8"/>
        <v>0</v>
      </c>
      <c r="N61" s="714">
        <f t="shared" si="8"/>
        <v>0</v>
      </c>
      <c r="O61" s="714">
        <f t="shared" ca="1" si="8"/>
        <v>0</v>
      </c>
      <c r="P61" s="714">
        <f t="shared" si="8"/>
        <v>0</v>
      </c>
      <c r="Q61" s="714">
        <f t="shared" si="8"/>
        <v>0</v>
      </c>
      <c r="R61" s="714">
        <f ca="1">R46+R52+R56</f>
        <v>72822.38702087375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0.20732937168134852</v>
      </c>
      <c r="D63" s="755">
        <f t="shared" ca="1" si="9"/>
        <v>0.23764705882352943</v>
      </c>
      <c r="E63" s="990">
        <f t="shared" ca="1" si="9"/>
        <v>0.20200000000000004</v>
      </c>
      <c r="F63" s="755">
        <f t="shared" si="9"/>
        <v>0.22700000000000004</v>
      </c>
      <c r="G63" s="755">
        <f t="shared" ca="1" si="9"/>
        <v>0.26699999999999996</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2836.5345548054324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3946.5</v>
      </c>
      <c r="D76" s="1000">
        <f>'lokale energieproductie'!C8</f>
        <v>4642.9411764705883</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937.87411764705894</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2836.5345548054324</v>
      </c>
      <c r="C78" s="729">
        <f>SUM(C72:C77)</f>
        <v>3946.5</v>
      </c>
      <c r="D78" s="730">
        <f t="shared" ref="D78:H78" si="10">SUM(D76:D77)</f>
        <v>4642.9411764705883</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937.87411764705894</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5637.8571428571431</v>
      </c>
      <c r="D87" s="751">
        <f>'lokale energieproductie'!C17</f>
        <v>6632.7731092436979</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1339.8201680672271</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5637.8571428571431</v>
      </c>
      <c r="D90" s="729">
        <f t="shared" ref="D90:H90" si="12">SUM(D87:D89)</f>
        <v>6632.7731092436979</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1339.8201680672271</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2836.5345548054324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3946.5</v>
      </c>
      <c r="C8" s="544">
        <f>B48</f>
        <v>4642.9411764705883</v>
      </c>
      <c r="D8" s="1010"/>
      <c r="E8" s="1010">
        <f>E48</f>
        <v>0</v>
      </c>
      <c r="F8" s="1011"/>
      <c r="G8" s="545"/>
      <c r="H8" s="1010">
        <f>I48</f>
        <v>0</v>
      </c>
      <c r="I8" s="1010">
        <f>G48+F48</f>
        <v>0</v>
      </c>
      <c r="J8" s="1010">
        <f>H48+D48+C48</f>
        <v>0</v>
      </c>
      <c r="K8" s="1010"/>
      <c r="L8" s="1010"/>
      <c r="M8" s="1010"/>
      <c r="N8" s="546"/>
      <c r="O8" s="547">
        <f>C8*$C$12+D8*$D$12+E8*$E$12+F8*$F$12+G8*$G$12+H8*$H$12+I8*$I$12+J8*$J$12</f>
        <v>937.87411764705894</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6783.034554805432</v>
      </c>
      <c r="C10" s="557">
        <f t="shared" ref="C10:L10" si="0">SUM(C8:C9)</f>
        <v>4642.9411764705883</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937.87411764705894</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5637.8571428571431</v>
      </c>
      <c r="C17" s="569">
        <f>B49</f>
        <v>6632.7731092436979</v>
      </c>
      <c r="D17" s="570"/>
      <c r="E17" s="570">
        <f>E49</f>
        <v>0</v>
      </c>
      <c r="F17" s="1016"/>
      <c r="G17" s="571"/>
      <c r="H17" s="569">
        <f>I49</f>
        <v>0</v>
      </c>
      <c r="I17" s="570">
        <f>G49+F49</f>
        <v>0</v>
      </c>
      <c r="J17" s="570">
        <f>H49+D49+C49</f>
        <v>0</v>
      </c>
      <c r="K17" s="570"/>
      <c r="L17" s="570"/>
      <c r="M17" s="570"/>
      <c r="N17" s="1017"/>
      <c r="O17" s="572">
        <f>C17*$C$22+E17*$E$22+H17*$H$22+I17*$I$22+J17*$J$22+D17*$D$22+F17*$F$22+G17*$G$22+K17*$K$22+L17*$L$22</f>
        <v>1339.8201680672271</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5637.8571428571431</v>
      </c>
      <c r="C20" s="556">
        <f>SUM(C17:C19)</f>
        <v>6632.7731092436979</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1339.8201680672271</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42010</v>
      </c>
      <c r="C28" s="770">
        <v>9270</v>
      </c>
      <c r="D28" s="627" t="s">
        <v>887</v>
      </c>
      <c r="E28" s="626" t="s">
        <v>888</v>
      </c>
      <c r="F28" s="626" t="s">
        <v>889</v>
      </c>
      <c r="G28" s="626" t="s">
        <v>890</v>
      </c>
      <c r="H28" s="626" t="s">
        <v>891</v>
      </c>
      <c r="I28" s="626" t="s">
        <v>888</v>
      </c>
      <c r="J28" s="769">
        <v>40081</v>
      </c>
      <c r="K28" s="769">
        <v>40084</v>
      </c>
      <c r="L28" s="626" t="s">
        <v>892</v>
      </c>
      <c r="M28" s="626">
        <v>877</v>
      </c>
      <c r="N28" s="626">
        <v>3946.5</v>
      </c>
      <c r="O28" s="626">
        <v>5637.8571428571431</v>
      </c>
      <c r="P28" s="626">
        <v>11275.714285714286</v>
      </c>
      <c r="Q28" s="626">
        <v>0</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877</v>
      </c>
      <c r="N29" s="584">
        <f>SUM(N28:N28)</f>
        <v>3946.5</v>
      </c>
      <c r="O29" s="584">
        <f>SUM(O28:O28)</f>
        <v>5637.8571428571431</v>
      </c>
      <c r="P29" s="584">
        <f>SUM(P28:P28)</f>
        <v>11275.714285714286</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877</v>
      </c>
      <c r="N32" s="589">
        <f>SUMIF($Z$28:$Z$28,"landbouw",N28:N28)</f>
        <v>3946.5</v>
      </c>
      <c r="O32" s="589">
        <f>SUMIF($Z$28:$Z$28,"landbouw",O28:O28)</f>
        <v>5637.8571428571431</v>
      </c>
      <c r="P32" s="589">
        <f>SUMIF($Z$28:$Z$28,"landbouw",P28:P28)</f>
        <v>11275.714285714286</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4642.9411764705883</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6632.7731092436979</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25377.205982094943</v>
      </c>
      <c r="C4" s="451">
        <f>huishoudens!C8</f>
        <v>0</v>
      </c>
      <c r="D4" s="451">
        <f>huishoudens!D8</f>
        <v>40053.64090034047</v>
      </c>
      <c r="E4" s="451">
        <f>huishoudens!E8</f>
        <v>7035.533781574507</v>
      </c>
      <c r="F4" s="451">
        <f>huishoudens!F8</f>
        <v>11771.033644721781</v>
      </c>
      <c r="G4" s="451">
        <f>huishoudens!G8</f>
        <v>0</v>
      </c>
      <c r="H4" s="451">
        <f>huishoudens!H8</f>
        <v>0</v>
      </c>
      <c r="I4" s="451">
        <f>huishoudens!I8</f>
        <v>0</v>
      </c>
      <c r="J4" s="451">
        <f>huishoudens!J8</f>
        <v>2542.0006351785514</v>
      </c>
      <c r="K4" s="451">
        <f>huishoudens!K8</f>
        <v>0</v>
      </c>
      <c r="L4" s="451">
        <f>huishoudens!L8</f>
        <v>0</v>
      </c>
      <c r="M4" s="451">
        <f>huishoudens!M8</f>
        <v>0</v>
      </c>
      <c r="N4" s="451">
        <f>huishoudens!N8</f>
        <v>10926.092643289194</v>
      </c>
      <c r="O4" s="451">
        <f>huishoudens!O8</f>
        <v>328.3</v>
      </c>
      <c r="P4" s="452">
        <f>huishoudens!P8</f>
        <v>800.8</v>
      </c>
      <c r="Q4" s="453">
        <f>SUM(B4:P4)</f>
        <v>98834.607587199454</v>
      </c>
    </row>
    <row r="5" spans="1:17">
      <c r="A5" s="450" t="s">
        <v>155</v>
      </c>
      <c r="B5" s="451">
        <f ca="1">tertiair!B16</f>
        <v>9784.4617382054821</v>
      </c>
      <c r="C5" s="451">
        <f ca="1">tertiair!C16</f>
        <v>0</v>
      </c>
      <c r="D5" s="451">
        <f ca="1">tertiair!D16</f>
        <v>10969.538405701074</v>
      </c>
      <c r="E5" s="451">
        <f>tertiair!E16</f>
        <v>191.37443383226898</v>
      </c>
      <c r="F5" s="451">
        <f ca="1">tertiair!F16</f>
        <v>1724.367058445479</v>
      </c>
      <c r="G5" s="451">
        <f>tertiair!G16</f>
        <v>0</v>
      </c>
      <c r="H5" s="451">
        <f>tertiair!H16</f>
        <v>0</v>
      </c>
      <c r="I5" s="451">
        <f>tertiair!I16</f>
        <v>0</v>
      </c>
      <c r="J5" s="451">
        <f>tertiair!J16</f>
        <v>1.3808000503108497E-2</v>
      </c>
      <c r="K5" s="451">
        <f>tertiair!K16</f>
        <v>0</v>
      </c>
      <c r="L5" s="451">
        <f ca="1">tertiair!L16</f>
        <v>0</v>
      </c>
      <c r="M5" s="451">
        <f>tertiair!M16</f>
        <v>0</v>
      </c>
      <c r="N5" s="451">
        <f ca="1">tertiair!N16</f>
        <v>555.08864289431881</v>
      </c>
      <c r="O5" s="451">
        <f>tertiair!O16</f>
        <v>1.5633333333333335</v>
      </c>
      <c r="P5" s="452">
        <f>tertiair!P16</f>
        <v>19.066666666666666</v>
      </c>
      <c r="Q5" s="450">
        <f t="shared" ref="Q5:Q14" ca="1" si="0">SUM(B5:P5)</f>
        <v>23245.474087079121</v>
      </c>
    </row>
    <row r="6" spans="1:17">
      <c r="A6" s="450" t="s">
        <v>193</v>
      </c>
      <c r="B6" s="451">
        <f>'openbare verlichting'!B8</f>
        <v>982.40499999999997</v>
      </c>
      <c r="C6" s="451"/>
      <c r="D6" s="451"/>
      <c r="E6" s="451"/>
      <c r="F6" s="451"/>
      <c r="G6" s="451"/>
      <c r="H6" s="451"/>
      <c r="I6" s="451"/>
      <c r="J6" s="451"/>
      <c r="K6" s="451"/>
      <c r="L6" s="451"/>
      <c r="M6" s="451"/>
      <c r="N6" s="451"/>
      <c r="O6" s="451"/>
      <c r="P6" s="452"/>
      <c r="Q6" s="450">
        <f t="shared" si="0"/>
        <v>982.40499999999997</v>
      </c>
    </row>
    <row r="7" spans="1:17">
      <c r="A7" s="450" t="s">
        <v>111</v>
      </c>
      <c r="B7" s="451">
        <f>landbouw!B8</f>
        <v>1865.298378241986</v>
      </c>
      <c r="C7" s="451">
        <f>landbouw!C8</f>
        <v>5637.8571428571431</v>
      </c>
      <c r="D7" s="451">
        <f>landbouw!D8</f>
        <v>294.17757644418271</v>
      </c>
      <c r="E7" s="451">
        <f>landbouw!E8</f>
        <v>54.826816615367591</v>
      </c>
      <c r="F7" s="451">
        <f>landbouw!F8</f>
        <v>7770.7322483222706</v>
      </c>
      <c r="G7" s="451">
        <f>landbouw!G8</f>
        <v>0</v>
      </c>
      <c r="H7" s="451">
        <f>landbouw!H8</f>
        <v>0</v>
      </c>
      <c r="I7" s="451">
        <f>landbouw!I8</f>
        <v>0</v>
      </c>
      <c r="J7" s="451">
        <f>landbouw!J8</f>
        <v>270.24167726605458</v>
      </c>
      <c r="K7" s="451">
        <f>landbouw!K8</f>
        <v>0</v>
      </c>
      <c r="L7" s="451">
        <f>landbouw!L8</f>
        <v>0</v>
      </c>
      <c r="M7" s="451">
        <f>landbouw!M8</f>
        <v>0</v>
      </c>
      <c r="N7" s="451">
        <f>landbouw!N8</f>
        <v>0</v>
      </c>
      <c r="O7" s="451">
        <f>landbouw!O8</f>
        <v>0</v>
      </c>
      <c r="P7" s="452">
        <f>landbouw!P8</f>
        <v>0</v>
      </c>
      <c r="Q7" s="450">
        <f t="shared" si="0"/>
        <v>15893.133839747004</v>
      </c>
    </row>
    <row r="8" spans="1:17">
      <c r="A8" s="450" t="s">
        <v>634</v>
      </c>
      <c r="B8" s="451">
        <f>industrie!B18</f>
        <v>2298.7173664293482</v>
      </c>
      <c r="C8" s="451">
        <f>industrie!C18</f>
        <v>0</v>
      </c>
      <c r="D8" s="451">
        <f>industrie!D18</f>
        <v>2325.0143340919803</v>
      </c>
      <c r="E8" s="451">
        <f>industrie!E18</f>
        <v>328.42608868034517</v>
      </c>
      <c r="F8" s="451">
        <f>industrie!F18</f>
        <v>985.17280064197178</v>
      </c>
      <c r="G8" s="451">
        <f>industrie!G18</f>
        <v>0</v>
      </c>
      <c r="H8" s="451">
        <f>industrie!H18</f>
        <v>0</v>
      </c>
      <c r="I8" s="451">
        <f>industrie!I18</f>
        <v>0</v>
      </c>
      <c r="J8" s="451">
        <f>industrie!J18</f>
        <v>1.1586711457069627</v>
      </c>
      <c r="K8" s="451">
        <f>industrie!K18</f>
        <v>0</v>
      </c>
      <c r="L8" s="451">
        <f>industrie!L18</f>
        <v>0</v>
      </c>
      <c r="M8" s="451">
        <f>industrie!M18</f>
        <v>0</v>
      </c>
      <c r="N8" s="451">
        <f>industrie!N18</f>
        <v>131.7756982595622</v>
      </c>
      <c r="O8" s="451">
        <f>industrie!O18</f>
        <v>0</v>
      </c>
      <c r="P8" s="452">
        <f>industrie!P18</f>
        <v>0</v>
      </c>
      <c r="Q8" s="450">
        <f t="shared" si="0"/>
        <v>6070.2649592489133</v>
      </c>
    </row>
    <row r="9" spans="1:17" s="456" customFormat="1">
      <c r="A9" s="454" t="s">
        <v>560</v>
      </c>
      <c r="B9" s="455">
        <f>transport!B14</f>
        <v>47.865138753384123</v>
      </c>
      <c r="C9" s="455">
        <f>transport!C14</f>
        <v>0</v>
      </c>
      <c r="D9" s="455">
        <f>transport!D14</f>
        <v>134.67555946956773</v>
      </c>
      <c r="E9" s="455">
        <f>transport!E14</f>
        <v>255.80983632504783</v>
      </c>
      <c r="F9" s="455">
        <f>transport!F14</f>
        <v>0</v>
      </c>
      <c r="G9" s="455">
        <f>transport!G14</f>
        <v>139397.47500199635</v>
      </c>
      <c r="H9" s="455">
        <f>transport!H14</f>
        <v>23228.026139476176</v>
      </c>
      <c r="I9" s="455">
        <f>transport!I14</f>
        <v>0</v>
      </c>
      <c r="J9" s="455">
        <f>transport!J14</f>
        <v>0</v>
      </c>
      <c r="K9" s="455">
        <f>transport!K14</f>
        <v>0</v>
      </c>
      <c r="L9" s="455">
        <f>transport!L14</f>
        <v>0</v>
      </c>
      <c r="M9" s="455">
        <f>transport!M14</f>
        <v>8828.1868602675277</v>
      </c>
      <c r="N9" s="455">
        <f>transport!N14</f>
        <v>0</v>
      </c>
      <c r="O9" s="455">
        <f>transport!O14</f>
        <v>0</v>
      </c>
      <c r="P9" s="455">
        <f>transport!P14</f>
        <v>0</v>
      </c>
      <c r="Q9" s="454">
        <f>SUM(B9:P9)</f>
        <v>171892.03853628808</v>
      </c>
    </row>
    <row r="10" spans="1:17">
      <c r="A10" s="450" t="s">
        <v>550</v>
      </c>
      <c r="B10" s="451">
        <f>transport!B54</f>
        <v>0</v>
      </c>
      <c r="C10" s="451">
        <f>transport!C54</f>
        <v>0</v>
      </c>
      <c r="D10" s="451">
        <f>transport!D54</f>
        <v>0</v>
      </c>
      <c r="E10" s="451">
        <f>transport!E54</f>
        <v>0</v>
      </c>
      <c r="F10" s="451">
        <f>transport!F54</f>
        <v>0</v>
      </c>
      <c r="G10" s="451">
        <f>transport!G54</f>
        <v>597.8062086664753</v>
      </c>
      <c r="H10" s="451">
        <f>transport!H54</f>
        <v>0</v>
      </c>
      <c r="I10" s="451">
        <f>transport!I54</f>
        <v>0</v>
      </c>
      <c r="J10" s="451">
        <f>transport!J54</f>
        <v>0</v>
      </c>
      <c r="K10" s="451">
        <f>transport!K54</f>
        <v>0</v>
      </c>
      <c r="L10" s="451">
        <f>transport!L54</f>
        <v>0</v>
      </c>
      <c r="M10" s="451">
        <f>transport!M54</f>
        <v>33.95018882909514</v>
      </c>
      <c r="N10" s="451">
        <f>transport!N54</f>
        <v>0</v>
      </c>
      <c r="O10" s="451">
        <f>transport!O54</f>
        <v>0</v>
      </c>
      <c r="P10" s="452">
        <f>transport!P54</f>
        <v>0</v>
      </c>
      <c r="Q10" s="450">
        <f t="shared" si="0"/>
        <v>631.75639749557047</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693.84351491224606</v>
      </c>
      <c r="C14" s="458"/>
      <c r="D14" s="458">
        <f>'SEAP template'!E25</f>
        <v>1107.09548775743</v>
      </c>
      <c r="E14" s="458"/>
      <c r="F14" s="458"/>
      <c r="G14" s="458"/>
      <c r="H14" s="458"/>
      <c r="I14" s="458"/>
      <c r="J14" s="458"/>
      <c r="K14" s="458"/>
      <c r="L14" s="458"/>
      <c r="M14" s="458"/>
      <c r="N14" s="458"/>
      <c r="O14" s="458"/>
      <c r="P14" s="459"/>
      <c r="Q14" s="450">
        <f t="shared" si="0"/>
        <v>1800.939002669676</v>
      </c>
    </row>
    <row r="15" spans="1:17" s="460" customFormat="1">
      <c r="A15" s="1005" t="s">
        <v>554</v>
      </c>
      <c r="B15" s="953">
        <f ca="1">SUM(B4:B14)</f>
        <v>41049.797118637383</v>
      </c>
      <c r="C15" s="953">
        <f t="shared" ref="C15:Q15" ca="1" si="1">SUM(C4:C14)</f>
        <v>5637.8571428571431</v>
      </c>
      <c r="D15" s="953">
        <f t="shared" ca="1" si="1"/>
        <v>54884.142263804708</v>
      </c>
      <c r="E15" s="953">
        <f t="shared" si="1"/>
        <v>7865.9709570275354</v>
      </c>
      <c r="F15" s="953">
        <f t="shared" ca="1" si="1"/>
        <v>22251.305752131506</v>
      </c>
      <c r="G15" s="953">
        <f t="shared" si="1"/>
        <v>139995.28121066283</v>
      </c>
      <c r="H15" s="953">
        <f t="shared" si="1"/>
        <v>23228.026139476176</v>
      </c>
      <c r="I15" s="953">
        <f t="shared" si="1"/>
        <v>0</v>
      </c>
      <c r="J15" s="953">
        <f t="shared" si="1"/>
        <v>2813.4147915908161</v>
      </c>
      <c r="K15" s="953">
        <f t="shared" si="1"/>
        <v>0</v>
      </c>
      <c r="L15" s="953">
        <f t="shared" ca="1" si="1"/>
        <v>0</v>
      </c>
      <c r="M15" s="953">
        <f t="shared" si="1"/>
        <v>8862.1370490966219</v>
      </c>
      <c r="N15" s="953">
        <f t="shared" ca="1" si="1"/>
        <v>11612.956984443075</v>
      </c>
      <c r="O15" s="953">
        <f t="shared" si="1"/>
        <v>329.86333333333334</v>
      </c>
      <c r="P15" s="953">
        <f t="shared" si="1"/>
        <v>819.86666666666667</v>
      </c>
      <c r="Q15" s="953">
        <f t="shared" ca="1" si="1"/>
        <v>319350.61940972781</v>
      </c>
    </row>
    <row r="17" spans="1:17">
      <c r="A17" s="461" t="s">
        <v>555</v>
      </c>
      <c r="B17" s="760">
        <f ca="1">huishoudens!B10</f>
        <v>0.20732937168134852</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5261.4401712959034</v>
      </c>
      <c r="C22" s="451">
        <f t="shared" ref="C22:C32" ca="1" si="3">C4*$C$17</f>
        <v>0</v>
      </c>
      <c r="D22" s="451">
        <f t="shared" ref="D22:D32" si="4">D4*$D$17</f>
        <v>8090.8354618687754</v>
      </c>
      <c r="E22" s="451">
        <f t="shared" ref="E22:E32" si="5">E4*$E$17</f>
        <v>1597.0661684174131</v>
      </c>
      <c r="F22" s="451">
        <f t="shared" ref="F22:F32" si="6">F4*$F$17</f>
        <v>3142.8659831407158</v>
      </c>
      <c r="G22" s="451">
        <f t="shared" ref="G22:G32" si="7">G4*$G$17</f>
        <v>0</v>
      </c>
      <c r="H22" s="451">
        <f t="shared" ref="H22:H32" si="8">H4*$H$17</f>
        <v>0</v>
      </c>
      <c r="I22" s="451">
        <f t="shared" ref="I22:I32" si="9">I4*$I$17</f>
        <v>0</v>
      </c>
      <c r="J22" s="451">
        <f t="shared" ref="J22:J32" si="10">J4*$J$17</f>
        <v>899.86822485320715</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18992.076009576012</v>
      </c>
    </row>
    <row r="23" spans="1:17">
      <c r="A23" s="450" t="s">
        <v>155</v>
      </c>
      <c r="B23" s="451">
        <f t="shared" ca="1" si="2"/>
        <v>2028.6063044223379</v>
      </c>
      <c r="C23" s="451">
        <f t="shared" ca="1" si="3"/>
        <v>0</v>
      </c>
      <c r="D23" s="451">
        <f t="shared" ca="1" si="4"/>
        <v>2215.8467579516173</v>
      </c>
      <c r="E23" s="451">
        <f t="shared" si="5"/>
        <v>43.441996479925059</v>
      </c>
      <c r="F23" s="451">
        <f t="shared" ca="1" si="6"/>
        <v>460.40600460494289</v>
      </c>
      <c r="G23" s="451">
        <f t="shared" si="7"/>
        <v>0</v>
      </c>
      <c r="H23" s="451">
        <f t="shared" si="8"/>
        <v>0</v>
      </c>
      <c r="I23" s="451">
        <f t="shared" si="9"/>
        <v>0</v>
      </c>
      <c r="J23" s="451">
        <f t="shared" si="10"/>
        <v>4.8880321781004073E-3</v>
      </c>
      <c r="K23" s="451">
        <f t="shared" si="11"/>
        <v>0</v>
      </c>
      <c r="L23" s="451">
        <f t="shared" ca="1" si="12"/>
        <v>0</v>
      </c>
      <c r="M23" s="451">
        <f t="shared" si="13"/>
        <v>0</v>
      </c>
      <c r="N23" s="451">
        <f t="shared" ca="1" si="14"/>
        <v>0</v>
      </c>
      <c r="O23" s="451">
        <f t="shared" si="15"/>
        <v>0</v>
      </c>
      <c r="P23" s="452">
        <f t="shared" si="16"/>
        <v>0</v>
      </c>
      <c r="Q23" s="450">
        <f t="shared" ref="Q23:Q32" ca="1" si="17">SUM(B23:P23)</f>
        <v>4748.3059514910019</v>
      </c>
    </row>
    <row r="24" spans="1:17">
      <c r="A24" s="450" t="s">
        <v>193</v>
      </c>
      <c r="B24" s="451">
        <f t="shared" ca="1" si="2"/>
        <v>203.6814113866152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203.6814113866152</v>
      </c>
    </row>
    <row r="25" spans="1:17">
      <c r="A25" s="450" t="s">
        <v>111</v>
      </c>
      <c r="B25" s="451">
        <f t="shared" ca="1" si="2"/>
        <v>386.73114075914935</v>
      </c>
      <c r="C25" s="451">
        <f t="shared" ca="1" si="3"/>
        <v>1339.8201680672271</v>
      </c>
      <c r="D25" s="451">
        <f t="shared" si="4"/>
        <v>59.423870441724908</v>
      </c>
      <c r="E25" s="451">
        <f t="shared" si="5"/>
        <v>12.445687371688443</v>
      </c>
      <c r="F25" s="451">
        <f t="shared" si="6"/>
        <v>2074.7855103020465</v>
      </c>
      <c r="G25" s="451">
        <f t="shared" si="7"/>
        <v>0</v>
      </c>
      <c r="H25" s="451">
        <f t="shared" si="8"/>
        <v>0</v>
      </c>
      <c r="I25" s="451">
        <f t="shared" si="9"/>
        <v>0</v>
      </c>
      <c r="J25" s="451">
        <f t="shared" si="10"/>
        <v>95.665553752183314</v>
      </c>
      <c r="K25" s="451">
        <f t="shared" si="11"/>
        <v>0</v>
      </c>
      <c r="L25" s="451">
        <f t="shared" si="12"/>
        <v>0</v>
      </c>
      <c r="M25" s="451">
        <f t="shared" si="13"/>
        <v>0</v>
      </c>
      <c r="N25" s="451">
        <f t="shared" si="14"/>
        <v>0</v>
      </c>
      <c r="O25" s="451">
        <f t="shared" si="15"/>
        <v>0</v>
      </c>
      <c r="P25" s="452">
        <f t="shared" si="16"/>
        <v>0</v>
      </c>
      <c r="Q25" s="450">
        <f t="shared" ca="1" si="17"/>
        <v>3968.8719306940197</v>
      </c>
    </row>
    <row r="26" spans="1:17">
      <c r="A26" s="450" t="s">
        <v>634</v>
      </c>
      <c r="B26" s="451">
        <f t="shared" ca="1" si="2"/>
        <v>476.59162725480093</v>
      </c>
      <c r="C26" s="451">
        <f t="shared" ca="1" si="3"/>
        <v>0</v>
      </c>
      <c r="D26" s="451">
        <f t="shared" si="4"/>
        <v>469.65289548658006</v>
      </c>
      <c r="E26" s="451">
        <f t="shared" si="5"/>
        <v>74.552722130438354</v>
      </c>
      <c r="F26" s="451">
        <f t="shared" si="6"/>
        <v>263.04113777140645</v>
      </c>
      <c r="G26" s="451">
        <f t="shared" si="7"/>
        <v>0</v>
      </c>
      <c r="H26" s="451">
        <f t="shared" si="8"/>
        <v>0</v>
      </c>
      <c r="I26" s="451">
        <f t="shared" si="9"/>
        <v>0</v>
      </c>
      <c r="J26" s="451">
        <f t="shared" si="10"/>
        <v>0.41016958558026478</v>
      </c>
      <c r="K26" s="451">
        <f t="shared" si="11"/>
        <v>0</v>
      </c>
      <c r="L26" s="451">
        <f t="shared" si="12"/>
        <v>0</v>
      </c>
      <c r="M26" s="451">
        <f t="shared" si="13"/>
        <v>0</v>
      </c>
      <c r="N26" s="451">
        <f t="shared" si="14"/>
        <v>0</v>
      </c>
      <c r="O26" s="451">
        <f t="shared" si="15"/>
        <v>0</v>
      </c>
      <c r="P26" s="452">
        <f t="shared" si="16"/>
        <v>0</v>
      </c>
      <c r="Q26" s="450">
        <f t="shared" ca="1" si="17"/>
        <v>1284.2485522288059</v>
      </c>
    </row>
    <row r="27" spans="1:17" s="456" customFormat="1">
      <c r="A27" s="454" t="s">
        <v>560</v>
      </c>
      <c r="B27" s="754">
        <f t="shared" ca="1" si="2"/>
        <v>9.9238491431796962</v>
      </c>
      <c r="C27" s="455">
        <f t="shared" ca="1" si="3"/>
        <v>0</v>
      </c>
      <c r="D27" s="455">
        <f t="shared" si="4"/>
        <v>27.204463012852685</v>
      </c>
      <c r="E27" s="455">
        <f t="shared" si="5"/>
        <v>58.068832845785856</v>
      </c>
      <c r="F27" s="455">
        <f t="shared" si="6"/>
        <v>0</v>
      </c>
      <c r="G27" s="455">
        <f t="shared" si="7"/>
        <v>37219.125825533032</v>
      </c>
      <c r="H27" s="455">
        <f t="shared" si="8"/>
        <v>5783.7785087295679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43098.10147926442</v>
      </c>
    </row>
    <row r="28" spans="1:17">
      <c r="A28" s="450" t="s">
        <v>550</v>
      </c>
      <c r="B28" s="451">
        <f t="shared" ca="1" si="2"/>
        <v>0</v>
      </c>
      <c r="C28" s="451">
        <f t="shared" ca="1" si="3"/>
        <v>0</v>
      </c>
      <c r="D28" s="451">
        <f t="shared" si="4"/>
        <v>0</v>
      </c>
      <c r="E28" s="451">
        <f t="shared" si="5"/>
        <v>0</v>
      </c>
      <c r="F28" s="451">
        <f t="shared" si="6"/>
        <v>0</v>
      </c>
      <c r="G28" s="451">
        <f t="shared" si="7"/>
        <v>159.61425771394892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159.61425771394892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143.85413999193435</v>
      </c>
      <c r="C32" s="451">
        <f t="shared" ca="1" si="3"/>
        <v>0</v>
      </c>
      <c r="D32" s="451">
        <f t="shared" si="4"/>
        <v>223.63328852700087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367.48742851893519</v>
      </c>
    </row>
    <row r="33" spans="1:17" s="460" customFormat="1">
      <c r="A33" s="1005" t="s">
        <v>554</v>
      </c>
      <c r="B33" s="953">
        <f ca="1">SUM(B22:B32)</f>
        <v>8510.8286442539193</v>
      </c>
      <c r="C33" s="953">
        <f t="shared" ref="C33:Q33" ca="1" si="18">SUM(C22:C32)</f>
        <v>1339.8201680672271</v>
      </c>
      <c r="D33" s="953">
        <f t="shared" ca="1" si="18"/>
        <v>11086.596737288552</v>
      </c>
      <c r="E33" s="953">
        <f t="shared" si="18"/>
        <v>1785.5754072452507</v>
      </c>
      <c r="F33" s="953">
        <f t="shared" ca="1" si="18"/>
        <v>5941.0986358191112</v>
      </c>
      <c r="G33" s="953">
        <f t="shared" si="18"/>
        <v>37378.740083246979</v>
      </c>
      <c r="H33" s="953">
        <f t="shared" si="18"/>
        <v>5783.7785087295679</v>
      </c>
      <c r="I33" s="953">
        <f t="shared" si="18"/>
        <v>0</v>
      </c>
      <c r="J33" s="953">
        <f t="shared" si="18"/>
        <v>995.94883622314887</v>
      </c>
      <c r="K33" s="953">
        <f t="shared" si="18"/>
        <v>0</v>
      </c>
      <c r="L33" s="953">
        <f t="shared" ca="1" si="18"/>
        <v>0</v>
      </c>
      <c r="M33" s="953">
        <f t="shared" si="18"/>
        <v>0</v>
      </c>
      <c r="N33" s="953">
        <f t="shared" ca="1" si="18"/>
        <v>0</v>
      </c>
      <c r="O33" s="953">
        <f t="shared" si="18"/>
        <v>0</v>
      </c>
      <c r="P33" s="953">
        <f t="shared" si="18"/>
        <v>0</v>
      </c>
      <c r="Q33" s="953">
        <f t="shared" ca="1" si="18"/>
        <v>72822.387020873764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2836.5345548054324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3946.5</v>
      </c>
      <c r="D8" s="1022">
        <f>'SEAP template'!D76</f>
        <v>4642.9411764705883</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937.87411764705894</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2836.5345548054324</v>
      </c>
      <c r="C10" s="1026">
        <f>SUM(C4:C9)</f>
        <v>3946.5</v>
      </c>
      <c r="D10" s="1026">
        <f t="shared" ref="D10:H10" si="0">SUM(D8:D9)</f>
        <v>4642.9411764705883</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937.87411764705894</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0.20732937168134852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5637.8571428571431</v>
      </c>
      <c r="D17" s="1023">
        <f>'SEAP template'!D87</f>
        <v>6632.7731092436979</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1339.8201680672271</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5637.8571428571431</v>
      </c>
      <c r="D20" s="1026">
        <f t="shared" ref="D20:H20" si="2">SUM(D17:D19)</f>
        <v>6632.7731092436979</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1339.8201680672271</v>
      </c>
    </row>
    <row r="22" spans="1:16">
      <c r="A22" s="461" t="s">
        <v>848</v>
      </c>
      <c r="B22" s="760" t="s">
        <v>842</v>
      </c>
      <c r="C22" s="760">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0.20732937168134852</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2020-06-20T15:46:07Z</dcterms:modified>
</cp:coreProperties>
</file>