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C49" i="18"/>
  <c r="F49" i="18"/>
  <c r="D49" i="18"/>
  <c r="I49" i="18"/>
  <c r="H17" i="18" s="1"/>
  <c r="M87" i="14" s="1"/>
  <c r="G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I20" i="14"/>
  <c r="I22" i="14" s="1"/>
  <c r="I27" i="14" s="1"/>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<sst xmlns="http://schemas.openxmlformats.org/spreadsheetml/2006/main" count="2398" uniqueCount="887">
  <si>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</si>
  <si>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</si>
  <si>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</si>
  <si>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</si>
  <si>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</si>
  <si>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</si>
  <si>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</si>
  <si>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</si>
  <si>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</si>
  <si>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</si>
  <si>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</si>
  <si>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</si>
  <si>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</si>
  <si>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</si>
  <si>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</si>
  <si>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</si>
  <si>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</si>
  <si>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</si>
  <si>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</si>
  <si>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</si>
  <si>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</si>
  <si>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</si>
  <si>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</si>
  <si>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</si>
  <si>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</si>
  <si>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</si>
  <si>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</si>
  <si>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</si>
  <si>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</si>
  <si>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</si>
  <si>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</si>
  <si>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</si>
  <si>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</si>
  <si>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</si>
  <si>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</si>
  <si>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</si>
  <si>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</si>
  <si>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</si>
  <si>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</si>
  <si>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</si>
  <si>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</si>
  <si>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</si>
  <si>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</si>
  <si>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</si>
  <si>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</si>
  <si>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</si>
  <si>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</si>
  <si>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</si>
  <si>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</si>
  <si>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</si>
  <si>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</si>
  <si>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</si>
  <si>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</si>
  <si>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</si>
  <si>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</si>
  <si>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</si>
  <si>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</si>
  <si>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</si>
  <si>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</si>
  <si>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</si>
  <si>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</si>
  <si>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</si>
  <si>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</si>
  <si>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</si>
  <si>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</si>
  <si>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</si>
  <si>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</si>
  <si>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</si>
  <si>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</si>
  <si>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</si>
  <si>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</si>
  <si>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</si>
  <si>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</si>
  <si>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</si>
  <si>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</si>
  <si>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</si>
  <si>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</si>
  <si>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</si>
  <si>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</si>
  <si>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</si>
  <si>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</si>
  <si>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</si>
  <si>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</si>
  <si>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</si>
  <si>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</si>
  <si>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</si>
  <si>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</si>
  <si>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</si>
  <si>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</si>
  <si>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</si>
  <si>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</si>
  <si>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</si>
  <si>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</si>
  <si>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</si>
  <si>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</si>
  <si>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</si>
  <si>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</si>
  <si>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</si>
  <si>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</si>
  <si>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</si>
  <si>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</si>
  <si>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</si>
  <si>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</si>
  <si>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</si>
  <si>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</si>
  <si>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</si>
  <si>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</si>
  <si>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</si>
  <si>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</si>
  <si>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</si>
  <si>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</si>
  <si>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</si>
  <si>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</si>
  <si>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</si>
  <si>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</si>
  <si>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</si>
  <si>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</si>
  <si>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</si>
  <si>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</si>
  <si>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</si>
  <si>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</si>
  <si>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</si>
  <si>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</si>
  <si>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</si>
  <si>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</si>
  <si>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</si>
  <si>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</si>
  <si>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</si>
  <si>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</si>
  <si>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</si>
  <si>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</si>
  <si>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</si>
  <si>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</si>
  <si>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</si>
  <si>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</si>
  <si>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</si>
  <si>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</si>
  <si>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</si>
  <si>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</si>
  <si>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</si>
  <si>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</si>
  <si>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</si>
  <si>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</si>
  <si>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</si>
  <si>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</si>
  <si>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</si>
  <si>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</si>
  <si>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</si>
  <si>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</si>
  <si>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</si>
  <si>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</si>
  <si>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</si>
  <si>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</si>
  <si>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</si>
  <si>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</si>
  <si>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</si>
  <si>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</si>
  <si>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</si>
  <si>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</si>
  <si>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</si>
  <si>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</si>
  <si>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</si>
  <si>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</si>
  <si>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</si>
  <si>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</si>
  <si>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</si>
  <si>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</si>
  <si>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</si>
  <si>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</si>
  <si>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</si>
  <si>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</si>
  <si>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</si>
  <si>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</si>
  <si>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</si>
  <si>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</si>
  <si>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</si>
  <si>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</si>
  <si>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</si>
  <si>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</si>
  <si>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</si>
  <si>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</si>
  <si>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</si>
  <si>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</si>
  <si>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</si>
  <si>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</si>
  <si>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</si>
  <si>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</si>
  <si>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</si>
  <si>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</si>
  <si>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</si>
  <si>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</si>
  <si>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</si>
  <si>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</si>
  <si>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</si>
  <si>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</si>
  <si>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</si>
  <si>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</si>
  <si>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</si>
  <si>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</si>
  <si>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</si>
  <si>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</si>
  <si>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</si>
  <si>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</si>
  <si>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</si>
  <si>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</si>
  <si>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</si>
  <si>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</si>
  <si>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</si>
  <si>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</si>
  <si>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</si>
  <si>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</si>
  <si>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</si>
  <si>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</si>
  <si>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</si>
  <si>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</si>
  <si>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</si>
  <si>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</si>
  <si>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</si>
  <si>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</si>
  <si>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</si>
  <si>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</si>
  <si>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</si>
  <si>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</si>
  <si>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</si>
  <si>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</si>
  <si>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</si>
  <si>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</si>
  <si>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</si>
  <si>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</si>
  <si>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</si>
  <si>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</si>
  <si>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</si>
  <si>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</si>
  <si>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</si>
  <si>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</si>
  <si>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</si>
  <si>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</si>
  <si>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</si>
  <si>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</si>
  <si>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</si>
  <si>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</si>
  <si>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</si>
  <si>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</si>
  <si>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</si>
  <si>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</si>
  <si>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</si>
  <si>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</si>
  <si>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</si>
  <si>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</si>
  <si>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</si>
  <si>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</si>
  <si>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</si>
  <si>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</si>
  <si>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</si>
  <si>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</si>
  <si>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</si>
  <si>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</si>
  <si>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</si>
  <si>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</si>
  <si>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</si>
  <si>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</si>
  <si>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</si>
  <si>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</si>
  <si>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</si>
  <si>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</si>
  <si>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</si>
  <si>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</si>
  <si>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</si>
  <si>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</si>
  <si>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</si>
  <si>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</si>
  <si>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</si>
  <si>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</si>
  <si>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</si>
  <si>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</si>
  <si>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</si>
  <si>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</si>
  <si>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</si>
  <si>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</si>
  <si>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</si>
  <si>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</si>
  <si>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</si>
  <si>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</si>
  <si>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</si>
  <si>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</si>
  <si>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</si>
  <si>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</si>
  <si>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</si>
  <si>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</si>
  <si>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</si>
  <si>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</si>
  <si>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</si>
  <si>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</si>
  <si>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</si>
  <si>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</si>
  <si>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</si>
  <si>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</si>
  <si>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</si>
  <si>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</si>
  <si>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</si>
  <si>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</si>
  <si>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</si>
  <si>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</si>
  <si>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</si>
  <si>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</si>
  <si>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</si>
  <si>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</si>
  <si>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</si>
  <si>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</si>
  <si>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</si>
  <si>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</si>
  <si>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</si>
  <si>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</si>
  <si>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</si>
  <si>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</si>
  <si>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</si>
  <si>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</si>
  <si>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</si>
  <si>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</si>
  <si>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</si>
  <si>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</si>
  <si>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</si>
  <si>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</si>
  <si>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</si>
  <si>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</si>
  <si>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</si>
  <si>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</si>
  <si>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</si>
  <si>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</si>
  <si>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</si>
  <si>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</si>
  <si>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</si>
  <si>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</si>
  <si>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</si>
  <si>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</si>
  <si>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</si>
  <si>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</si>
  <si>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</si>
  <si>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</si>
  <si>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</si>
  <si>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</si>
  <si>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</si>
  <si>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</si>
  <si>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</si>
  <si>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</si>
  <si>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</si>
  <si>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</si>
  <si>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</si>
  <si>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</si>
  <si>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</si>
  <si>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</si>
  <si>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</si>
  <si>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</si>
  <si>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</si>
  <si>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</si>
  <si>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</si>
  <si>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</si>
  <si>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</si>
  <si>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</si>
  <si>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</si>
  <si>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</si>
  <si>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</si>
  <si>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</si>
  <si>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</si>
  <si>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</si>
  <si>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</si>
  <si>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</si>
  <si>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</si>
  <si>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</si>
  <si>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</si>
  <si>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</si>
  <si>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</si>
  <si>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</si>
  <si>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</si>
  <si>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</si>
  <si>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</si>
  <si>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</si>
  <si>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</si>
  <si>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</si>
  <si>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</si>
  <si>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</si>
  <si>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</si>
  <si>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</si>
  <si>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</si>
  <si>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</si>
  <si>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</si>
  <si>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</si>
  <si>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</si>
  <si>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</si>
  <si>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</si>
  <si>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</si>
  <si>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</si>
  <si>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</si>
  <si>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</si>
  <si>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</si>
  <si>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</si>
  <si>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</si>
  <si>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</si>
  <si>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</si>
  <si>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</si>
  <si>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</si>
  <si>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</si>
  <si>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</si>
  <si>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</si>
  <si>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</si>
  <si>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</si>
  <si>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</si>
  <si>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</si>
  <si>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</si>
  <si>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</si>
  <si>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</si>
  <si>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</si>
  <si>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</si>
  <si>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</si>
  <si>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</si>
  <si>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</si>
  <si>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</si>
  <si>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</si>
  <si>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</si>
  <si>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</si>
  <si>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</si>
  <si>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</si>
  <si>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</si>
  <si>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</si>
  <si>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</si>
  <si>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</si>
  <si>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</si>
  <si>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</si>
  <si>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</si>
  <si>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</si>
  <si>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</si>
  <si>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</si>
  <si>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</si>
  <si>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</si>
  <si>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</si>
  <si>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</si>
  <si>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</si>
  <si>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</si>
  <si>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</si>
  <si>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</si>
  <si>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</si>
  <si>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</si>
  <si>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</si>
  <si>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</si>
  <si>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</si>
  <si>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</si>
  <si>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</si>
  <si>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</si>
  <si>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</si>
  <si>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</si>
  <si>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</si>
  <si>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</si>
  <si>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</si>
  <si>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</si>
  <si>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</si>
  <si>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</si>
  <si>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</si>
  <si>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</si>
  <si>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</si>
  <si>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</si>
  <si>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</si>
  <si>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</si>
  <si>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</si>
  <si>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</si>
  <si>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</si>
  <si>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</si>
  <si>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</si>
  <si>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</si>
  <si>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</si>
  <si>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</si>
  <si>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</si>
  <si>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</si>
  <si>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</si>
  <si>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</si>
  <si>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</si>
  <si>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</si>
  <si>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</si>
  <si>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</si>
  <si>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</si>
  <si>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</si>
  <si>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</si>
  <si>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</si>
  <si>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</si>
  <si>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</si>
  <si>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</si>
  <si>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</si>
  <si>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</si>
  <si>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</si>
  <si>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</si>
  <si>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</si>
  <si>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</si>
  <si>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</si>
  <si>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</si>
  <si>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</si>
  <si>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</si>
  <si>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</si>
  <si>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</si>
  <si>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</si>
  <si>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</si>
  <si>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</si>
  <si>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</si>
  <si>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</si>
  <si>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</si>
  <si>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</si>
  <si>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</si>
  <si>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</si>
  <si>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</si>
  <si>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</si>
  <si>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</si>
  <si>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</si>
  <si>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</si>
  <si>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</si>
  <si>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</si>
  <si>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</si>
  <si>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</si>
  <si>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</si>
  <si>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</si>
  <si>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</si>
  <si>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</si>
  <si>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</si>
  <si>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</si>
  <si>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</si>
  <si>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</si>
  <si>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</si>
  <si>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</si>
  <si>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</si>
  <si>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</si>
  <si>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</si>
  <si>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</si>
  <si>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</si>
  <si>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</si>
  <si>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</si>
  <si>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</si>
  <si>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</si>
  <si>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</si>
  <si>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</si>
  <si>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</si>
  <si>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</si>
  <si>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</si>
  <si>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</si>
  <si>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</si>
  <si>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</si>
  <si>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</si>
  <si>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</si>
  <si>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</si>
  <si>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</si>
  <si>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</si>
  <si>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</si>
  <si>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</si>
  <si>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</si>
  <si>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</si>
  <si>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</si>
  <si>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</si>
  <si>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</si>
  <si>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</si>
  <si>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</si>
  <si>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</si>
  <si>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</si>
  <si>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</si>
  <si>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</si>
  <si>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</si>
  <si>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</si>
  <si>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</si>
  <si>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</si>
  <si>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</si>
  <si>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</si>
  <si>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</si>
  <si>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</si>
  <si>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</si>
  <si>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</si>
  <si>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</si>
  <si>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</si>
  <si>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</si>
  <si>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</si>
  <si>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</si>
  <si>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</si>
  <si>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</si>
  <si>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</si>
  <si>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</si>
  <si>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</si>
  <si>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</si>
  <si>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</si>
  <si>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</si>
  <si>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</si>
  <si>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</si>
  <si>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</si>
  <si>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</si>
  <si>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</si>
  <si>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</si>
  <si>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</si>
  <si>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</si>
  <si>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</si>
  <si>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</si>
  <si>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</si>
  <si>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</si>
  <si>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</si>
  <si>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</si>
  <si>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</si>
  <si>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</si>
  <si>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</si>
  <si>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</si>
  <si>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</si>
  <si>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</si>
  <si>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</si>
  <si>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</si>
  <si>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</si>
  <si>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</si>
  <si>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</si>
  <si>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</si>
  <si>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</si>
  <si>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</si>
  <si>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</si>
  <si>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</si>
  <si>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</si>
  <si>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</si>
  <si>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</si>
  <si>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</si>
  <si>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</si>
  <si>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</si>
  <si>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</si>
  <si>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</si>
  <si>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</si>
  <si>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</si>
  <si>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</si>
  <si>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</si>
  <si>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</si>
  <si>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</si>
  <si>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</si>
  <si>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</si>
  <si>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</si>
  <si>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</si>
  <si>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</si>
  <si>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</si>
  <si>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</si>
  <si>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</si>
  <si>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</si>
  <si>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</si>
  <si>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</si>
  <si>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</si>
  <si>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</si>
  <si>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</si>
  <si>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</si>
  <si>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</si>
  <si>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</si>
  <si>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</si>
  <si>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</si>
  <si>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</si>
  <si>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</si>
  <si>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</si>
  <si>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</si>
  <si>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</si>
  <si>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</si>
  <si>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</si>
  <si>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</si>
  <si>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</si>
  <si>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</si>
  <si>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</si>
  <si>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</si>
  <si>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</si>
  <si>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</si>
  <si>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</si>
  <si>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</si>
  <si>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</si>
  <si>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</si>
  <si>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</si>
  <si>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</si>
  <si>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</si>
  <si>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</si>
  <si>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</si>
  <si>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</si>
  <si>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</si>
  <si>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</si>
  <si>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</si>
  <si>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</si>
  <si>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</si>
  <si>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</si>
  <si>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</si>
  <si>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</si>
  <si>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</si>
  <si>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</si>
  <si>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</si>
  <si>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</si>
  <si>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</si>
  <si>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</si>
  <si>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</si>
  <si>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</si>
  <si>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</si>
  <si>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</si>
  <si>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</si>
  <si>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</si>
  <si>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</si>
  <si>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</si>
  <si>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</si>
  <si>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</si>
  <si>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</si>
  <si>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</si>
  <si>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</si>
  <si>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</si>
  <si>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</si>
  <si>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</si>
  <si>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</si>
  <si>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</si>
  <si>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</si>
  <si>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</si>
  <si>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</si>
  <si>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</si>
  <si>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</si>
  <si>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</si>
  <si>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</si>
  <si>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</si>
  <si>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</si>
  <si>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</si>
  <si>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</si>
  <si>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</si>
  <si>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</si>
  <si>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</si>
  <si>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</si>
  <si>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</si>
  <si>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</si>
  <si>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</si>
  <si>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</si>
  <si>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</si>
  <si>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</si>
  <si>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</si>
  <si>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</si>
  <si>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</si>
  <si>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</si>
  <si>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</si>
  <si>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</si>
  <si>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</si>
  <si>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</si>
  <si>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</si>
  <si>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</si>
  <si>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</si>
  <si>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</si>
  <si>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</si>
  <si>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</si>
  <si>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</si>
  <si>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</si>
  <si>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</si>
  <si>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</si>
  <si>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</si>
  <si>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</si>
  <si>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</si>
  <si>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</si>
  <si>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</si>
  <si>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</si>
  <si>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</si>
  <si>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</si>
  <si>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</si>
  <si>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</si>
  <si>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</si>
  <si>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</si>
  <si>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</si>
  <si>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</si>
  <si>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</si>
  <si>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</si>
  <si>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</si>
  <si>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</si>
  <si>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</si>
  <si>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</si>
  <si>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</si>
  <si>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</si>
  <si>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</si>
  <si>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</si>
  <si>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</si>
  <si>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</si>
  <si>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</si>
  <si>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</si>
  <si>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</si>
  <si>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</si>
  <si>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</si>
  <si>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</si>
  <si>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</si>
  <si>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</si>
  <si>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</si>
  <si>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</si>
  <si>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</si>
  <si>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</si>
  <si>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</si>
  <si>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</si>
  <si>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</si>
  <si>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</si>
  <si>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</si>
  <si>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</si>
  <si>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</si>
  <si>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</si>
  <si>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</si>
  <si>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</si>
  <si>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</si>
  <si>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</si>
  <si>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</si>
  <si>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</si>
  <si>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</si>
  <si>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</si>
  <si>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</si>
  <si>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</si>
  <si>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</si>
  <si>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</si>
  <si>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</si>
  <si>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</si>
  <si>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</si>
  <si>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</si>
  <si>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</si>
  <si>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</si>
  <si>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</si>
  <si>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</si>
  <si>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</si>
  <si>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</si>
  <si>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</si>
  <si>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</si>
  <si>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</si>
  <si>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</si>
  <si>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</si>
  <si>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</si>
  <si>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</si>
  <si>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</si>
  <si>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</si>
  <si>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</si>
  <si>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</si>
  <si>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</si>
  <si>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</si>
  <si>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</si>
  <si>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</si>
  <si>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</si>
  <si>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</si>
  <si>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</si>
  <si>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</si>
  <si>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</si>
  <si>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</si>
  <si>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</si>
  <si>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</si>
  <si>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</si>
  <si>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</si>
  <si>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</si>
  <si>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</si>
  <si>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</si>
  <si>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</si>
  <si>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</si>
  <si>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</si>
  <si>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</si>
  <si>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</si>
  <si>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</si>
  <si>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</si>
  <si>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</si>
  <si>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</si>
  <si>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</si>
  <si>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</si>
  <si>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</si>
  <si>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</si>
  <si>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</si>
  <si>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</si>
  <si>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</si>
  <si>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</si>
  <si>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</si>
  <si>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</si>
  <si>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</si>
  <si>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</si>
  <si>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</si>
  <si>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</si>
  <si>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</si>
  <si>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</si>
  <si>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</si>
  <si>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</si>
  <si>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</si>
  <si>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</si>
  <si>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</si>
  <si>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</si>
  <si>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</si>
  <si>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</si>
  <si>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</si>
  <si>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</si>
  <si>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</si>
  <si>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</si>
  <si>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</si>
  <si>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</si>
  <si>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</si>
  <si>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</si>
  <si>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</si>
  <si>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</si>
  <si>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</si>
  <si>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</si>
  <si>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</si>
  <si>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42004</t>
  </si>
  <si>
    <t>BUGGENHOUT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</si>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</sst>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115845.69738822832</c:v>
                </c:pt>
                <c:pt idx="1">
                  <c:v>61849.521166817525</c:v>
                </c:pt>
                <c:pt idx="2">
                  <c:v>907.21100000000001</c:v>
                </c:pt>
                <c:pt idx="3">
                  <c:v>3185.8043579497494</c:v>
                </c:pt>
                <c:pt idx="4">
                  <c:v>113332.10221686169</c:v>
                </c:pt>
                <c:pt idx="5">
                  <c:v>73944.060824125147</c:v>
                </c:pt>
                <c:pt idx="6">
                  <c:v>451.40332912637655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115845.69738822832</c:v>
                </c:pt>
                <c:pt idx="1">
                  <c:v>61849.521166817525</c:v>
                </c:pt>
                <c:pt idx="2">
                  <c:v>907.21100000000001</c:v>
                </c:pt>
                <c:pt idx="3">
                  <c:v>3185.8043579497494</c:v>
                </c:pt>
                <c:pt idx="4">
                  <c:v>113332.10221686169</c:v>
                </c:pt>
                <c:pt idx="5">
                  <c:v>73944.060824125147</c:v>
                </c:pt>
                <c:pt idx="6">
                  <c:v>451.40332912637655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23135.304922083051</c:v>
                </c:pt>
                <c:pt idx="2">
                  <c:v>10681.394833689641</c:v>
                </c:pt>
                <c:pt idx="3">
                  <c:v>189.04283572334245</c:v>
                </c:pt>
                <c:pt idx="4">
                  <c:v>805.95008398621133</c:v>
                </c:pt>
                <c:pt idx="5">
                  <c:v>23311.34076765431</c:v>
                </c:pt>
                <c:pt idx="6">
                  <c:v>18480.473377396553</c:v>
                </c:pt>
                <c:pt idx="7">
                  <c:v>114.04776840208754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23135.304922083051</c:v>
                </c:pt>
                <c:pt idx="2">
                  <c:v>10681.394833689641</c:v>
                </c:pt>
                <c:pt idx="3">
                  <c:v>189.04283572334245</c:v>
                </c:pt>
                <c:pt idx="4">
                  <c:v>805.95008398621133</c:v>
                </c:pt>
                <c:pt idx="5">
                  <c:v>23311.34076765431</c:v>
                </c:pt>
                <c:pt idx="6">
                  <c:v>18480.473377396553</c:v>
                </c:pt>
                <c:pt idx="7">
                  <c:v>114.04776840208754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42004</v>
      </c>
      <c r="B6" s="390"/>
      <c r="C6" s="391"/>
    </row>
    <row r="7" spans="1:7" s="388" customFormat="1" ht="15.75" customHeight="1">
      <c r="A7" s="392" t="str">
        <f>txtMunicipality</f>
        <v>BUGGENHOUT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0.20837802421194457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0.20837802421194457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1156</v>
      </c>
      <c r="C14" s="330"/>
      <c r="D14" s="330"/>
      <c r="E14" s="330"/>
      <c r="F14" s="330"/>
    </row>
    <row r="15" spans="1:6">
      <c r="A15" s="1293" t="s">
        <v>183</v>
      </c>
      <c r="B15" s="1294">
        <v>10</v>
      </c>
      <c r="C15" s="330"/>
      <c r="D15" s="330"/>
      <c r="E15" s="330"/>
      <c r="F15" s="330"/>
    </row>
    <row r="16" spans="1:6">
      <c r="A16" s="1293" t="s">
        <v>6</v>
      </c>
      <c r="B16" s="1294">
        <v>603</v>
      </c>
      <c r="C16" s="330"/>
      <c r="D16" s="330"/>
      <c r="E16" s="330"/>
      <c r="F16" s="330"/>
    </row>
    <row r="17" spans="1:6">
      <c r="A17" s="1293" t="s">
        <v>7</v>
      </c>
      <c r="B17" s="1294">
        <v>178</v>
      </c>
      <c r="C17" s="330"/>
      <c r="D17" s="330"/>
      <c r="E17" s="330"/>
      <c r="F17" s="330"/>
    </row>
    <row r="18" spans="1:6">
      <c r="A18" s="1293" t="s">
        <v>8</v>
      </c>
      <c r="B18" s="1294">
        <v>485</v>
      </c>
      <c r="C18" s="330"/>
      <c r="D18" s="330"/>
      <c r="E18" s="330"/>
      <c r="F18" s="330"/>
    </row>
    <row r="19" spans="1:6">
      <c r="A19" s="1293" t="s">
        <v>9</v>
      </c>
      <c r="B19" s="1294">
        <v>456</v>
      </c>
      <c r="C19" s="330"/>
      <c r="D19" s="330"/>
      <c r="E19" s="330"/>
      <c r="F19" s="330"/>
    </row>
    <row r="20" spans="1:6">
      <c r="A20" s="1293" t="s">
        <v>10</v>
      </c>
      <c r="B20" s="1294">
        <v>258</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4088</v>
      </c>
      <c r="C28" s="336"/>
      <c r="D28" s="336"/>
      <c r="E28" s="336"/>
      <c r="F28" s="336"/>
    </row>
    <row r="29" spans="1:6">
      <c r="A29" s="1295" t="s">
        <v>734</v>
      </c>
      <c r="B29" s="1296">
        <v>111</v>
      </c>
      <c r="C29" s="336"/>
      <c r="D29" s="336"/>
      <c r="E29" s="336"/>
      <c r="F29" s="336"/>
    </row>
    <row r="30" spans="1:6">
      <c r="A30" s="1288" t="s">
        <v>735</v>
      </c>
      <c r="B30" s="1297">
        <v>21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3568</v>
      </c>
      <c r="D39" s="1294">
        <v>58322019.056501098</v>
      </c>
      <c r="E39" s="1294">
        <v>5793</v>
      </c>
      <c r="F39" s="1294">
        <v>23144726.803872701</v>
      </c>
    </row>
    <row r="40" spans="1:6">
      <c r="A40" s="1293" t="s">
        <v>29</v>
      </c>
      <c r="B40" s="1293" t="s">
        <v>28</v>
      </c>
      <c r="C40" s="1294">
        <v>0</v>
      </c>
      <c r="D40" s="1294">
        <v>0</v>
      </c>
      <c r="E40" s="1294">
        <v>0</v>
      </c>
      <c r="F40" s="1294">
        <v>0</v>
      </c>
    </row>
    <row r="41" spans="1:6">
      <c r="A41" s="1293" t="s">
        <v>31</v>
      </c>
      <c r="B41" s="1293" t="s">
        <v>32</v>
      </c>
      <c r="C41" s="1294">
        <v>42</v>
      </c>
      <c r="D41" s="1294">
        <v>881254.94702389406</v>
      </c>
      <c r="E41" s="1294">
        <v>99</v>
      </c>
      <c r="F41" s="1294">
        <v>700805.29226901196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123921.477760273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411919.28106946801</v>
      </c>
      <c r="E47" s="1294">
        <v>0</v>
      </c>
      <c r="F47" s="1294">
        <v>0</v>
      </c>
    </row>
    <row r="48" spans="1:6">
      <c r="A48" s="1293" t="s">
        <v>31</v>
      </c>
      <c r="B48" s="1293" t="s">
        <v>28</v>
      </c>
      <c r="C48" s="1294">
        <v>28</v>
      </c>
      <c r="D48" s="1294">
        <v>25897230.077509601</v>
      </c>
      <c r="E48" s="1294">
        <v>35</v>
      </c>
      <c r="F48" s="1294">
        <v>54129994.490353003</v>
      </c>
    </row>
    <row r="49" spans="1:6">
      <c r="A49" s="1293" t="s">
        <v>31</v>
      </c>
      <c r="B49" s="1293" t="s">
        <v>39</v>
      </c>
      <c r="C49" s="1294">
        <v>0</v>
      </c>
      <c r="D49" s="1294">
        <v>0</v>
      </c>
      <c r="E49" s="1294">
        <v>3</v>
      </c>
      <c r="F49" s="1294">
        <v>6124064.1543290596</v>
      </c>
    </row>
    <row r="50" spans="1:6">
      <c r="A50" s="1293" t="s">
        <v>31</v>
      </c>
      <c r="B50" s="1293" t="s">
        <v>40</v>
      </c>
      <c r="C50" s="1294">
        <v>14</v>
      </c>
      <c r="D50" s="1294">
        <v>5993820.53130423</v>
      </c>
      <c r="E50" s="1294">
        <v>22</v>
      </c>
      <c r="F50" s="1294">
        <v>2472184.6059588799</v>
      </c>
    </row>
    <row r="51" spans="1:6">
      <c r="A51" s="1293" t="s">
        <v>41</v>
      </c>
      <c r="B51" s="1293" t="s">
        <v>42</v>
      </c>
      <c r="C51" s="1294">
        <v>3</v>
      </c>
      <c r="D51" s="1294">
        <v>40458.469166839197</v>
      </c>
      <c r="E51" s="1294">
        <v>35</v>
      </c>
      <c r="F51" s="1294">
        <v>465794.75755055202</v>
      </c>
    </row>
    <row r="52" spans="1:6">
      <c r="A52" s="1293" t="s">
        <v>41</v>
      </c>
      <c r="B52" s="1293" t="s">
        <v>28</v>
      </c>
      <c r="C52" s="1294">
        <v>7</v>
      </c>
      <c r="D52" s="1294">
        <v>285362.46681129799</v>
      </c>
      <c r="E52" s="1294">
        <v>8</v>
      </c>
      <c r="F52" s="1294">
        <v>75740.0864860203</v>
      </c>
    </row>
    <row r="53" spans="1:6">
      <c r="A53" s="1293" t="s">
        <v>43</v>
      </c>
      <c r="B53" s="1293" t="s">
        <v>44</v>
      </c>
      <c r="C53" s="1294">
        <v>86</v>
      </c>
      <c r="D53" s="1294">
        <v>1781741.3128178599</v>
      </c>
      <c r="E53" s="1294">
        <v>256</v>
      </c>
      <c r="F53" s="1294">
        <v>2056980.1154136499</v>
      </c>
    </row>
    <row r="54" spans="1:6">
      <c r="A54" s="1293" t="s">
        <v>45</v>
      </c>
      <c r="B54" s="1293" t="s">
        <v>46</v>
      </c>
      <c r="C54" s="1294">
        <v>0</v>
      </c>
      <c r="D54" s="1294">
        <v>0</v>
      </c>
      <c r="E54" s="1294">
        <v>1</v>
      </c>
      <c r="F54" s="1294">
        <v>907211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1027672.58687043</v>
      </c>
      <c r="E57" s="1294">
        <v>50</v>
      </c>
      <c r="F57" s="1294">
        <v>12839795.3212975</v>
      </c>
    </row>
    <row r="58" spans="1:6">
      <c r="A58" s="1293" t="s">
        <v>48</v>
      </c>
      <c r="B58" s="1293" t="s">
        <v>50</v>
      </c>
      <c r="C58" s="1294">
        <v>27</v>
      </c>
      <c r="D58" s="1294">
        <v>1423845.90217589</v>
      </c>
      <c r="E58" s="1294">
        <v>26</v>
      </c>
      <c r="F58" s="1294">
        <v>186527.45161960501</v>
      </c>
    </row>
    <row r="59" spans="1:6">
      <c r="A59" s="1293" t="s">
        <v>48</v>
      </c>
      <c r="B59" s="1293" t="s">
        <v>51</v>
      </c>
      <c r="C59" s="1294">
        <v>55</v>
      </c>
      <c r="D59" s="1294">
        <v>1837916.3983627299</v>
      </c>
      <c r="E59" s="1294">
        <v>126</v>
      </c>
      <c r="F59" s="1294">
        <v>3451836.76587696</v>
      </c>
    </row>
    <row r="60" spans="1:6">
      <c r="A60" s="1293" t="s">
        <v>48</v>
      </c>
      <c r="B60" s="1293" t="s">
        <v>52</v>
      </c>
      <c r="C60" s="1294">
        <v>44</v>
      </c>
      <c r="D60" s="1294">
        <v>2096938.42799992</v>
      </c>
      <c r="E60" s="1294">
        <v>56</v>
      </c>
      <c r="F60" s="1294">
        <v>1162938.86427057</v>
      </c>
    </row>
    <row r="61" spans="1:6">
      <c r="A61" s="1293" t="s">
        <v>48</v>
      </c>
      <c r="B61" s="1293" t="s">
        <v>53</v>
      </c>
      <c r="C61" s="1294">
        <v>92</v>
      </c>
      <c r="D61" s="1294">
        <v>5187147.7701839805</v>
      </c>
      <c r="E61" s="1294">
        <v>150</v>
      </c>
      <c r="F61" s="1294">
        <v>1612768.1995280599</v>
      </c>
    </row>
    <row r="62" spans="1:6">
      <c r="A62" s="1293" t="s">
        <v>48</v>
      </c>
      <c r="B62" s="1293" t="s">
        <v>54</v>
      </c>
      <c r="C62" s="1294">
        <v>13</v>
      </c>
      <c r="D62" s="1294">
        <v>1774102.3130954299</v>
      </c>
      <c r="E62" s="1294">
        <v>13</v>
      </c>
      <c r="F62" s="1294">
        <v>558295.94045730296</v>
      </c>
    </row>
    <row r="63" spans="1:6">
      <c r="A63" s="1293" t="s">
        <v>48</v>
      </c>
      <c r="B63" s="1293" t="s">
        <v>28</v>
      </c>
      <c r="C63" s="1294">
        <v>79</v>
      </c>
      <c r="D63" s="1294">
        <v>4299161.1316175796</v>
      </c>
      <c r="E63" s="1294">
        <v>96</v>
      </c>
      <c r="F63" s="1294">
        <v>8112610.7074648105</v>
      </c>
    </row>
    <row r="64" spans="1:6">
      <c r="A64" s="1293" t="s">
        <v>55</v>
      </c>
      <c r="B64" s="1293" t="s">
        <v>56</v>
      </c>
      <c r="C64" s="1294">
        <v>0</v>
      </c>
      <c r="D64" s="1294">
        <v>0</v>
      </c>
      <c r="E64" s="1294">
        <v>0</v>
      </c>
      <c r="F64" s="1294">
        <v>0</v>
      </c>
    </row>
    <row r="65" spans="1:6">
      <c r="A65" s="1293" t="s">
        <v>55</v>
      </c>
      <c r="B65" s="1293" t="s">
        <v>28</v>
      </c>
      <c r="C65" s="1294">
        <v>2</v>
      </c>
      <c r="D65" s="1294">
        <v>46632.591596809398</v>
      </c>
      <c r="E65" s="1294">
        <v>4</v>
      </c>
      <c r="F65" s="1294">
        <v>40394.353610968297</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8</v>
      </c>
      <c r="D68" s="1297">
        <v>166777.93030149501</v>
      </c>
      <c r="E68" s="1297">
        <v>13</v>
      </c>
      <c r="F68" s="1297">
        <v>150044.01307069001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23702106</v>
      </c>
      <c r="E73" s="449"/>
      <c r="F73" s="330"/>
    </row>
    <row r="74" spans="1:6">
      <c r="A74" s="1293" t="s">
        <v>63</v>
      </c>
      <c r="B74" s="1293" t="s">
        <v>656</v>
      </c>
      <c r="C74" s="1307" t="s">
        <v>658</v>
      </c>
      <c r="D74" s="1308">
        <v>1893046</v>
      </c>
      <c r="E74" s="449"/>
      <c r="F74" s="330"/>
    </row>
    <row r="75" spans="1:6">
      <c r="A75" s="1293" t="s">
        <v>64</v>
      </c>
      <c r="B75" s="1293" t="s">
        <v>655</v>
      </c>
      <c r="C75" s="1307" t="s">
        <v>659</v>
      </c>
      <c r="D75" s="1308">
        <v>51278729</v>
      </c>
      <c r="E75" s="449"/>
      <c r="F75" s="330"/>
    </row>
    <row r="76" spans="1:6">
      <c r="A76" s="1293" t="s">
        <v>64</v>
      </c>
      <c r="B76" s="1293" t="s">
        <v>656</v>
      </c>
      <c r="C76" s="1307" t="s">
        <v>660</v>
      </c>
      <c r="D76" s="1308">
        <v>1704867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123112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3360.5599589150856</v>
      </c>
      <c r="C91" s="330"/>
      <c r="D91" s="330"/>
      <c r="E91" s="330"/>
      <c r="F91" s="330"/>
    </row>
    <row r="92" spans="1:6">
      <c r="A92" s="1288" t="s">
        <v>68</v>
      </c>
      <c r="B92" s="1289">
        <v>3579.3468504348371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1616</v>
      </c>
      <c r="C97" s="330"/>
      <c r="D97" s="330"/>
      <c r="E97" s="330"/>
      <c r="F97" s="330"/>
    </row>
    <row r="98" spans="1:6">
      <c r="A98" s="1293" t="s">
        <v>71</v>
      </c>
      <c r="B98" s="1294">
        <v>1</v>
      </c>
      <c r="C98" s="330"/>
      <c r="D98" s="330"/>
      <c r="E98" s="330"/>
      <c r="F98" s="330"/>
    </row>
    <row r="99" spans="1:6">
      <c r="A99" s="1293" t="s">
        <v>72</v>
      </c>
      <c r="B99" s="1294">
        <v>67</v>
      </c>
      <c r="C99" s="330"/>
      <c r="D99" s="330"/>
      <c r="E99" s="330"/>
      <c r="F99" s="330"/>
    </row>
    <row r="100" spans="1:6">
      <c r="A100" s="1293" t="s">
        <v>73</v>
      </c>
      <c r="B100" s="1294">
        <v>590</v>
      </c>
      <c r="C100" s="330"/>
      <c r="D100" s="330"/>
      <c r="E100" s="330"/>
      <c r="F100" s="330"/>
    </row>
    <row r="101" spans="1:6">
      <c r="A101" s="1293" t="s">
        <v>74</v>
      </c>
      <c r="B101" s="1294">
        <v>59</v>
      </c>
      <c r="C101" s="330"/>
      <c r="D101" s="330"/>
      <c r="E101" s="330"/>
      <c r="F101" s="330"/>
    </row>
    <row r="102" spans="1:6">
      <c r="A102" s="1293" t="s">
        <v>75</v>
      </c>
      <c r="B102" s="1294">
        <v>94</v>
      </c>
      <c r="C102" s="330"/>
      <c r="D102" s="330"/>
      <c r="E102" s="330"/>
      <c r="F102" s="330"/>
    </row>
    <row r="103" spans="1:6">
      <c r="A103" s="1293" t="s">
        <v>76</v>
      </c>
      <c r="B103" s="1294">
        <v>177</v>
      </c>
      <c r="C103" s="330"/>
      <c r="D103" s="330"/>
      <c r="E103" s="330"/>
      <c r="F103" s="330"/>
    </row>
    <row r="104" spans="1:6">
      <c r="A104" s="1293" t="s">
        <v>77</v>
      </c>
      <c r="B104" s="1294">
        <v>2731</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18</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127</v>
      </c>
      <c r="C129" s="330"/>
      <c r="D129" s="330"/>
      <c r="E129" s="330"/>
      <c r="F129" s="330"/>
    </row>
    <row r="130" spans="1:6">
      <c r="A130" s="1293" t="s">
        <v>294</v>
      </c>
      <c r="B130" s="1294">
        <v>2</v>
      </c>
      <c r="C130" s="330"/>
      <c r="D130" s="330"/>
      <c r="E130" s="330"/>
      <c r="F130" s="330"/>
    </row>
    <row r="131" spans="1:6">
      <c r="A131" s="1293" t="s">
        <v>295</v>
      </c>
      <c r="B131" s="1294">
        <v>5</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121511.83226937751</v>
      </c>
      <c r="C3" s="43" t="s">
        <v>169</v>
      </c>
      <c r="D3" s="43"/>
      <c r="E3" s="154"/>
      <c r="F3" s="43"/>
      <c r="G3" s="43"/>
      <c r="H3" s="43"/>
      <c r="I3" s="43"/>
      <c r="J3" s="43"/>
      <c r="K3" s="96"/>
    </row>
    <row r="4" spans="1:11">
      <c r="A4" s="358" t="s">
        <v>170</v>
      </c>
      <c r="B4" s="49">
        <f>IF(ISERROR('SEAP template'!B78+'SEAP template'!C78),0,'SEAP template'!B78+'SEAP template'!C78)</f>
        <v>6939.9068093499227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0.20837802421194457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907.21100000000001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907.21100000000001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0.20837802421194457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189.04283572334245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23144.726803872702</v>
      </c>
      <c r="C5" s="17">
        <f>IF(ISERROR('Eigen informatie GS &amp; warmtenet'!B57),0,'Eigen informatie GS &amp; warmtenet'!B57)</f>
        <v>0</v>
      </c>
      <c r="D5" s="30">
        <f>(SUM(HH_hh_gas_kWh,HH_rest_gas_kWh)/1000)*0.902</f>
        <v>52606.461188963993</v>
      </c>
      <c r="E5" s="17">
        <f>B46*B57</f>
        <v>6871.7115613183123</v>
      </c>
      <c r="F5" s="17">
        <f>B51*B62</f>
        <v>20321.35562057055</v>
      </c>
      <c r="G5" s="18"/>
      <c r="H5" s="17"/>
      <c r="I5" s="17"/>
      <c r="J5" s="17">
        <f>B50*B61+C50*C61</f>
        <v>0</v>
      </c>
      <c r="K5" s="17"/>
      <c r="L5" s="17"/>
      <c r="M5" s="17"/>
      <c r="N5" s="17">
        <f>B48*B59+C48*C59</f>
        <v>8340.2355879210154</v>
      </c>
      <c r="O5" s="17">
        <f>B69*B70*B71</f>
        <v>228.2466666666667</v>
      </c>
      <c r="P5" s="17">
        <f>B77*B78*B79/1000-B77*B78*B79/1000/B80</f>
        <v>972.4</v>
      </c>
    </row>
    <row r="6" spans="1:16">
      <c r="A6" s="16" t="s">
        <v>620</v>
      </c>
      <c r="B6" s="762">
        <f>kWh_PV_kleiner_dan_10kW</f>
        <v>3360.5599589150856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26505.286762787786</v>
      </c>
      <c r="C8" s="21">
        <f>C5</f>
        <v>0</v>
      </c>
      <c r="D8" s="21">
        <f>D5</f>
        <v>52606.461188963993</v>
      </c>
      <c r="E8" s="21">
        <f>E5</f>
        <v>6871.7115613183123</v>
      </c>
      <c r="F8" s="21">
        <f>F5</f>
        <v>20321.35562057055</v>
      </c>
      <c r="G8" s="21"/>
      <c r="H8" s="21"/>
      <c r="I8" s="21"/>
      <c r="J8" s="21">
        <f>J5</f>
        <v>0</v>
      </c>
      <c r="K8" s="21"/>
      <c r="L8" s="21">
        <f>L5</f>
        <v>0</v>
      </c>
      <c r="M8" s="21">
        <f>M5</f>
        <v>0</v>
      </c>
      <c r="N8" s="21">
        <f>N5</f>
        <v>8340.2355879210154</v>
      </c>
      <c r="O8" s="21">
        <f>O5</f>
        <v>228.2466666666667</v>
      </c>
      <c r="P8" s="21">
        <f>P5</f>
        <v>972.4</v>
      </c>
    </row>
    <row r="9" spans="1:16">
      <c r="B9" s="19"/>
      <c r="C9" s="19"/>
      <c r="D9" s="258"/>
      <c r="E9" s="19"/>
      <c r="F9" s="19"/>
      <c r="G9" s="19"/>
      <c r="H9" s="19"/>
      <c r="I9" s="19"/>
      <c r="J9" s="19"/>
      <c r="K9" s="19"/>
      <c r="L9" s="19"/>
      <c r="M9" s="19"/>
      <c r="N9" s="19"/>
      <c r="O9" s="19"/>
      <c r="P9" s="19"/>
    </row>
    <row r="10" spans="1:16">
      <c r="A10" s="24" t="s">
        <v>213</v>
      </c>
      <c r="B10" s="25">
        <f ca="1">'EF ele_warmte'!B12</f>
        <v>0.20837802421194457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5523.1192868007274</v>
      </c>
      <c r="C12" s="23">
        <f ca="1">C10*C8</f>
        <v>0</v>
      </c>
      <c r="D12" s="23">
        <f>D8*D10</f>
        <v>10626.505160170727</v>
      </c>
      <c r="E12" s="23">
        <f>E10*E8</f>
        <v>1559.878524419257</v>
      </c>
      <c r="F12" s="23">
        <f>F10*F8</f>
        <v>5425.8019506923374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1616</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9.3575418994413404</v>
      </c>
      <c r="D20" s="229"/>
      <c r="E20" s="15"/>
    </row>
    <row r="21" spans="1:7">
      <c r="A21" s="171" t="s">
        <v>73</v>
      </c>
      <c r="B21" s="37">
        <f>aantalw2001_elektriciteit</f>
        <v>590</v>
      </c>
      <c r="C21" s="167">
        <f>IF(ISERROR(B21/SUM($B$20,$B$21,$B$22)*100),0,B21/SUM($B$20,$B$21,$B$22)*100)</f>
        <v>82.402234636871512</v>
      </c>
      <c r="D21" s="229"/>
      <c r="E21" s="15"/>
    </row>
    <row r="22" spans="1:7">
      <c r="A22" s="171" t="s">
        <v>74</v>
      </c>
      <c r="B22" s="37">
        <f>aantalw2001_hout</f>
        <v>59</v>
      </c>
      <c r="C22" s="167">
        <f>IF(ISERROR(B22/SUM($B$20,$B$21,$B$22)*100),0,B22/SUM($B$20,$B$21,$B$22)*100)</f>
        <v>8.2402234636871512</v>
      </c>
      <c r="D22" s="229"/>
      <c r="E22" s="15"/>
    </row>
    <row r="23" spans="1:7">
      <c r="A23" s="171" t="s">
        <v>75</v>
      </c>
      <c r="B23" s="37">
        <f>aantalw2001_niet_gespec</f>
        <v>94</v>
      </c>
      <c r="C23" s="166" t="s">
        <v>110</v>
      </c>
      <c r="D23" s="228"/>
      <c r="E23" s="15"/>
    </row>
    <row r="24" spans="1:7">
      <c r="A24" s="171" t="s">
        <v>76</v>
      </c>
      <c r="B24" s="37">
        <f>aantalw2001_steenkool</f>
        <v>177</v>
      </c>
      <c r="C24" s="166" t="s">
        <v>110</v>
      </c>
      <c r="D24" s="229"/>
      <c r="E24" s="15"/>
    </row>
    <row r="25" spans="1:7">
      <c r="A25" s="171" t="s">
        <v>77</v>
      </c>
      <c r="B25" s="37">
        <f>aantalw2001_stookolie</f>
        <v>2731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5982</v>
      </c>
      <c r="C28" s="36"/>
      <c r="D28" s="228"/>
    </row>
    <row r="29" spans="1:7" s="15" customFormat="1">
      <c r="A29" s="230" t="s">
        <v>781</v>
      </c>
      <c r="B29" s="37">
        <f>SUM(HH_hh_gas_aantal,HH_rest_gas_aantal)</f>
        <v>3568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3568</v>
      </c>
      <c r="C32" s="167">
        <f>IF(ISERROR(B32/SUM($B$32,$B$34,$B$35,$B$36,$B$38,$B$39)*100),0,B32/SUM($B$32,$B$34,$B$35,$B$36,$B$38,$B$39)*100)</f>
        <v>60.158489293542402</v>
      </c>
      <c r="D32" s="233"/>
      <c r="G32" s="15"/>
    </row>
    <row r="33" spans="1:7">
      <c r="A33" s="171" t="s">
        <v>71</v>
      </c>
      <c r="B33" s="34" t="s">
        <v>110</v>
      </c>
      <c r="C33" s="167"/>
      <c r="D33" s="233"/>
      <c r="G33" s="15"/>
    </row>
    <row r="34" spans="1:7">
      <c r="A34" s="171" t="s">
        <v>72</v>
      </c>
      <c r="B34" s="33">
        <f>IF((($B$28-$B$32-$B$39-$B$77-$B$38)*C20/100)&lt;0,0,($B$28-$B$32-$B$39-$B$77-$B$38)*C20/100)</f>
        <v>129.95754189944134</v>
      </c>
      <c r="C34" s="167">
        <f>IF(ISERROR(B34/SUM($B$32,$B$34,$B$35,$B$36,$B$38,$B$39)*100),0,B34/SUM($B$32,$B$34,$B$35,$B$36,$B$38,$B$39)*100)</f>
        <v>2.1911573410797729</v>
      </c>
      <c r="D34" s="233"/>
      <c r="G34" s="15"/>
    </row>
    <row r="35" spans="1:7">
      <c r="A35" s="171" t="s">
        <v>73</v>
      </c>
      <c r="B35" s="33">
        <f>IF((($B$28-$B$32-$B$39-$B$77-$B$38)*C21/100)&lt;0,0,($B$28-$B$32-$B$39-$B$77-$B$38)*C21/100)</f>
        <v>1144.4022346368715</v>
      </c>
      <c r="C35" s="167">
        <f>IF(ISERROR(B35/SUM($B$32,$B$34,$B$35,$B$36,$B$38,$B$39)*100),0,B35/SUM($B$32,$B$34,$B$35,$B$36,$B$38,$B$39)*100)</f>
        <v>19.295266137866658</v>
      </c>
      <c r="D35" s="233"/>
      <c r="G35" s="15"/>
    </row>
    <row r="36" spans="1:7">
      <c r="A36" s="171" t="s">
        <v>74</v>
      </c>
      <c r="B36" s="33">
        <f>IF((($B$28-$B$32-$B$39-$B$77-$B$38)*C22/100)&lt;0,0,($B$28-$B$32-$B$39-$B$77-$B$38)*C22/100)</f>
        <v>114.44022346368715</v>
      </c>
      <c r="C36" s="167">
        <f>IF(ISERROR(B36/SUM($B$32,$B$34,$B$35,$B$36,$B$38,$B$39)*100),0,B36/SUM($B$32,$B$34,$B$35,$B$36,$B$38,$B$39)*100)</f>
        <v>1.9295266137866658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974.2</v>
      </c>
      <c r="C39" s="167">
        <f>IF(ISERROR(B39/SUM($B$32,$B$34,$B$35,$B$36,$B$38,$B$39)*100),0,B39/SUM($B$32,$B$34,$B$35,$B$36,$B$38,$B$39)*100)</f>
        <v>16.4255606137245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3568</v>
      </c>
      <c r="C44" s="34" t="s">
        <v>110</v>
      </c>
      <c r="D44" s="174"/>
    </row>
    <row r="45" spans="1:7">
      <c r="A45" s="171" t="s">
        <v>71</v>
      </c>
      <c r="B45" s="33" t="str">
        <f t="shared" si="0"/>
        <v>-</v>
      </c>
      <c r="C45" s="34" t="s">
        <v>110</v>
      </c>
      <c r="D45" s="174"/>
    </row>
    <row r="46" spans="1:7">
      <c r="A46" s="171" t="s">
        <v>72</v>
      </c>
      <c r="B46" s="33">
        <f t="shared" si="0"/>
        <v>129.95754189944134</v>
      </c>
      <c r="C46" s="34" t="s">
        <v>110</v>
      </c>
      <c r="D46" s="174"/>
    </row>
    <row r="47" spans="1:7">
      <c r="A47" s="171" t="s">
        <v>73</v>
      </c>
      <c r="B47" s="33">
        <f t="shared" si="0"/>
        <v>1144.4022346368715</v>
      </c>
      <c r="C47" s="34" t="s">
        <v>110</v>
      </c>
      <c r="D47" s="174"/>
    </row>
    <row r="48" spans="1:7">
      <c r="A48" s="171" t="s">
        <v>74</v>
      </c>
      <c r="B48" s="33">
        <f t="shared" si="0"/>
        <v>114.44022346368715</v>
      </c>
      <c r="C48" s="33">
        <f>B48*10</f>
        <v>1144.4022346368715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974.2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27924.773250514809</v>
      </c>
      <c r="C5" s="17">
        <f>IF(ISERROR('Eigen informatie GS &amp; warmtenet'!B58),0,'Eigen informatie GS &amp; warmtenet'!B58)</f>
        <v>0</v>
      </c>
      <c r="D5" s="30">
        <f>SUM(D6:D12)</f>
        <v>15917.399646335976</v>
      </c>
      <c r="E5" s="17">
        <f>SUM(E6:E12)</f>
        <v>266.34319183088979</v>
      </c>
      <c r="F5" s="17">
        <f>SUM(F6:F12)</f>
        <v>5942.3427318658059</v>
      </c>
      <c r="G5" s="18"/>
      <c r="H5" s="17"/>
      <c r="I5" s="17"/>
      <c r="J5" s="17">
        <f>SUM(J6:J12)</f>
        <v>0.29834651737960921</v>
      </c>
      <c r="K5" s="17"/>
      <c r="L5" s="17"/>
      <c r="M5" s="17"/>
      <c r="N5" s="17">
        <f>SUM(N6:N12)</f>
        <v>11699.903999752665</v>
      </c>
      <c r="O5" s="17">
        <f>B38*B39*B40</f>
        <v>3.1266666666666669</v>
      </c>
      <c r="P5" s="17">
        <f>B46*B47*B48/1000-B46*B47*B48/1000/B49</f>
        <v>95.333333333333343</v>
      </c>
      <c r="R5" s="32"/>
    </row>
    <row r="6" spans="1:18">
      <c r="A6" s="32" t="s">
        <v>53</v>
      </c>
      <c r="B6" s="37">
        <f>B26</f>
        <v>1612.76819952806</v>
      </c>
      <c r="C6" s="33"/>
      <c r="D6" s="37">
        <f>IF(ISERROR(TER_kantoor_gas_kWh/1000),0,TER_kantoor_gas_kWh/1000)*0.902</f>
        <v>4678.8072887059507</v>
      </c>
      <c r="E6" s="33">
        <f>$C$26*'E Balans VL '!I12/100/3.6*1000000</f>
        <v>1.0108294676342156E-2</v>
      </c>
      <c r="F6" s="33">
        <f>$C$26*('E Balans VL '!L12+'E Balans VL '!N12)/100/3.6*1000000</f>
        <v>242.35399534755007</v>
      </c>
      <c r="G6" s="34"/>
      <c r="H6" s="33"/>
      <c r="I6" s="33"/>
      <c r="J6" s="33">
        <f>$C$26*('E Balans VL '!D12+'E Balans VL '!E12)/100/3.6*1000000</f>
        <v>0</v>
      </c>
      <c r="K6" s="33"/>
      <c r="L6" s="33"/>
      <c r="M6" s="33"/>
      <c r="N6" s="33">
        <f>$C$26*'E Balans VL '!Y12/100/3.6*1000000</f>
        <v>1.5423736637210801</v>
      </c>
      <c r="O6" s="33"/>
      <c r="P6" s="33"/>
      <c r="R6" s="32"/>
    </row>
    <row r="7" spans="1:18">
      <c r="A7" s="32" t="s">
        <v>52</v>
      </c>
      <c r="B7" s="37">
        <f t="shared" ref="B7:B12" si="0">B27</f>
        <v>1162.9388642705701</v>
      </c>
      <c r="C7" s="33"/>
      <c r="D7" s="37">
        <f>IF(ISERROR(TER_horeca_gas_kWh/1000),0,TER_horeca_gas_kWh/1000)*0.902</f>
        <v>1891.4384620559279</v>
      </c>
      <c r="E7" s="33">
        <f>$C$27*'E Balans VL '!I9/100/3.6*1000000</f>
        <v>16.653090827718383</v>
      </c>
      <c r="F7" s="33">
        <f>$C$27*('E Balans VL '!L9+'E Balans VL '!N9)/100/3.6*1000000</f>
        <v>147.26641541806509</v>
      </c>
      <c r="G7" s="34"/>
      <c r="H7" s="33"/>
      <c r="I7" s="33"/>
      <c r="J7" s="33">
        <f>$C$27*('E Balans VL '!D9+'E Balans VL '!E9)/100/3.6*1000000</f>
        <v>0</v>
      </c>
      <c r="K7" s="33"/>
      <c r="L7" s="33"/>
      <c r="M7" s="33"/>
      <c r="N7" s="33">
        <f>$C$27*'E Balans VL '!Y9/100/3.6*1000000</f>
        <v>0.33431928287681234</v>
      </c>
      <c r="O7" s="33"/>
      <c r="P7" s="33"/>
      <c r="R7" s="32"/>
    </row>
    <row r="8" spans="1:18">
      <c r="A8" s="6" t="s">
        <v>51</v>
      </c>
      <c r="B8" s="37">
        <f t="shared" si="0"/>
        <v>3451.8367658769598</v>
      </c>
      <c r="C8" s="33"/>
      <c r="D8" s="37">
        <f>IF(ISERROR(TER_handel_gas_kWh/1000),0,TER_handel_gas_kWh/1000)*0.902</f>
        <v>1657.8005913231825</v>
      </c>
      <c r="E8" s="33">
        <f>$C$28*'E Balans VL '!I13/100/3.6*1000000</f>
        <v>125.19769383691768</v>
      </c>
      <c r="F8" s="33">
        <f>$C$28*('E Balans VL '!L13+'E Balans VL '!N13)/100/3.6*1000000</f>
        <v>664.85871317734018</v>
      </c>
      <c r="G8" s="34"/>
      <c r="H8" s="33"/>
      <c r="I8" s="33"/>
      <c r="J8" s="33">
        <f>$C$28*('E Balans VL '!D13+'E Balans VL '!E13)/100/3.6*1000000</f>
        <v>0</v>
      </c>
      <c r="K8" s="33"/>
      <c r="L8" s="33"/>
      <c r="M8" s="33"/>
      <c r="N8" s="33">
        <f>$C$28*'E Balans VL '!Y13/100/3.6*1000000</f>
        <v>4.7815881529577231</v>
      </c>
      <c r="O8" s="33"/>
      <c r="P8" s="33"/>
      <c r="R8" s="32"/>
    </row>
    <row r="9" spans="1:18">
      <c r="A9" s="32" t="s">
        <v>50</v>
      </c>
      <c r="B9" s="37">
        <f t="shared" si="0"/>
        <v>186.52745161960502</v>
      </c>
      <c r="C9" s="33"/>
      <c r="D9" s="37">
        <f>IF(ISERROR(TER_gezond_gas_kWh/1000),0,TER_gezond_gas_kWh/1000)*0.902</f>
        <v>1284.309003762653</v>
      </c>
      <c r="E9" s="33">
        <f>$C$29*'E Balans VL '!I10/100/3.6*1000000</f>
        <v>1.1678460097263064E-2</v>
      </c>
      <c r="F9" s="33">
        <f>$C$29*('E Balans VL '!L10+'E Balans VL '!N10)/100/3.6*1000000</f>
        <v>27.709220860096472</v>
      </c>
      <c r="G9" s="34"/>
      <c r="H9" s="33"/>
      <c r="I9" s="33"/>
      <c r="J9" s="33">
        <f>$C$29*('E Balans VL '!D10+'E Balans VL '!E10)/100/3.6*1000000</f>
        <v>0</v>
      </c>
      <c r="K9" s="33"/>
      <c r="L9" s="33"/>
      <c r="M9" s="33"/>
      <c r="N9" s="33">
        <f>$C$29*'E Balans VL '!Y10/100/3.6*1000000</f>
        <v>2.8852246200126284</v>
      </c>
      <c r="O9" s="33"/>
      <c r="P9" s="33"/>
      <c r="R9" s="32"/>
    </row>
    <row r="10" spans="1:18">
      <c r="A10" s="32" t="s">
        <v>49</v>
      </c>
      <c r="B10" s="37">
        <f t="shared" si="0"/>
        <v>12839.795321297501</v>
      </c>
      <c r="C10" s="33"/>
      <c r="D10" s="37">
        <f>IF(ISERROR(TER_ander_gas_kWh/1000),0,TER_ander_gas_kWh/1000)*0.902</f>
        <v>926.96067335712792</v>
      </c>
      <c r="E10" s="33">
        <f>$C$30*'E Balans VL '!I14/100/3.6*1000000</f>
        <v>15.304577206228247</v>
      </c>
      <c r="F10" s="33">
        <f>$C$30*('E Balans VL '!L14+'E Balans VL '!N14)/100/3.6*1000000</f>
        <v>3359.4612685180064</v>
      </c>
      <c r="G10" s="34"/>
      <c r="H10" s="33"/>
      <c r="I10" s="33"/>
      <c r="J10" s="33">
        <f>$C$30*('E Balans VL '!D14+'E Balans VL '!E14)/100/3.6*1000000</f>
        <v>0.27870162581743596</v>
      </c>
      <c r="K10" s="33"/>
      <c r="L10" s="33"/>
      <c r="M10" s="33"/>
      <c r="N10" s="33">
        <f>$C$30*'E Balans VL '!Y14/100/3.6*1000000</f>
        <v>10903.240001476801</v>
      </c>
      <c r="O10" s="33"/>
      <c r="P10" s="33"/>
      <c r="R10" s="32"/>
    </row>
    <row r="11" spans="1:18">
      <c r="A11" s="32" t="s">
        <v>54</v>
      </c>
      <c r="B11" s="37">
        <f t="shared" si="0"/>
        <v>558.295940457303</v>
      </c>
      <c r="C11" s="33"/>
      <c r="D11" s="37">
        <f>IF(ISERROR(TER_onderwijs_gas_kWh/1000),0,TER_onderwijs_gas_kWh/1000)*0.902</f>
        <v>1600.2402864120779</v>
      </c>
      <c r="E11" s="33">
        <f>$C$31*'E Balans VL '!I11/100/3.6*1000000</f>
        <v>8.4237865203819347</v>
      </c>
      <c r="F11" s="33">
        <f>$C$31*('E Balans VL '!L11+'E Balans VL '!N11)/100/3.6*1000000</f>
        <v>97.822367811106844</v>
      </c>
      <c r="G11" s="34"/>
      <c r="H11" s="33"/>
      <c r="I11" s="33"/>
      <c r="J11" s="33">
        <f>$C$31*('E Balans VL '!D11+'E Balans VL '!E11)/100/3.6*1000000</f>
        <v>0</v>
      </c>
      <c r="K11" s="33"/>
      <c r="L11" s="33"/>
      <c r="M11" s="33"/>
      <c r="N11" s="33">
        <f>$C$31*'E Balans VL '!Y11/100/3.6*1000000</f>
        <v>1.5710872197205639</v>
      </c>
      <c r="O11" s="33"/>
      <c r="P11" s="33"/>
      <c r="R11" s="32"/>
    </row>
    <row r="12" spans="1:18">
      <c r="A12" s="32" t="s">
        <v>259</v>
      </c>
      <c r="B12" s="37">
        <f t="shared" si="0"/>
        <v>8112.6107074648107</v>
      </c>
      <c r="C12" s="33"/>
      <c r="D12" s="37">
        <f>IF(ISERROR(TER_rest_gas_kWh/1000),0,TER_rest_gas_kWh/1000)*0.902</f>
        <v>3877.8433407190569</v>
      </c>
      <c r="E12" s="33">
        <f>$C$32*'E Balans VL '!I8/100/3.6*1000000</f>
        <v>100.74225668486993</v>
      </c>
      <c r="F12" s="33">
        <f>$C$32*('E Balans VL '!L8+'E Balans VL '!N8)/100/3.6*1000000</f>
        <v>1402.8707507336405</v>
      </c>
      <c r="G12" s="34"/>
      <c r="H12" s="33"/>
      <c r="I12" s="33"/>
      <c r="J12" s="33">
        <f>$C$32*('E Balans VL '!D8+'E Balans VL '!E8)/100/3.6*1000000</f>
        <v>1.9644891562173264E-2</v>
      </c>
      <c r="K12" s="33"/>
      <c r="L12" s="33"/>
      <c r="M12" s="33"/>
      <c r="N12" s="33">
        <f>$C$32*'E Balans VL '!Y8/100/3.6*1000000</f>
        <v>785.54940533657498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27924.773250514809</v>
      </c>
      <c r="C16" s="21">
        <f t="shared" ca="1" si="1"/>
        <v>0</v>
      </c>
      <c r="D16" s="21">
        <f t="shared" ca="1" si="1"/>
        <v>15917.399646335976</v>
      </c>
      <c r="E16" s="21">
        <f t="shared" si="1"/>
        <v>266.34319183088979</v>
      </c>
      <c r="F16" s="21">
        <f t="shared" ca="1" si="1"/>
        <v>5942.3427318658059</v>
      </c>
      <c r="G16" s="21">
        <f t="shared" si="1"/>
        <v>0</v>
      </c>
      <c r="H16" s="21">
        <f t="shared" si="1"/>
        <v>0</v>
      </c>
      <c r="I16" s="21">
        <f t="shared" si="1"/>
        <v>0</v>
      </c>
      <c r="J16" s="21">
        <f t="shared" si="1"/>
        <v>0.29834651737960921</v>
      </c>
      <c r="K16" s="21">
        <f t="shared" si="1"/>
        <v>0</v>
      </c>
      <c r="L16" s="21">
        <f t="shared" ca="1" si="1"/>
        <v>0</v>
      </c>
      <c r="M16" s="21">
        <f t="shared" si="1"/>
        <v>0</v>
      </c>
      <c r="N16" s="21">
        <f t="shared" ca="1" si="1"/>
        <v>11699.903999752665</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0.20837802421194457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5818.9090765088367</v>
      </c>
      <c r="C20" s="23">
        <f t="shared" ref="C20:P20" ca="1" si="2">C16*C18</f>
        <v>0</v>
      </c>
      <c r="D20" s="23">
        <f t="shared" ca="1" si="2"/>
        <v>3215.3147285598675</v>
      </c>
      <c r="E20" s="23">
        <f t="shared" si="2"/>
        <v>60.459904545611984</v>
      </c>
      <c r="F20" s="23">
        <f t="shared" ca="1" si="2"/>
        <v>1586.6055094081703</v>
      </c>
      <c r="G20" s="23">
        <f t="shared" si="2"/>
        <v>0</v>
      </c>
      <c r="H20" s="23">
        <f t="shared" si="2"/>
        <v>0</v>
      </c>
      <c r="I20" s="23">
        <f t="shared" si="2"/>
        <v>0</v>
      </c>
      <c r="J20" s="23">
        <f t="shared" si="2"/>
        <v>0.10561466715238166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1612.76819952806</v>
      </c>
      <c r="C26" s="39">
        <f>IF(ISERROR(B26*3.6/1000000/'E Balans VL '!Z12*100),0,B26*3.6/1000000/'E Balans VL '!Z12*100)</f>
        <v>3.4091364906828472E-2</v>
      </c>
      <c r="D26" s="237" t="s">
        <v>744</v>
      </c>
      <c r="F26" s="6"/>
    </row>
    <row r="27" spans="1:18">
      <c r="A27" s="231" t="s">
        <v>52</v>
      </c>
      <c r="B27" s="33">
        <f>IF(ISERROR(TER_horeca_ele_kWh/1000),0,TER_horeca_ele_kWh/1000)</f>
        <v>1162.9388642705701</v>
      </c>
      <c r="C27" s="39">
        <f>IF(ISERROR(B27*3.6/1000000/'E Balans VL '!Z9*100),0,B27*3.6/1000000/'E Balans VL '!Z9*100)</f>
        <v>9.1674037221005922E-2</v>
      </c>
      <c r="D27" s="237" t="s">
        <v>744</v>
      </c>
      <c r="F27" s="6"/>
    </row>
    <row r="28" spans="1:18">
      <c r="A28" s="171" t="s">
        <v>51</v>
      </c>
      <c r="B28" s="33">
        <f>IF(ISERROR(TER_handel_ele_kWh/1000),0,TER_handel_ele_kWh/1000)</f>
        <v>3451.8367658769598</v>
      </c>
      <c r="C28" s="39">
        <f>IF(ISERROR(B28*3.6/1000000/'E Balans VL '!Z13*100),0,B28*3.6/1000000/'E Balans VL '!Z13*100)</f>
        <v>0.10018624992912814</v>
      </c>
      <c r="D28" s="237" t="s">
        <v>744</v>
      </c>
      <c r="F28" s="6"/>
    </row>
    <row r="29" spans="1:18">
      <c r="A29" s="231" t="s">
        <v>50</v>
      </c>
      <c r="B29" s="33">
        <f>IF(ISERROR(TER_gezond_ele_kWh/1000),0,TER_gezond_ele_kWh/1000)</f>
        <v>186.52745161960502</v>
      </c>
      <c r="C29" s="39">
        <f>IF(ISERROR(B29*3.6/1000000/'E Balans VL '!Z10*100),0,B29*3.6/1000000/'E Balans VL '!Z10*100)</f>
        <v>1.9644403517147708E-2</v>
      </c>
      <c r="D29" s="237" t="s">
        <v>744</v>
      </c>
      <c r="F29" s="6"/>
    </row>
    <row r="30" spans="1:18">
      <c r="A30" s="231" t="s">
        <v>49</v>
      </c>
      <c r="B30" s="33">
        <f>IF(ISERROR(TER_ander_ele_kWh/1000),0,TER_ander_ele_kWh/1000)</f>
        <v>12839.795321297501</v>
      </c>
      <c r="C30" s="39">
        <f>IF(ISERROR(B30*3.6/1000000/'E Balans VL '!Z14*100),0,B30*3.6/1000000/'E Balans VL '!Z14*100)</f>
        <v>0.94706609168857503</v>
      </c>
      <c r="D30" s="237" t="s">
        <v>744</v>
      </c>
      <c r="F30" s="6"/>
    </row>
    <row r="31" spans="1:18">
      <c r="A31" s="231" t="s">
        <v>54</v>
      </c>
      <c r="B31" s="33">
        <f>IF(ISERROR(TER_onderwijs_ele_kWh/1000),0,TER_onderwijs_ele_kWh/1000)</f>
        <v>558.295940457303</v>
      </c>
      <c r="C31" s="39">
        <f>IF(ISERROR(B31*3.6/1000000/'E Balans VL '!Z11*100),0,B31*3.6/1000000/'E Balans VL '!Z11*100)</f>
        <v>0.1386510341375517</v>
      </c>
      <c r="D31" s="237" t="s">
        <v>744</v>
      </c>
    </row>
    <row r="32" spans="1:18">
      <c r="A32" s="231" t="s">
        <v>259</v>
      </c>
      <c r="B32" s="33">
        <f>IF(ISERROR(TER_rest_ele_kWh/1000),0,TER_rest_ele_kWh/1000)</f>
        <v>8112.6107074648107</v>
      </c>
      <c r="C32" s="39">
        <f>IF(ISERROR(B32*3.6/1000000/'E Balans VL '!Z8*100),0,B32*3.6/1000000/'E Balans VL '!Z8*100)</f>
        <v>6.67560177263571E-2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63550.970020670225</v>
      </c>
      <c r="C5" s="17">
        <f>IF(ISERROR('Eigen informatie GS &amp; warmtenet'!B59),0,'Eigen informatie GS &amp; warmtenet'!B59)</f>
        <v>0</v>
      </c>
      <c r="D5" s="30">
        <f>SUM(D6:D15)</f>
        <v>29932.170802890287</v>
      </c>
      <c r="E5" s="17">
        <f>SUM(E6:E15)</f>
        <v>3218.2548520986043</v>
      </c>
      <c r="F5" s="17">
        <f>SUM(F6:F15)</f>
        <v>12072.184210279371</v>
      </c>
      <c r="G5" s="18"/>
      <c r="H5" s="17"/>
      <c r="I5" s="17"/>
      <c r="J5" s="17">
        <f>SUM(J6:J15)</f>
        <v>193.78435095963761</v>
      </c>
      <c r="K5" s="17"/>
      <c r="L5" s="17"/>
      <c r="M5" s="17"/>
      <c r="N5" s="17">
        <f>SUM(N6:N15)</f>
        <v>4364.7379799635664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123.92147776027301</v>
      </c>
      <c r="C8" s="33"/>
      <c r="D8" s="37">
        <f>IF( ISERROR(IND_metaal_Gas_kWH/1000),0,IND_metaal_Gas_kWH/1000)*0.902</f>
        <v>0</v>
      </c>
      <c r="E8" s="33">
        <f>C30*'E Balans VL '!I18/100/3.6*1000000</f>
        <v>1.1393383035042863</v>
      </c>
      <c r="F8" s="33">
        <f>C30*'E Balans VL '!L18/100/3.6*1000000+C30*'E Balans VL '!N18/100/3.6*1000000</f>
        <v>11.619708850290259</v>
      </c>
      <c r="G8" s="34"/>
      <c r="H8" s="33"/>
      <c r="I8" s="33"/>
      <c r="J8" s="40">
        <f>C30*'E Balans VL '!D18/100/3.6*1000000+C30*'E Balans VL '!E18/100/3.6*1000000</f>
        <v>0</v>
      </c>
      <c r="K8" s="33"/>
      <c r="L8" s="33"/>
      <c r="M8" s="33"/>
      <c r="N8" s="33">
        <f>C30*'E Balans VL '!Y18/100/3.6*1000000</f>
        <v>1.7679446691161667</v>
      </c>
      <c r="O8" s="33"/>
      <c r="P8" s="33"/>
      <c r="R8" s="32"/>
    </row>
    <row r="9" spans="1:18">
      <c r="A9" s="6" t="s">
        <v>32</v>
      </c>
      <c r="B9" s="37">
        <f t="shared" si="0"/>
        <v>700.80529226901194</v>
      </c>
      <c r="C9" s="33"/>
      <c r="D9" s="37">
        <f>IF( ISERROR(IND_andere_gas_kWh/1000),0,IND_andere_gas_kWh/1000)*0.902</f>
        <v>794.89196221555244</v>
      </c>
      <c r="E9" s="33">
        <f>C31*'E Balans VL '!I19/100/3.6*1000000</f>
        <v>204.85903000008187</v>
      </c>
      <c r="F9" s="33">
        <f>C31*'E Balans VL '!L19/100/3.6*1000000+C31*'E Balans VL '!N19/100/3.6*1000000</f>
        <v>563.15009842458721</v>
      </c>
      <c r="G9" s="34"/>
      <c r="H9" s="33"/>
      <c r="I9" s="33"/>
      <c r="J9" s="40">
        <f>C31*'E Balans VL '!D19/100/3.6*1000000+C31*'E Balans VL '!E19/100/3.6*1000000</f>
        <v>0</v>
      </c>
      <c r="K9" s="33"/>
      <c r="L9" s="33"/>
      <c r="M9" s="33"/>
      <c r="N9" s="33">
        <f>C31*'E Balans VL '!Y19/100/3.6*1000000</f>
        <v>54.970215313649291</v>
      </c>
      <c r="O9" s="33"/>
      <c r="P9" s="33"/>
      <c r="R9" s="32"/>
    </row>
    <row r="10" spans="1:18">
      <c r="A10" s="6" t="s">
        <v>40</v>
      </c>
      <c r="B10" s="37">
        <f t="shared" si="0"/>
        <v>2472.1846059588797</v>
      </c>
      <c r="C10" s="33"/>
      <c r="D10" s="37">
        <f>IF( ISERROR(IND_voed_gas_kWh/1000),0,IND_voed_gas_kWh/1000)*0.902</f>
        <v>5406.4261192364156</v>
      </c>
      <c r="E10" s="33">
        <f>C32*'E Balans VL '!I20/100/3.6*1000000</f>
        <v>5.2299448655823229</v>
      </c>
      <c r="F10" s="33">
        <f>C32*'E Balans VL '!L20/100/3.6*1000000+C32*'E Balans VL '!N20/100/3.6*1000000</f>
        <v>157.18402250938843</v>
      </c>
      <c r="G10" s="34"/>
      <c r="H10" s="33"/>
      <c r="I10" s="33"/>
      <c r="J10" s="40">
        <f>C32*'E Balans VL '!D20/100/3.6*1000000+C32*'E Balans VL '!E20/100/3.6*1000000</f>
        <v>0</v>
      </c>
      <c r="K10" s="33"/>
      <c r="L10" s="33"/>
      <c r="M10" s="33"/>
      <c r="N10" s="33">
        <f>C32*'E Balans VL '!Y20/100/3.6*1000000</f>
        <v>170.60513392496318</v>
      </c>
      <c r="O10" s="33"/>
      <c r="P10" s="33"/>
      <c r="R10" s="32"/>
    </row>
    <row r="11" spans="1:18">
      <c r="A11" s="6" t="s">
        <v>39</v>
      </c>
      <c r="B11" s="37">
        <f t="shared" si="0"/>
        <v>6124.0641543290594</v>
      </c>
      <c r="C11" s="33"/>
      <c r="D11" s="37">
        <f>IF( ISERROR(IND_textiel_gas_kWh/1000),0,IND_textiel_gas_kWh/1000)*0.902</f>
        <v>0</v>
      </c>
      <c r="E11" s="33">
        <f>C33*'E Balans VL '!I21/100/3.6*1000000</f>
        <v>18.187942542523924</v>
      </c>
      <c r="F11" s="33">
        <f>C33*'E Balans VL '!L21/100/3.6*1000000+C33*'E Balans VL '!N21/100/3.6*1000000</f>
        <v>618.69861035867291</v>
      </c>
      <c r="G11" s="34"/>
      <c r="H11" s="33"/>
      <c r="I11" s="33"/>
      <c r="J11" s="40">
        <f>C33*'E Balans VL '!D21/100/3.6*1000000+C33*'E Balans VL '!E21/100/3.6*1000000</f>
        <v>0</v>
      </c>
      <c r="K11" s="33"/>
      <c r="L11" s="33"/>
      <c r="M11" s="33"/>
      <c r="N11" s="33">
        <f>C33*'E Balans VL '!Y21/100/3.6*1000000</f>
        <v>337.76168216942165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371.55119152466017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54129.994490353005</v>
      </c>
      <c r="C15" s="33"/>
      <c r="D15" s="37">
        <f>IF( ISERROR(IND_rest_gas_kWh/1000),0,IND_rest_gas_kWh/1000)*0.902</f>
        <v>23359.30152991366</v>
      </c>
      <c r="E15" s="33">
        <f>C37*'E Balans VL '!I15/100/3.6*1000000</f>
        <v>2988.8385963869118</v>
      </c>
      <c r="F15" s="33">
        <f>C37*'E Balans VL '!L15/100/3.6*1000000+C37*'E Balans VL '!N15/100/3.6*1000000</f>
        <v>10721.531770136433</v>
      </c>
      <c r="G15" s="34"/>
      <c r="H15" s="33"/>
      <c r="I15" s="33"/>
      <c r="J15" s="40">
        <f>C37*'E Balans VL '!D15/100/3.6*1000000+C37*'E Balans VL '!E15/100/3.6*1000000</f>
        <v>193.78435095963761</v>
      </c>
      <c r="K15" s="33"/>
      <c r="L15" s="33"/>
      <c r="M15" s="33"/>
      <c r="N15" s="33">
        <f>C37*'E Balans VL '!Y15/100/3.6*1000000</f>
        <v>3799.6330038864162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63550.970020670225</v>
      </c>
      <c r="C18" s="21">
        <f>C5+C16</f>
        <v>0</v>
      </c>
      <c r="D18" s="21">
        <f>MAX((D5+D16),0)</f>
        <v>29932.170802890287</v>
      </c>
      <c r="E18" s="21">
        <f>MAX((E5+E16),0)</f>
        <v>3218.2548520986043</v>
      </c>
      <c r="F18" s="21">
        <f>MAX((F5+F16),0)</f>
        <v>12072.184210279371</v>
      </c>
      <c r="G18" s="21"/>
      <c r="H18" s="21"/>
      <c r="I18" s="21"/>
      <c r="J18" s="21">
        <f>MAX((J5+J16),0)</f>
        <v>193.78435095963761</v>
      </c>
      <c r="K18" s="21"/>
      <c r="L18" s="21">
        <f>MAX((L5+L16),0)</f>
        <v>0</v>
      </c>
      <c r="M18" s="21"/>
      <c r="N18" s="21">
        <f>MAX((N5+N16),0)</f>
        <v>4364.7379799635664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0.20837802421194457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13242.625569659784</v>
      </c>
      <c r="C22" s="23">
        <f ca="1">C18*C20</f>
        <v>0</v>
      </c>
      <c r="D22" s="23">
        <f>D18*D20</f>
        <v>6046.2985021838385</v>
      </c>
      <c r="E22" s="23">
        <f>E18*E20</f>
        <v>730.54385142638318</v>
      </c>
      <c r="F22" s="23">
        <f>F18*F20</f>
        <v>3223.2731841445921</v>
      </c>
      <c r="G22" s="23"/>
      <c r="H22" s="23"/>
      <c r="I22" s="23"/>
      <c r="J22" s="23">
        <f>J18*J20</f>
        <v>68.59966023971171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123.92147776027301</v>
      </c>
      <c r="C30" s="39">
        <f>IF(ISERROR(B30*3.6/1000000/'E Balans VL '!Z18*100),0,B30*3.6/1000000/'E Balans VL '!Z18*100)</f>
        <v>7.0229479001263926E-3</v>
      </c>
      <c r="D30" s="237" t="s">
        <v>744</v>
      </c>
    </row>
    <row r="31" spans="1:18">
      <c r="A31" s="6" t="s">
        <v>32</v>
      </c>
      <c r="B31" s="37">
        <f>IF( ISERROR(IND_ander_ele_kWh/1000),0,IND_ander_ele_kWh/1000)</f>
        <v>700.80529226901194</v>
      </c>
      <c r="C31" s="39">
        <f>IF(ISERROR(B31*3.6/1000000/'E Balans VL '!Z19*100),0,B31*3.6/1000000/'E Balans VL '!Z19*100)</f>
        <v>3.1785609954874054E-2</v>
      </c>
      <c r="D31" s="237" t="s">
        <v>744</v>
      </c>
    </row>
    <row r="32" spans="1:18">
      <c r="A32" s="171" t="s">
        <v>40</v>
      </c>
      <c r="B32" s="37">
        <f>IF( ISERROR(IND_voed_ele_kWh/1000),0,IND_voed_ele_kWh/1000)</f>
        <v>2472.1846059588797</v>
      </c>
      <c r="C32" s="39">
        <f>IF(ISERROR(B32*3.6/1000000/'E Balans VL '!Z20*100),0,B32*3.6/1000000/'E Balans VL '!Z20*100)</f>
        <v>7.6475892632819051E-2</v>
      </c>
      <c r="D32" s="237" t="s">
        <v>744</v>
      </c>
    </row>
    <row r="33" spans="1:5">
      <c r="A33" s="171" t="s">
        <v>39</v>
      </c>
      <c r="B33" s="37">
        <f>IF( ISERROR(IND_textiel_ele_kWh/1000),0,IND_textiel_ele_kWh/1000)</f>
        <v>6124.0641543290594</v>
      </c>
      <c r="C33" s="39">
        <f>IF(ISERROR(B33*3.6/1000000/'E Balans VL '!Z21*100),0,B33*3.6/1000000/'E Balans VL '!Z21*100)</f>
        <v>0.79850989328517608</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54129.994490353005</v>
      </c>
      <c r="C37" s="39">
        <f>IF(ISERROR(B37*3.6/1000000/'E Balans VL '!Z15*100),0,B37*3.6/1000000/'E Balans VL '!Z15*100)</f>
        <v>0.42904668429165532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541.53484403657239</v>
      </c>
      <c r="C5" s="17">
        <f>'Eigen informatie GS &amp; warmtenet'!B60</f>
        <v>0</v>
      </c>
      <c r="D5" s="30">
        <f>IF(ISERROR(SUM(LB_lb_gas_kWh,LB_rest_gas_kWh)/1000),0,SUM(LB_lb_gas_kWh,LB_rest_gas_kWh)/1000)*0.902</f>
        <v>293.89048425227975</v>
      </c>
      <c r="E5" s="17">
        <f>B17*'E Balans VL '!I25/3.6*1000000/100</f>
        <v>15.917363104560133</v>
      </c>
      <c r="F5" s="17">
        <f>B17*('E Balans VL '!L25/3.6*1000000+'E Balans VL '!N25/3.6*1000000)/100</f>
        <v>2256.004897249336</v>
      </c>
      <c r="G5" s="18"/>
      <c r="H5" s="17"/>
      <c r="I5" s="17"/>
      <c r="J5" s="17">
        <f>('E Balans VL '!D25+'E Balans VL '!E25)/3.6*1000000*landbouw!B17/100</f>
        <v>78.456769307001011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541.53484403657239</v>
      </c>
      <c r="C8" s="21">
        <f>C5+C6</f>
        <v>0</v>
      </c>
      <c r="D8" s="21">
        <f>MAX((D5+D6),0)</f>
        <v>293.89048425227975</v>
      </c>
      <c r="E8" s="21">
        <f>MAX((E5+E6),0)</f>
        <v>15.917363104560133</v>
      </c>
      <c r="F8" s="21">
        <f>MAX((F5+F6),0)</f>
        <v>2256.004897249336</v>
      </c>
      <c r="G8" s="21"/>
      <c r="H8" s="21"/>
      <c r="I8" s="21"/>
      <c r="J8" s="21">
        <f>MAX((J5+J6),0)</f>
        <v>78.456769307001011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0.20837802421194457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112.84396084226451</v>
      </c>
      <c r="C12" s="23">
        <f ca="1">C8*C10</f>
        <v>0</v>
      </c>
      <c r="D12" s="23">
        <f>D8*D10</f>
        <v>59.365877818960513</v>
      </c>
      <c r="E12" s="23">
        <f>E8*E10</f>
        <v>3.6132414247351501</v>
      </c>
      <c r="F12" s="23">
        <f>F8*F10</f>
        <v>602.35330756557278</v>
      </c>
      <c r="G12" s="23"/>
      <c r="H12" s="23"/>
      <c r="I12" s="23"/>
      <c r="J12" s="23">
        <f>J8*J10</f>
        <v>27.773696334678355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7.6845493382548161E-2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158.55218443560057</v>
      </c>
      <c r="C26" s="247">
        <f>B26*'GWP N2O_CH4'!B5</f>
        <v>3329.5958731476121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27.007361936654757</v>
      </c>
      <c r="C27" s="247">
        <f>B27*'GWP N2O_CH4'!B5</f>
        <v>567.15460066974993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1.8064830325065837</v>
      </c>
      <c r="C28" s="247">
        <f>B28*'GWP N2O_CH4'!B4</f>
        <v>560.00974007704099</v>
      </c>
      <c r="D28" s="50"/>
    </row>
    <row r="29" spans="1:4">
      <c r="A29" s="41" t="s">
        <v>276</v>
      </c>
      <c r="B29" s="247">
        <f>B34*'ha_N2O bodem landbouw'!B4</f>
        <v>7.5212138850822541</v>
      </c>
      <c r="C29" s="247">
        <f>B29*'GWP N2O_CH4'!B4</f>
        <v>2331.5763043754987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1.7163150893196504E-3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9.0274593436031499E-5</v>
      </c>
      <c r="C5" s="437" t="s">
        <v>210</v>
      </c>
      <c r="D5" s="422">
        <f>SUM(D6:D11)</f>
        <v>3.2932694030922204E-4</v>
      </c>
      <c r="E5" s="422">
        <f>SUM(E6:E11)</f>
        <v>5.4302171629754513E-4</v>
      </c>
      <c r="F5" s="435" t="s">
        <v>210</v>
      </c>
      <c r="G5" s="422">
        <f>SUM(G6:G11)</f>
        <v>0.19711238119912478</v>
      </c>
      <c r="H5" s="422">
        <f>SUM(H6:H11)</f>
        <v>5.4988342030130657E-2</v>
      </c>
      <c r="I5" s="437" t="s">
        <v>210</v>
      </c>
      <c r="J5" s="437" t="s">
        <v>210</v>
      </c>
      <c r="K5" s="437" t="s">
        <v>210</v>
      </c>
      <c r="L5" s="437" t="s">
        <v>210</v>
      </c>
      <c r="M5" s="422">
        <f>SUM(M6:M11)</f>
        <v>1.3135272487552266E-2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2.8536598488503398E-5</v>
      </c>
      <c r="C6" s="423"/>
      <c r="D6" s="865">
        <f>vkm_GW_PW*SUMIFS(TableVerdeelsleutelVkm[CNG],TableVerdeelsleutelVkm[Voertuigtype],"Lichte voertuigen")*SUMIFS(TableECFTransport[EnergieConsumptieFactor (PJ per km)],TableECFTransport[Index],CONCATENATE($A6,"_CNG_CNG"))</f>
        <v>7.0720658792208462E-5</v>
      </c>
      <c r="E6" s="865">
        <f>vkm_GW_PW*SUMIFS(TableVerdeelsleutelVkm[LPG],TableVerdeelsleutelVkm[Voertuigtype],"Lichte voertuigen")*SUMIFS(TableECFTransport[EnergieConsumptieFactor (PJ per km)],TableECFTransport[Index],CONCATENATE($A6,"_LPG_LPG"))</f>
        <v>1.2140971122064911E-4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3.720169862474814E-2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1.201573535870679E-2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2.5272793947180988E-3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1.7784935972154321E-2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2.9750962844440949E-7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1.0390947729055342E-3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6.1737994947528102E-5</v>
      </c>
      <c r="C8" s="423"/>
      <c r="D8" s="425">
        <f>vkm_NGW_PW*SUMIFS(TableVerdeelsleutelVkm[CNG],TableVerdeelsleutelVkm[Voertuigtype],"Lichte voertuigen")*SUMIFS(TableECFTransport[EnergieConsumptieFactor (PJ per km)],TableECFTransport[Index],CONCATENATE($A8,"_CNG_CNG"))</f>
        <v>2.5860628151701357E-4</v>
      </c>
      <c r="E8" s="425">
        <f>vkm_NGW_PW*SUMIFS(TableVerdeelsleutelVkm[LPG],TableVerdeelsleutelVkm[Voertuigtype],"Lichte voertuigen")*SUMIFS(TableECFTransport[EnergieConsumptieFactor (PJ per km)],TableECFTransport[Index],CONCATENATE($A8,"_LPG_LPG"))</f>
        <v>4.2161200507689602E-4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0.12151858639599428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4.2971884511243993E-2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8.3649111736321217E-3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2.0607160206228062E-2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4.2465055142801E-7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1.2039871462965113E-3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25.076275954453195</v>
      </c>
      <c r="C14" s="21"/>
      <c r="D14" s="21">
        <f t="shared" ref="D14:M14" si="0">((D5)*10^9/3600)+D12</f>
        <v>91.479705641450565</v>
      </c>
      <c r="E14" s="21">
        <f t="shared" si="0"/>
        <v>150.83936563820697</v>
      </c>
      <c r="F14" s="21"/>
      <c r="G14" s="21">
        <f t="shared" si="0"/>
        <v>54753.439221979104</v>
      </c>
      <c r="H14" s="21">
        <f t="shared" si="0"/>
        <v>15274.539452814071</v>
      </c>
      <c r="I14" s="21"/>
      <c r="J14" s="21"/>
      <c r="K14" s="21"/>
      <c r="L14" s="21"/>
      <c r="M14" s="21">
        <f t="shared" si="0"/>
        <v>3648.6868020978518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0.20837802421194457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5.2253448379824512</v>
      </c>
      <c r="C18" s="23"/>
      <c r="D18" s="23">
        <f t="shared" ref="D18:M18" si="1">D14*D16</f>
        <v>18.478900539573015</v>
      </c>
      <c r="E18" s="23">
        <f t="shared" si="1"/>
        <v>34.240535999872982</v>
      </c>
      <c r="F18" s="23"/>
      <c r="G18" s="23">
        <f t="shared" si="1"/>
        <v>14619.168272268422</v>
      </c>
      <c r="H18" s="23">
        <f t="shared" si="1"/>
        <v>3803.3603237507036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1.5377227200281463E-3</v>
      </c>
      <c r="H50" s="319">
        <f t="shared" si="2"/>
        <v>0</v>
      </c>
      <c r="I50" s="319">
        <f t="shared" si="2"/>
        <v>0</v>
      </c>
      <c r="J50" s="319">
        <f t="shared" si="2"/>
        <v>0</v>
      </c>
      <c r="K50" s="319">
        <f t="shared" si="2"/>
        <v>0</v>
      </c>
      <c r="L50" s="319">
        <f t="shared" si="2"/>
        <v>0</v>
      </c>
      <c r="M50" s="319">
        <f t="shared" si="2"/>
        <v>8.7329264826809154E-5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1.5377227200281463E-3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8.7329264826809154E-5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427.14520000781846</v>
      </c>
      <c r="H54" s="21">
        <f t="shared" si="3"/>
        <v>0</v>
      </c>
      <c r="I54" s="21">
        <f t="shared" si="3"/>
        <v>0</v>
      </c>
      <c r="J54" s="21">
        <f t="shared" si="3"/>
        <v>0</v>
      </c>
      <c r="K54" s="21">
        <f t="shared" si="3"/>
        <v>0</v>
      </c>
      <c r="L54" s="21">
        <f t="shared" si="3"/>
        <v>0</v>
      </c>
      <c r="M54" s="21">
        <f t="shared" si="3"/>
        <v>24.258129118558099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0.20837802421194457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114.04776840208754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28831.984250514808</v>
      </c>
      <c r="D10" s="979">
        <f ca="1">tertiair!C16</f>
        <v>0</v>
      </c>
      <c r="E10" s="979">
        <f ca="1">tertiair!D16</f>
        <v>15917.399646335976</v>
      </c>
      <c r="F10" s="979">
        <f>tertiair!E16</f>
        <v>266.34319183088979</v>
      </c>
      <c r="G10" s="979">
        <f ca="1">tertiair!F16</f>
        <v>5942.3427318658059</v>
      </c>
      <c r="H10" s="979">
        <f>tertiair!G16</f>
        <v>0</v>
      </c>
      <c r="I10" s="979">
        <f>tertiair!H16</f>
        <v>0</v>
      </c>
      <c r="J10" s="979">
        <f>tertiair!I16</f>
        <v>0</v>
      </c>
      <c r="K10" s="979">
        <f>tertiair!J16</f>
        <v>0.29834651737960921</v>
      </c>
      <c r="L10" s="979">
        <f>tertiair!K16</f>
        <v>0</v>
      </c>
      <c r="M10" s="979">
        <f ca="1">tertiair!L16</f>
        <v>0</v>
      </c>
      <c r="N10" s="979">
        <f>tertiair!M16</f>
        <v>0</v>
      </c>
      <c r="O10" s="979">
        <f ca="1">tertiair!N16</f>
        <v>11699.903999752665</v>
      </c>
      <c r="P10" s="979">
        <f>tertiair!O16</f>
        <v>3.1266666666666669</v>
      </c>
      <c r="Q10" s="980">
        <f>tertiair!P16</f>
        <v>95.333333333333343</v>
      </c>
      <c r="R10" s="674">
        <f ca="1">SUM(C10:Q10)</f>
        <v>62756.732166817528</v>
      </c>
      <c r="S10" s="67"/>
    </row>
    <row r="11" spans="1:19" s="447" customFormat="1">
      <c r="A11" s="783" t="s">
        <v>224</v>
      </c>
      <c r="B11" s="788"/>
      <c r="C11" s="979">
        <f>huishoudens!B8</f>
        <v>26505.286762787786</v>
      </c>
      <c r="D11" s="979">
        <f>huishoudens!C8</f>
        <v>0</v>
      </c>
      <c r="E11" s="979">
        <f>huishoudens!D8</f>
        <v>52606.461188963993</v>
      </c>
      <c r="F11" s="979">
        <f>huishoudens!E8</f>
        <v>6871.7115613183123</v>
      </c>
      <c r="G11" s="979">
        <f>huishoudens!F8</f>
        <v>20321.35562057055</v>
      </c>
      <c r="H11" s="979">
        <f>huishoudens!G8</f>
        <v>0</v>
      </c>
      <c r="I11" s="979">
        <f>huishoudens!H8</f>
        <v>0</v>
      </c>
      <c r="J11" s="979">
        <f>huishoudens!I8</f>
        <v>0</v>
      </c>
      <c r="K11" s="979">
        <f>huishoudens!J8</f>
        <v>0</v>
      </c>
      <c r="L11" s="979">
        <f>huishoudens!K8</f>
        <v>0</v>
      </c>
      <c r="M11" s="979">
        <f>huishoudens!L8</f>
        <v>0</v>
      </c>
      <c r="N11" s="979">
        <f>huishoudens!M8</f>
        <v>0</v>
      </c>
      <c r="O11" s="979">
        <f>huishoudens!N8</f>
        <v>8340.2355879210154</v>
      </c>
      <c r="P11" s="979">
        <f>huishoudens!O8</f>
        <v>228.2466666666667</v>
      </c>
      <c r="Q11" s="980">
        <f>huishoudens!P8</f>
        <v>972.4</v>
      </c>
      <c r="R11" s="674">
        <f>SUM(C11:Q11)</f>
        <v>115845.69738822832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63550.970020670225</v>
      </c>
      <c r="D13" s="979">
        <f>industrie!C18</f>
        <v>0</v>
      </c>
      <c r="E13" s="979">
        <f>industrie!D18</f>
        <v>29932.170802890287</v>
      </c>
      <c r="F13" s="979">
        <f>industrie!E18</f>
        <v>3218.2548520986043</v>
      </c>
      <c r="G13" s="979">
        <f>industrie!F18</f>
        <v>12072.184210279371</v>
      </c>
      <c r="H13" s="979">
        <f>industrie!G18</f>
        <v>0</v>
      </c>
      <c r="I13" s="979">
        <f>industrie!H18</f>
        <v>0</v>
      </c>
      <c r="J13" s="979">
        <f>industrie!I18</f>
        <v>0</v>
      </c>
      <c r="K13" s="979">
        <f>industrie!J18</f>
        <v>193.78435095963761</v>
      </c>
      <c r="L13" s="979">
        <f>industrie!K18</f>
        <v>0</v>
      </c>
      <c r="M13" s="979">
        <f>industrie!L18</f>
        <v>0</v>
      </c>
      <c r="N13" s="979">
        <f>industrie!M18</f>
        <v>0</v>
      </c>
      <c r="O13" s="979">
        <f>industrie!N18</f>
        <v>4364.7379799635664</v>
      </c>
      <c r="P13" s="979">
        <f>industrie!O18</f>
        <v>0</v>
      </c>
      <c r="Q13" s="980">
        <f>industrie!P18</f>
        <v>0</v>
      </c>
      <c r="R13" s="674">
        <f>SUM(C13:Q13)</f>
        <v>113332.10221686169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118888.24103397282</v>
      </c>
      <c r="D16" s="706">
        <f t="shared" ref="D16:R16" ca="1" si="0">SUM(D9:D15)</f>
        <v>0</v>
      </c>
      <c r="E16" s="706">
        <f t="shared" ca="1" si="0"/>
        <v>98456.031638190267</v>
      </c>
      <c r="F16" s="706">
        <f t="shared" si="0"/>
        <v>10356.309605247807</v>
      </c>
      <c r="G16" s="706">
        <f t="shared" ca="1" si="0"/>
        <v>38335.882562715728</v>
      </c>
      <c r="H16" s="706">
        <f t="shared" si="0"/>
        <v>0</v>
      </c>
      <c r="I16" s="706">
        <f t="shared" si="0"/>
        <v>0</v>
      </c>
      <c r="J16" s="706">
        <f t="shared" si="0"/>
        <v>0</v>
      </c>
      <c r="K16" s="706">
        <f t="shared" si="0"/>
        <v>194.08269747701721</v>
      </c>
      <c r="L16" s="706">
        <f t="shared" si="0"/>
        <v>0</v>
      </c>
      <c r="M16" s="706">
        <f t="shared" ca="1" si="0"/>
        <v>0</v>
      </c>
      <c r="N16" s="706">
        <f t="shared" si="0"/>
        <v>0</v>
      </c>
      <c r="O16" s="706">
        <f t="shared" ca="1" si="0"/>
        <v>24404.877567637246</v>
      </c>
      <c r="P16" s="706">
        <f t="shared" si="0"/>
        <v>231.37333333333336</v>
      </c>
      <c r="Q16" s="706">
        <f t="shared" si="0"/>
        <v>1067.7333333333333</v>
      </c>
      <c r="R16" s="706">
        <f t="shared" ca="1" si="0"/>
        <v>291934.53177190752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427.14520000781846</v>
      </c>
      <c r="I19" s="979">
        <f>transport!H54</f>
        <v>0</v>
      </c>
      <c r="J19" s="979">
        <f>transport!I54</f>
        <v>0</v>
      </c>
      <c r="K19" s="979">
        <f>transport!J54</f>
        <v>0</v>
      </c>
      <c r="L19" s="979">
        <f>transport!K54</f>
        <v>0</v>
      </c>
      <c r="M19" s="979">
        <f>transport!L54</f>
        <v>0</v>
      </c>
      <c r="N19" s="979">
        <f>transport!M54</f>
        <v>24.258129118558099</v>
      </c>
      <c r="O19" s="979">
        <f>transport!N54</f>
        <v>0</v>
      </c>
      <c r="P19" s="979">
        <f>transport!O54</f>
        <v>0</v>
      </c>
      <c r="Q19" s="980">
        <f>transport!P54</f>
        <v>0</v>
      </c>
      <c r="R19" s="674">
        <f>SUM(C19:Q19)</f>
        <v>451.40332912637655</v>
      </c>
      <c r="S19" s="67"/>
    </row>
    <row r="20" spans="1:19" s="447" customFormat="1">
      <c r="A20" s="783" t="s">
        <v>306</v>
      </c>
      <c r="B20" s="788"/>
      <c r="C20" s="979">
        <f>transport!B14</f>
        <v>25.076275954453195</v>
      </c>
      <c r="D20" s="979">
        <f>transport!C14</f>
        <v>0</v>
      </c>
      <c r="E20" s="979">
        <f>transport!D14</f>
        <v>91.479705641450565</v>
      </c>
      <c r="F20" s="979">
        <f>transport!E14</f>
        <v>150.83936563820697</v>
      </c>
      <c r="G20" s="979">
        <f>transport!F14</f>
        <v>0</v>
      </c>
      <c r="H20" s="979">
        <f>transport!G14</f>
        <v>54753.439221979104</v>
      </c>
      <c r="I20" s="979">
        <f>transport!H14</f>
        <v>15274.539452814071</v>
      </c>
      <c r="J20" s="979">
        <f>transport!I14</f>
        <v>0</v>
      </c>
      <c r="K20" s="979">
        <f>transport!J14</f>
        <v>0</v>
      </c>
      <c r="L20" s="979">
        <f>transport!K14</f>
        <v>0</v>
      </c>
      <c r="M20" s="979">
        <f>transport!L14</f>
        <v>0</v>
      </c>
      <c r="N20" s="979">
        <f>transport!M14</f>
        <v>3648.6868020978518</v>
      </c>
      <c r="O20" s="979">
        <f>transport!N14</f>
        <v>0</v>
      </c>
      <c r="P20" s="979">
        <f>transport!O14</f>
        <v>0</v>
      </c>
      <c r="Q20" s="980">
        <f>transport!P14</f>
        <v>0</v>
      </c>
      <c r="R20" s="674">
        <f>SUM(C20:Q20)</f>
        <v>73944.060824125147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25.076275954453195</v>
      </c>
      <c r="D22" s="786">
        <f t="shared" ref="D22:R22" si="1">SUM(D18:D21)</f>
        <v>0</v>
      </c>
      <c r="E22" s="786">
        <f t="shared" si="1"/>
        <v>91.479705641450565</v>
      </c>
      <c r="F22" s="786">
        <f t="shared" si="1"/>
        <v>150.83936563820697</v>
      </c>
      <c r="G22" s="786">
        <f t="shared" si="1"/>
        <v>0</v>
      </c>
      <c r="H22" s="786">
        <f t="shared" si="1"/>
        <v>55180.584421986925</v>
      </c>
      <c r="I22" s="786">
        <f t="shared" si="1"/>
        <v>15274.539452814071</v>
      </c>
      <c r="J22" s="786">
        <f t="shared" si="1"/>
        <v>0</v>
      </c>
      <c r="K22" s="786">
        <f t="shared" si="1"/>
        <v>0</v>
      </c>
      <c r="L22" s="786">
        <f t="shared" si="1"/>
        <v>0</v>
      </c>
      <c r="M22" s="786">
        <f t="shared" si="1"/>
        <v>0</v>
      </c>
      <c r="N22" s="786">
        <f t="shared" si="1"/>
        <v>3672.9449312164097</v>
      </c>
      <c r="O22" s="786">
        <f t="shared" si="1"/>
        <v>0</v>
      </c>
      <c r="P22" s="786">
        <f t="shared" si="1"/>
        <v>0</v>
      </c>
      <c r="Q22" s="786">
        <f t="shared" si="1"/>
        <v>0</v>
      </c>
      <c r="R22" s="786">
        <f t="shared" si="1"/>
        <v>74395.464153251523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541.53484403657239</v>
      </c>
      <c r="D24" s="979">
        <f>+landbouw!C8</f>
        <v>0</v>
      </c>
      <c r="E24" s="979">
        <f>+landbouw!D8</f>
        <v>293.89048425227975</v>
      </c>
      <c r="F24" s="979">
        <f>+landbouw!E8</f>
        <v>15.917363104560133</v>
      </c>
      <c r="G24" s="979">
        <f>+landbouw!F8</f>
        <v>2256.004897249336</v>
      </c>
      <c r="H24" s="979">
        <f>+landbouw!G8</f>
        <v>0</v>
      </c>
      <c r="I24" s="979">
        <f>+landbouw!H8</f>
        <v>0</v>
      </c>
      <c r="J24" s="979">
        <f>+landbouw!I8</f>
        <v>0</v>
      </c>
      <c r="K24" s="979">
        <f>+landbouw!J8</f>
        <v>78.456769307001011</v>
      </c>
      <c r="L24" s="979">
        <f>+landbouw!K8</f>
        <v>0</v>
      </c>
      <c r="M24" s="979">
        <f>+landbouw!L8</f>
        <v>0</v>
      </c>
      <c r="N24" s="979">
        <f>+landbouw!M8</f>
        <v>0</v>
      </c>
      <c r="O24" s="979">
        <f>+landbouw!N8</f>
        <v>0</v>
      </c>
      <c r="P24" s="979">
        <f>+landbouw!O8</f>
        <v>0</v>
      </c>
      <c r="Q24" s="980">
        <f>+landbouw!P8</f>
        <v>0</v>
      </c>
      <c r="R24" s="674">
        <f>SUM(C24:Q24)</f>
        <v>3185.8043579497494</v>
      </c>
      <c r="S24" s="67"/>
    </row>
    <row r="25" spans="1:19" s="447" customFormat="1" ht="15" thickBot="1">
      <c r="A25" s="805" t="s">
        <v>823</v>
      </c>
      <c r="B25" s="982"/>
      <c r="C25" s="983">
        <f>IF(Onbekend_ele_kWh="---",0,Onbekend_ele_kWh)/1000+IF(REST_rest_ele_kWh="---",0,REST_rest_ele_kWh)/1000</f>
        <v>2056.9801154136499</v>
      </c>
      <c r="D25" s="983"/>
      <c r="E25" s="983">
        <f>IF(onbekend_gas_kWh="---",0,onbekend_gas_kWh)/1000+IF(REST_rest_gas_kWh="---",0,REST_rest_gas_kWh)/1000</f>
        <v>1781.74131281786</v>
      </c>
      <c r="F25" s="983"/>
      <c r="G25" s="983"/>
      <c r="H25" s="983"/>
      <c r="I25" s="983"/>
      <c r="J25" s="983"/>
      <c r="K25" s="983"/>
      <c r="L25" s="983"/>
      <c r="M25" s="983"/>
      <c r="N25" s="983"/>
      <c r="O25" s="983"/>
      <c r="P25" s="983"/>
      <c r="Q25" s="984"/>
      <c r="R25" s="674">
        <f>SUM(C25:Q25)</f>
        <v>3838.7214282315099</v>
      </c>
      <c r="S25" s="67"/>
    </row>
    <row r="26" spans="1:19" s="447" customFormat="1" ht="15.75" thickBot="1">
      <c r="A26" s="679" t="s">
        <v>824</v>
      </c>
      <c r="B26" s="791"/>
      <c r="C26" s="786">
        <f>SUM(C24:C25)</f>
        <v>2598.5149594502222</v>
      </c>
      <c r="D26" s="786">
        <f t="shared" ref="D26:R26" si="2">SUM(D24:D25)</f>
        <v>0</v>
      </c>
      <c r="E26" s="786">
        <f t="shared" si="2"/>
        <v>2075.6317970701398</v>
      </c>
      <c r="F26" s="786">
        <f t="shared" si="2"/>
        <v>15.917363104560133</v>
      </c>
      <c r="G26" s="786">
        <f t="shared" si="2"/>
        <v>2256.004897249336</v>
      </c>
      <c r="H26" s="786">
        <f t="shared" si="2"/>
        <v>0</v>
      </c>
      <c r="I26" s="786">
        <f t="shared" si="2"/>
        <v>0</v>
      </c>
      <c r="J26" s="786">
        <f t="shared" si="2"/>
        <v>0</v>
      </c>
      <c r="K26" s="786">
        <f t="shared" si="2"/>
        <v>78.456769307001011</v>
      </c>
      <c r="L26" s="786">
        <f t="shared" si="2"/>
        <v>0</v>
      </c>
      <c r="M26" s="786">
        <f t="shared" si="2"/>
        <v>0</v>
      </c>
      <c r="N26" s="786">
        <f t="shared" si="2"/>
        <v>0</v>
      </c>
      <c r="O26" s="786">
        <f t="shared" si="2"/>
        <v>0</v>
      </c>
      <c r="P26" s="786">
        <f t="shared" si="2"/>
        <v>0</v>
      </c>
      <c r="Q26" s="786">
        <f t="shared" si="2"/>
        <v>0</v>
      </c>
      <c r="R26" s="786">
        <f t="shared" si="2"/>
        <v>7024.5257861812588</v>
      </c>
      <c r="S26" s="67"/>
    </row>
    <row r="27" spans="1:19" s="447" customFormat="1" ht="17.25" thickTop="1" thickBot="1">
      <c r="A27" s="680" t="s">
        <v>115</v>
      </c>
      <c r="B27" s="779"/>
      <c r="C27" s="681">
        <f ca="1">C22+C16+C26</f>
        <v>121511.83226937751</v>
      </c>
      <c r="D27" s="681">
        <f t="shared" ref="D27:R27" ca="1" si="3">D22+D16+D26</f>
        <v>0</v>
      </c>
      <c r="E27" s="681">
        <f t="shared" ca="1" si="3"/>
        <v>100623.14314090186</v>
      </c>
      <c r="F27" s="681">
        <f t="shared" si="3"/>
        <v>10523.066333990573</v>
      </c>
      <c r="G27" s="681">
        <f t="shared" ca="1" si="3"/>
        <v>40591.887459965066</v>
      </c>
      <c r="H27" s="681">
        <f t="shared" si="3"/>
        <v>55180.584421986925</v>
      </c>
      <c r="I27" s="681">
        <f t="shared" si="3"/>
        <v>15274.539452814071</v>
      </c>
      <c r="J27" s="681">
        <f t="shared" si="3"/>
        <v>0</v>
      </c>
      <c r="K27" s="681">
        <f t="shared" si="3"/>
        <v>272.5394667840182</v>
      </c>
      <c r="L27" s="681">
        <f t="shared" si="3"/>
        <v>0</v>
      </c>
      <c r="M27" s="681">
        <f t="shared" ca="1" si="3"/>
        <v>0</v>
      </c>
      <c r="N27" s="681">
        <f t="shared" si="3"/>
        <v>3672.9449312164097</v>
      </c>
      <c r="O27" s="681">
        <f t="shared" ca="1" si="3"/>
        <v>24404.877567637246</v>
      </c>
      <c r="P27" s="681">
        <f t="shared" si="3"/>
        <v>231.37333333333336</v>
      </c>
      <c r="Q27" s="681">
        <f t="shared" si="3"/>
        <v>1067.7333333333333</v>
      </c>
      <c r="R27" s="681">
        <f t="shared" ca="1" si="3"/>
        <v>373354.52171134035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6007.951912232179</v>
      </c>
      <c r="D40" s="979">
        <f ca="1">tertiair!C20</f>
        <v>0</v>
      </c>
      <c r="E40" s="979">
        <f ca="1">tertiair!D20</f>
        <v>3215.3147285598675</v>
      </c>
      <c r="F40" s="979">
        <f>tertiair!E20</f>
        <v>60.459904545611984</v>
      </c>
      <c r="G40" s="979">
        <f ca="1">tertiair!F20</f>
        <v>1586.6055094081703</v>
      </c>
      <c r="H40" s="979">
        <f>tertiair!G20</f>
        <v>0</v>
      </c>
      <c r="I40" s="979">
        <f>tertiair!H20</f>
        <v>0</v>
      </c>
      <c r="J40" s="979">
        <f>tertiair!I20</f>
        <v>0</v>
      </c>
      <c r="K40" s="979">
        <f>tertiair!J20</f>
        <v>0.10561466715238166</v>
      </c>
      <c r="L40" s="979">
        <f>tertiair!K20</f>
        <v>0</v>
      </c>
      <c r="M40" s="979">
        <f ca="1">tertiair!L20</f>
        <v>0</v>
      </c>
      <c r="N40" s="979">
        <f>tertiair!M20</f>
        <v>0</v>
      </c>
      <c r="O40" s="979">
        <f ca="1">tertiair!N20</f>
        <v>0</v>
      </c>
      <c r="P40" s="979">
        <f>tertiair!O20</f>
        <v>0</v>
      </c>
      <c r="Q40" s="748">
        <f>tertiair!P20</f>
        <v>0</v>
      </c>
      <c r="R40" s="824">
        <f t="shared" ca="1" si="4"/>
        <v>10870.437669412981</v>
      </c>
    </row>
    <row r="41" spans="1:18">
      <c r="A41" s="796" t="s">
        <v>224</v>
      </c>
      <c r="B41" s="803"/>
      <c r="C41" s="979">
        <f ca="1">huishoudens!B12</f>
        <v>5523.1192868007274</v>
      </c>
      <c r="D41" s="979">
        <f ca="1">huishoudens!C12</f>
        <v>0</v>
      </c>
      <c r="E41" s="979">
        <f>huishoudens!D12</f>
        <v>10626.505160170727</v>
      </c>
      <c r="F41" s="979">
        <f>huishoudens!E12</f>
        <v>1559.878524419257</v>
      </c>
      <c r="G41" s="979">
        <f>huishoudens!F12</f>
        <v>5425.8019506923374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23135.304922083051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13242.625569659784</v>
      </c>
      <c r="D43" s="979">
        <f ca="1">industrie!C22</f>
        <v>0</v>
      </c>
      <c r="E43" s="979">
        <f>industrie!D22</f>
        <v>6046.2985021838385</v>
      </c>
      <c r="F43" s="979">
        <f>industrie!E22</f>
        <v>730.54385142638318</v>
      </c>
      <c r="G43" s="979">
        <f>industrie!F22</f>
        <v>3223.2731841445921</v>
      </c>
      <c r="H43" s="979">
        <f>industrie!G22</f>
        <v>0</v>
      </c>
      <c r="I43" s="979">
        <f>industrie!H22</f>
        <v>0</v>
      </c>
      <c r="J43" s="979">
        <f>industrie!I22</f>
        <v>0</v>
      </c>
      <c r="K43" s="979">
        <f>industrie!J22</f>
        <v>68.59966023971171</v>
      </c>
      <c r="L43" s="979">
        <f>industrie!K22</f>
        <v>0</v>
      </c>
      <c r="M43" s="979">
        <f>industrie!L22</f>
        <v>0</v>
      </c>
      <c r="N43" s="979">
        <f>industrie!M22</f>
        <v>0</v>
      </c>
      <c r="O43" s="979">
        <f>industrie!N22</f>
        <v>0</v>
      </c>
      <c r="P43" s="979">
        <f>industrie!O22</f>
        <v>0</v>
      </c>
      <c r="Q43" s="748">
        <f>industrie!P22</f>
        <v>0</v>
      </c>
      <c r="R43" s="823">
        <f t="shared" ca="1" si="4"/>
        <v>23311.34076765431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24773.696768692691</v>
      </c>
      <c r="D46" s="706">
        <f t="shared" ref="D46:Q46" ca="1" si="5">SUM(D39:D45)</f>
        <v>0</v>
      </c>
      <c r="E46" s="706">
        <f t="shared" ca="1" si="5"/>
        <v>19888.118390914435</v>
      </c>
      <c r="F46" s="706">
        <f t="shared" si="5"/>
        <v>2350.8822803912522</v>
      </c>
      <c r="G46" s="706">
        <f t="shared" ca="1" si="5"/>
        <v>10235.6806442451</v>
      </c>
      <c r="H46" s="706">
        <f t="shared" si="5"/>
        <v>0</v>
      </c>
      <c r="I46" s="706">
        <f t="shared" si="5"/>
        <v>0</v>
      </c>
      <c r="J46" s="706">
        <f t="shared" si="5"/>
        <v>0</v>
      </c>
      <c r="K46" s="706">
        <f t="shared" si="5"/>
        <v>68.705274906864091</v>
      </c>
      <c r="L46" s="706">
        <f t="shared" si="5"/>
        <v>0</v>
      </c>
      <c r="M46" s="706">
        <f t="shared" ca="1" si="5"/>
        <v>0</v>
      </c>
      <c r="N46" s="706">
        <f t="shared" si="5"/>
        <v>0</v>
      </c>
      <c r="O46" s="706">
        <f t="shared" ca="1" si="5"/>
        <v>0</v>
      </c>
      <c r="P46" s="706">
        <f t="shared" si="5"/>
        <v>0</v>
      </c>
      <c r="Q46" s="706">
        <f t="shared" si="5"/>
        <v>0</v>
      </c>
      <c r="R46" s="706">
        <f ca="1">SUM(R39:R45)</f>
        <v>57317.083359150347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114.04776840208754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114.04776840208754</v>
      </c>
    </row>
    <row r="50" spans="1:18">
      <c r="A50" s="799" t="s">
        <v>306</v>
      </c>
      <c r="B50" s="809"/>
      <c r="C50" s="677">
        <f ca="1">transport!B18</f>
        <v>5.2253448379824512</v>
      </c>
      <c r="D50" s="677">
        <f>transport!C18</f>
        <v>0</v>
      </c>
      <c r="E50" s="677">
        <f>transport!D18</f>
        <v>18.478900539573015</v>
      </c>
      <c r="F50" s="677">
        <f>transport!E18</f>
        <v>34.240535999872982</v>
      </c>
      <c r="G50" s="677">
        <f>transport!F18</f>
        <v>0</v>
      </c>
      <c r="H50" s="677">
        <f>transport!G18</f>
        <v>14619.168272268422</v>
      </c>
      <c r="I50" s="677">
        <f>transport!H18</f>
        <v>3803.3603237507036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18480.473377396553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5.2253448379824512</v>
      </c>
      <c r="D52" s="706">
        <f t="shared" ref="D52:Q52" ca="1" si="6">SUM(D48:D51)</f>
        <v>0</v>
      </c>
      <c r="E52" s="706">
        <f t="shared" si="6"/>
        <v>18.478900539573015</v>
      </c>
      <c r="F52" s="706">
        <f t="shared" si="6"/>
        <v>34.240535999872982</v>
      </c>
      <c r="G52" s="706">
        <f t="shared" si="6"/>
        <v>0</v>
      </c>
      <c r="H52" s="706">
        <f t="shared" si="6"/>
        <v>14733.21604067051</v>
      </c>
      <c r="I52" s="706">
        <f t="shared" si="6"/>
        <v>3803.3603237507036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18594.521145798641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112.84396084226451</v>
      </c>
      <c r="D54" s="677">
        <f ca="1">+landbouw!C12</f>
        <v>0</v>
      </c>
      <c r="E54" s="677">
        <f>+landbouw!D12</f>
        <v>59.365877818960513</v>
      </c>
      <c r="F54" s="677">
        <f>+landbouw!E12</f>
        <v>3.6132414247351501</v>
      </c>
      <c r="G54" s="677">
        <f>+landbouw!F12</f>
        <v>602.35330756557278</v>
      </c>
      <c r="H54" s="677">
        <f>+landbouw!G12</f>
        <v>0</v>
      </c>
      <c r="I54" s="677">
        <f>+landbouw!H12</f>
        <v>0</v>
      </c>
      <c r="J54" s="677">
        <f>+landbouw!I12</f>
        <v>0</v>
      </c>
      <c r="K54" s="677">
        <f>+landbouw!J12</f>
        <v>27.773696334678355</v>
      </c>
      <c r="L54" s="677">
        <f>+landbouw!K12</f>
        <v>0</v>
      </c>
      <c r="M54" s="677">
        <f>+landbouw!L12</f>
        <v>0</v>
      </c>
      <c r="N54" s="677">
        <f>+landbouw!M12</f>
        <v>0</v>
      </c>
      <c r="O54" s="677">
        <f>+landbouw!N12</f>
        <v>0</v>
      </c>
      <c r="P54" s="677">
        <f>+landbouw!O12</f>
        <v>0</v>
      </c>
      <c r="Q54" s="678">
        <f>+landbouw!P12</f>
        <v>0</v>
      </c>
      <c r="R54" s="705">
        <f ca="1">SUM(C54:Q54)</f>
        <v>805.95008398621133</v>
      </c>
    </row>
    <row r="55" spans="1:18" ht="15" thickBot="1">
      <c r="A55" s="799" t="s">
        <v>823</v>
      </c>
      <c r="B55" s="809"/>
      <c r="C55" s="677">
        <f ca="1">C25*'EF ele_warmte'!B12</f>
        <v>428.62945229315409</v>
      </c>
      <c r="D55" s="677"/>
      <c r="E55" s="677">
        <f>E25*EF_CO2_aardgas</f>
        <v>359.91174518920775</v>
      </c>
      <c r="F55" s="677"/>
      <c r="G55" s="677"/>
      <c r="H55" s="677"/>
      <c r="I55" s="677"/>
      <c r="J55" s="677"/>
      <c r="K55" s="677"/>
      <c r="L55" s="677"/>
      <c r="M55" s="677"/>
      <c r="N55" s="677"/>
      <c r="O55" s="677"/>
      <c r="P55" s="677"/>
      <c r="Q55" s="678"/>
      <c r="R55" s="705">
        <f ca="1">SUM(C55:Q55)</f>
        <v>788.54119748236189</v>
      </c>
    </row>
    <row r="56" spans="1:18" ht="15.75" thickBot="1">
      <c r="A56" s="797" t="s">
        <v>824</v>
      </c>
      <c r="B56" s="810"/>
      <c r="C56" s="706">
        <f ca="1">SUM(C54:C55)</f>
        <v>541.47341313541858</v>
      </c>
      <c r="D56" s="706">
        <f t="shared" ref="D56:Q56" ca="1" si="7">SUM(D54:D55)</f>
        <v>0</v>
      </c>
      <c r="E56" s="706">
        <f t="shared" si="7"/>
        <v>419.27762300816823</v>
      </c>
      <c r="F56" s="706">
        <f t="shared" si="7"/>
        <v>3.6132414247351501</v>
      </c>
      <c r="G56" s="706">
        <f t="shared" si="7"/>
        <v>602.35330756557278</v>
      </c>
      <c r="H56" s="706">
        <f t="shared" si="7"/>
        <v>0</v>
      </c>
      <c r="I56" s="706">
        <f t="shared" si="7"/>
        <v>0</v>
      </c>
      <c r="J56" s="706">
        <f t="shared" si="7"/>
        <v>0</v>
      </c>
      <c r="K56" s="706">
        <f t="shared" si="7"/>
        <v>27.773696334678355</v>
      </c>
      <c r="L56" s="706">
        <f t="shared" si="7"/>
        <v>0</v>
      </c>
      <c r="M56" s="706">
        <f t="shared" si="7"/>
        <v>0</v>
      </c>
      <c r="N56" s="706">
        <f t="shared" si="7"/>
        <v>0</v>
      </c>
      <c r="O56" s="706">
        <f t="shared" si="7"/>
        <v>0</v>
      </c>
      <c r="P56" s="706">
        <f t="shared" si="7"/>
        <v>0</v>
      </c>
      <c r="Q56" s="707">
        <f t="shared" si="7"/>
        <v>0</v>
      </c>
      <c r="R56" s="708">
        <f ca="1">SUM(R54:R55)</f>
        <v>1594.4912814685731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25320.395526666092</v>
      </c>
      <c r="D61" s="714">
        <f t="shared" ref="D61:Q61" ca="1" si="8">D46+D52+D56</f>
        <v>0</v>
      </c>
      <c r="E61" s="714">
        <f t="shared" ca="1" si="8"/>
        <v>20325.874914462176</v>
      </c>
      <c r="F61" s="714">
        <f t="shared" si="8"/>
        <v>2388.73605781586</v>
      </c>
      <c r="G61" s="714">
        <f t="shared" ca="1" si="8"/>
        <v>10838.033951810672</v>
      </c>
      <c r="H61" s="714">
        <f t="shared" si="8"/>
        <v>14733.21604067051</v>
      </c>
      <c r="I61" s="714">
        <f t="shared" si="8"/>
        <v>3803.3603237507036</v>
      </c>
      <c r="J61" s="714">
        <f t="shared" si="8"/>
        <v>0</v>
      </c>
      <c r="K61" s="714">
        <f t="shared" si="8"/>
        <v>96.478971241542439</v>
      </c>
      <c r="L61" s="714">
        <f t="shared" si="8"/>
        <v>0</v>
      </c>
      <c r="M61" s="714">
        <f t="shared" ca="1" si="8"/>
        <v>0</v>
      </c>
      <c r="N61" s="714">
        <f t="shared" si="8"/>
        <v>0</v>
      </c>
      <c r="O61" s="714">
        <f t="shared" ca="1" si="8"/>
        <v>0</v>
      </c>
      <c r="P61" s="714">
        <f t="shared" si="8"/>
        <v>0</v>
      </c>
      <c r="Q61" s="714">
        <f t="shared" si="8"/>
        <v>0</v>
      </c>
      <c r="R61" s="714">
        <f ca="1">R46+R52+R56</f>
        <v>77506.095786417558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0.20837802421194454</v>
      </c>
      <c r="D63" s="755">
        <f t="shared" ca="1" si="9"/>
        <v>0</v>
      </c>
      <c r="E63" s="990">
        <f t="shared" ca="1" si="9"/>
        <v>0.20200000000000001</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6939.9068093499227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6939.9068093499227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6939.9068093499227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6939.9068093499227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26505.286762787786</v>
      </c>
      <c r="C4" s="451">
        <f>huishoudens!C8</f>
        <v>0</v>
      </c>
      <c r="D4" s="451">
        <f>huishoudens!D8</f>
        <v>52606.461188963993</v>
      </c>
      <c r="E4" s="451">
        <f>huishoudens!E8</f>
        <v>6871.7115613183123</v>
      </c>
      <c r="F4" s="451">
        <f>huishoudens!F8</f>
        <v>20321.35562057055</v>
      </c>
      <c r="G4" s="451">
        <f>huishoudens!G8</f>
        <v>0</v>
      </c>
      <c r="H4" s="451">
        <f>huishoudens!H8</f>
        <v>0</v>
      </c>
      <c r="I4" s="451">
        <f>huishoudens!I8</f>
        <v>0</v>
      </c>
      <c r="J4" s="451">
        <f>huishoudens!J8</f>
        <v>0</v>
      </c>
      <c r="K4" s="451">
        <f>huishoudens!K8</f>
        <v>0</v>
      </c>
      <c r="L4" s="451">
        <f>huishoudens!L8</f>
        <v>0</v>
      </c>
      <c r="M4" s="451">
        <f>huishoudens!M8</f>
        <v>0</v>
      </c>
      <c r="N4" s="451">
        <f>huishoudens!N8</f>
        <v>8340.2355879210154</v>
      </c>
      <c r="O4" s="451">
        <f>huishoudens!O8</f>
        <v>228.2466666666667</v>
      </c>
      <c r="P4" s="452">
        <f>huishoudens!P8</f>
        <v>972.4</v>
      </c>
      <c r="Q4" s="453">
        <f>SUM(B4:P4)</f>
        <v>115845.69738822832</v>
      </c>
    </row>
    <row r="5" spans="1:17">
      <c r="A5" s="450" t="s">
        <v>155</v>
      </c>
      <c r="B5" s="451">
        <f ca="1">tertiair!B16</f>
        <v>27924.773250514809</v>
      </c>
      <c r="C5" s="451">
        <f ca="1">tertiair!C16</f>
        <v>0</v>
      </c>
      <c r="D5" s="451">
        <f ca="1">tertiair!D16</f>
        <v>15917.399646335976</v>
      </c>
      <c r="E5" s="451">
        <f>tertiair!E16</f>
        <v>266.34319183088979</v>
      </c>
      <c r="F5" s="451">
        <f ca="1">tertiair!F16</f>
        <v>5942.3427318658059</v>
      </c>
      <c r="G5" s="451">
        <f>tertiair!G16</f>
        <v>0</v>
      </c>
      <c r="H5" s="451">
        <f>tertiair!H16</f>
        <v>0</v>
      </c>
      <c r="I5" s="451">
        <f>tertiair!I16</f>
        <v>0</v>
      </c>
      <c r="J5" s="451">
        <f>tertiair!J16</f>
        <v>0.29834651737960921</v>
      </c>
      <c r="K5" s="451">
        <f>tertiair!K16</f>
        <v>0</v>
      </c>
      <c r="L5" s="451">
        <f ca="1">tertiair!L16</f>
        <v>0</v>
      </c>
      <c r="M5" s="451">
        <f>tertiair!M16</f>
        <v>0</v>
      </c>
      <c r="N5" s="451">
        <f ca="1">tertiair!N16</f>
        <v>11699.903999752665</v>
      </c>
      <c r="O5" s="451">
        <f>tertiair!O16</f>
        <v>3.1266666666666669</v>
      </c>
      <c r="P5" s="452">
        <f>tertiair!P16</f>
        <v>95.333333333333343</v>
      </c>
      <c r="Q5" s="450">
        <f t="shared" ref="Q5:Q14" ca="1" si="0">SUM(B5:P5)</f>
        <v>61849.521166817525</v>
      </c>
    </row>
    <row r="6" spans="1:17">
      <c r="A6" s="450" t="s">
        <v>193</v>
      </c>
      <c r="B6" s="451">
        <f>'openbare verlichting'!B8</f>
        <v>907.21100000000001</v>
      </c>
      <c r="C6" s="451"/>
      <c r="D6" s="451"/>
      <c r="E6" s="451"/>
      <c r="F6" s="451"/>
      <c r="G6" s="451"/>
      <c r="H6" s="451"/>
      <c r="I6" s="451"/>
      <c r="J6" s="451"/>
      <c r="K6" s="451"/>
      <c r="L6" s="451"/>
      <c r="M6" s="451"/>
      <c r="N6" s="451"/>
      <c r="O6" s="451"/>
      <c r="P6" s="452"/>
      <c r="Q6" s="450">
        <f t="shared" si="0"/>
        <v>907.21100000000001</v>
      </c>
    </row>
    <row r="7" spans="1:17">
      <c r="A7" s="450" t="s">
        <v>111</v>
      </c>
      <c r="B7" s="451">
        <f>landbouw!B8</f>
        <v>541.53484403657239</v>
      </c>
      <c r="C7" s="451">
        <f>landbouw!C8</f>
        <v>0</v>
      </c>
      <c r="D7" s="451">
        <f>landbouw!D8</f>
        <v>293.89048425227975</v>
      </c>
      <c r="E7" s="451">
        <f>landbouw!E8</f>
        <v>15.917363104560133</v>
      </c>
      <c r="F7" s="451">
        <f>landbouw!F8</f>
        <v>2256.004897249336</v>
      </c>
      <c r="G7" s="451">
        <f>landbouw!G8</f>
        <v>0</v>
      </c>
      <c r="H7" s="451">
        <f>landbouw!H8</f>
        <v>0</v>
      </c>
      <c r="I7" s="451">
        <f>landbouw!I8</f>
        <v>0</v>
      </c>
      <c r="J7" s="451">
        <f>landbouw!J8</f>
        <v>78.456769307001011</v>
      </c>
      <c r="K7" s="451">
        <f>landbouw!K8</f>
        <v>0</v>
      </c>
      <c r="L7" s="451">
        <f>landbouw!L8</f>
        <v>0</v>
      </c>
      <c r="M7" s="451">
        <f>landbouw!M8</f>
        <v>0</v>
      </c>
      <c r="N7" s="451">
        <f>landbouw!N8</f>
        <v>0</v>
      </c>
      <c r="O7" s="451">
        <f>landbouw!O8</f>
        <v>0</v>
      </c>
      <c r="P7" s="452">
        <f>landbouw!P8</f>
        <v>0</v>
      </c>
      <c r="Q7" s="450">
        <f t="shared" si="0"/>
        <v>3185.8043579497494</v>
      </c>
    </row>
    <row r="8" spans="1:17">
      <c r="A8" s="450" t="s">
        <v>634</v>
      </c>
      <c r="B8" s="451">
        <f>industrie!B18</f>
        <v>63550.970020670225</v>
      </c>
      <c r="C8" s="451">
        <f>industrie!C18</f>
        <v>0</v>
      </c>
      <c r="D8" s="451">
        <f>industrie!D18</f>
        <v>29932.170802890287</v>
      </c>
      <c r="E8" s="451">
        <f>industrie!E18</f>
        <v>3218.2548520986043</v>
      </c>
      <c r="F8" s="451">
        <f>industrie!F18</f>
        <v>12072.184210279371</v>
      </c>
      <c r="G8" s="451">
        <f>industrie!G18</f>
        <v>0</v>
      </c>
      <c r="H8" s="451">
        <f>industrie!H18</f>
        <v>0</v>
      </c>
      <c r="I8" s="451">
        <f>industrie!I18</f>
        <v>0</v>
      </c>
      <c r="J8" s="451">
        <f>industrie!J18</f>
        <v>193.78435095963761</v>
      </c>
      <c r="K8" s="451">
        <f>industrie!K18</f>
        <v>0</v>
      </c>
      <c r="L8" s="451">
        <f>industrie!L18</f>
        <v>0</v>
      </c>
      <c r="M8" s="451">
        <f>industrie!M18</f>
        <v>0</v>
      </c>
      <c r="N8" s="451">
        <f>industrie!N18</f>
        <v>4364.7379799635664</v>
      </c>
      <c r="O8" s="451">
        <f>industrie!O18</f>
        <v>0</v>
      </c>
      <c r="P8" s="452">
        <f>industrie!P18</f>
        <v>0</v>
      </c>
      <c r="Q8" s="450">
        <f t="shared" si="0"/>
        <v>113332.10221686169</v>
      </c>
    </row>
    <row r="9" spans="1:17" s="456" customFormat="1">
      <c r="A9" s="454" t="s">
        <v>560</v>
      </c>
      <c r="B9" s="455">
        <f>transport!B14</f>
        <v>25.076275954453195</v>
      </c>
      <c r="C9" s="455">
        <f>transport!C14</f>
        <v>0</v>
      </c>
      <c r="D9" s="455">
        <f>transport!D14</f>
        <v>91.479705641450565</v>
      </c>
      <c r="E9" s="455">
        <f>transport!E14</f>
        <v>150.83936563820697</v>
      </c>
      <c r="F9" s="455">
        <f>transport!F14</f>
        <v>0</v>
      </c>
      <c r="G9" s="455">
        <f>transport!G14</f>
        <v>54753.439221979104</v>
      </c>
      <c r="H9" s="455">
        <f>transport!H14</f>
        <v>15274.539452814071</v>
      </c>
      <c r="I9" s="455">
        <f>transport!I14</f>
        <v>0</v>
      </c>
      <c r="J9" s="455">
        <f>transport!J14</f>
        <v>0</v>
      </c>
      <c r="K9" s="455">
        <f>transport!K14</f>
        <v>0</v>
      </c>
      <c r="L9" s="455">
        <f>transport!L14</f>
        <v>0</v>
      </c>
      <c r="M9" s="455">
        <f>transport!M14</f>
        <v>3648.6868020978518</v>
      </c>
      <c r="N9" s="455">
        <f>transport!N14</f>
        <v>0</v>
      </c>
      <c r="O9" s="455">
        <f>transport!O14</f>
        <v>0</v>
      </c>
      <c r="P9" s="455">
        <f>transport!P14</f>
        <v>0</v>
      </c>
      <c r="Q9" s="454">
        <f>SUM(B9:P9)</f>
        <v>73944.060824125147</v>
      </c>
    </row>
    <row r="10" spans="1:17">
      <c r="A10" s="450" t="s">
        <v>550</v>
      </c>
      <c r="B10" s="451">
        <f>transport!B54</f>
        <v>0</v>
      </c>
      <c r="C10" s="451">
        <f>transport!C54</f>
        <v>0</v>
      </c>
      <c r="D10" s="451">
        <f>transport!D54</f>
        <v>0</v>
      </c>
      <c r="E10" s="451">
        <f>transport!E54</f>
        <v>0</v>
      </c>
      <c r="F10" s="451">
        <f>transport!F54</f>
        <v>0</v>
      </c>
      <c r="G10" s="451">
        <f>transport!G54</f>
        <v>427.14520000781846</v>
      </c>
      <c r="H10" s="451">
        <f>transport!H54</f>
        <v>0</v>
      </c>
      <c r="I10" s="451">
        <f>transport!I54</f>
        <v>0</v>
      </c>
      <c r="J10" s="451">
        <f>transport!J54</f>
        <v>0</v>
      </c>
      <c r="K10" s="451">
        <f>transport!K54</f>
        <v>0</v>
      </c>
      <c r="L10" s="451">
        <f>transport!L54</f>
        <v>0</v>
      </c>
      <c r="M10" s="451">
        <f>transport!M54</f>
        <v>24.258129118558099</v>
      </c>
      <c r="N10" s="451">
        <f>transport!N54</f>
        <v>0</v>
      </c>
      <c r="O10" s="451">
        <f>transport!O54</f>
        <v>0</v>
      </c>
      <c r="P10" s="452">
        <f>transport!P54</f>
        <v>0</v>
      </c>
      <c r="Q10" s="450">
        <f t="shared" si="0"/>
        <v>451.40332912637655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2056.9801154136499</v>
      </c>
      <c r="C14" s="458"/>
      <c r="D14" s="458">
        <f>'SEAP template'!E25</f>
        <v>1781.74131281786</v>
      </c>
      <c r="E14" s="458"/>
      <c r="F14" s="458"/>
      <c r="G14" s="458"/>
      <c r="H14" s="458"/>
      <c r="I14" s="458"/>
      <c r="J14" s="458"/>
      <c r="K14" s="458"/>
      <c r="L14" s="458"/>
      <c r="M14" s="458"/>
      <c r="N14" s="458"/>
      <c r="O14" s="458"/>
      <c r="P14" s="459"/>
      <c r="Q14" s="450">
        <f t="shared" si="0"/>
        <v>3838.7214282315099</v>
      </c>
    </row>
    <row r="15" spans="1:17" s="460" customFormat="1">
      <c r="A15" s="1005" t="s">
        <v>554</v>
      </c>
      <c r="B15" s="953">
        <f ca="1">SUM(B4:B14)</f>
        <v>121511.8322693775</v>
      </c>
      <c r="C15" s="953">
        <f t="shared" ref="C15:Q15" ca="1" si="1">SUM(C4:C14)</f>
        <v>0</v>
      </c>
      <c r="D15" s="953">
        <f t="shared" ca="1" si="1"/>
        <v>100623.14314090186</v>
      </c>
      <c r="E15" s="953">
        <f t="shared" si="1"/>
        <v>10523.066333990573</v>
      </c>
      <c r="F15" s="953">
        <f t="shared" ca="1" si="1"/>
        <v>40591.887459965059</v>
      </c>
      <c r="G15" s="953">
        <f t="shared" si="1"/>
        <v>55180.584421986925</v>
      </c>
      <c r="H15" s="953">
        <f t="shared" si="1"/>
        <v>15274.539452814071</v>
      </c>
      <c r="I15" s="953">
        <f t="shared" si="1"/>
        <v>0</v>
      </c>
      <c r="J15" s="953">
        <f t="shared" si="1"/>
        <v>272.53946678401826</v>
      </c>
      <c r="K15" s="953">
        <f t="shared" si="1"/>
        <v>0</v>
      </c>
      <c r="L15" s="953">
        <f t="shared" ca="1" si="1"/>
        <v>0</v>
      </c>
      <c r="M15" s="953">
        <f t="shared" si="1"/>
        <v>3672.9449312164097</v>
      </c>
      <c r="N15" s="953">
        <f t="shared" ca="1" si="1"/>
        <v>24404.877567637246</v>
      </c>
      <c r="O15" s="953">
        <f t="shared" si="1"/>
        <v>231.37333333333336</v>
      </c>
      <c r="P15" s="953">
        <f t="shared" si="1"/>
        <v>1067.7333333333333</v>
      </c>
      <c r="Q15" s="953">
        <f t="shared" ca="1" si="1"/>
        <v>373354.52171134029</v>
      </c>
    </row>
    <row r="17" spans="1:17">
      <c r="A17" s="461" t="s">
        <v>555</v>
      </c>
      <c r="B17" s="760">
        <f ca="1">huishoudens!B10</f>
        <v>0.20837802421194457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5523.1192868007274</v>
      </c>
      <c r="C22" s="451">
        <f t="shared" ref="C22:C32" ca="1" si="3">C4*$C$17</f>
        <v>0</v>
      </c>
      <c r="D22" s="451">
        <f t="shared" ref="D22:D32" si="4">D4*$D$17</f>
        <v>10626.505160170727</v>
      </c>
      <c r="E22" s="451">
        <f t="shared" ref="E22:E32" si="5">E4*$E$17</f>
        <v>1559.878524419257</v>
      </c>
      <c r="F22" s="451">
        <f t="shared" ref="F22:F32" si="6">F4*$F$17</f>
        <v>5425.8019506923374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23135.304922083051</v>
      </c>
    </row>
    <row r="23" spans="1:17">
      <c r="A23" s="450" t="s">
        <v>155</v>
      </c>
      <c r="B23" s="451">
        <f t="shared" ca="1" si="2"/>
        <v>5818.9090765088367</v>
      </c>
      <c r="C23" s="451">
        <f t="shared" ca="1" si="3"/>
        <v>0</v>
      </c>
      <c r="D23" s="451">
        <f t="shared" ca="1" si="4"/>
        <v>3215.3147285598675</v>
      </c>
      <c r="E23" s="451">
        <f t="shared" si="5"/>
        <v>60.459904545611984</v>
      </c>
      <c r="F23" s="451">
        <f t="shared" ca="1" si="6"/>
        <v>1586.6055094081703</v>
      </c>
      <c r="G23" s="451">
        <f t="shared" si="7"/>
        <v>0</v>
      </c>
      <c r="H23" s="451">
        <f t="shared" si="8"/>
        <v>0</v>
      </c>
      <c r="I23" s="451">
        <f t="shared" si="9"/>
        <v>0</v>
      </c>
      <c r="J23" s="451">
        <f t="shared" si="10"/>
        <v>0.10561466715238166</v>
      </c>
      <c r="K23" s="451">
        <f t="shared" si="11"/>
        <v>0</v>
      </c>
      <c r="L23" s="451">
        <f t="shared" ca="1" si="12"/>
        <v>0</v>
      </c>
      <c r="M23" s="451">
        <f t="shared" si="13"/>
        <v>0</v>
      </c>
      <c r="N23" s="451">
        <f t="shared" ca="1" si="14"/>
        <v>0</v>
      </c>
      <c r="O23" s="451">
        <f t="shared" si="15"/>
        <v>0</v>
      </c>
      <c r="P23" s="452">
        <f t="shared" si="16"/>
        <v>0</v>
      </c>
      <c r="Q23" s="450">
        <f t="shared" ref="Q23:Q32" ca="1" si="17">SUM(B23:P23)</f>
        <v>10681.394833689641</v>
      </c>
    </row>
    <row r="24" spans="1:17">
      <c r="A24" s="450" t="s">
        <v>193</v>
      </c>
      <c r="B24" s="451">
        <f t="shared" ca="1" si="2"/>
        <v>189.04283572334245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189.04283572334245</v>
      </c>
    </row>
    <row r="25" spans="1:17">
      <c r="A25" s="450" t="s">
        <v>111</v>
      </c>
      <c r="B25" s="451">
        <f t="shared" ca="1" si="2"/>
        <v>112.84396084226451</v>
      </c>
      <c r="C25" s="451">
        <f t="shared" ca="1" si="3"/>
        <v>0</v>
      </c>
      <c r="D25" s="451">
        <f t="shared" si="4"/>
        <v>59.365877818960513</v>
      </c>
      <c r="E25" s="451">
        <f t="shared" si="5"/>
        <v>3.6132414247351501</v>
      </c>
      <c r="F25" s="451">
        <f t="shared" si="6"/>
        <v>602.35330756557278</v>
      </c>
      <c r="G25" s="451">
        <f t="shared" si="7"/>
        <v>0</v>
      </c>
      <c r="H25" s="451">
        <f t="shared" si="8"/>
        <v>0</v>
      </c>
      <c r="I25" s="451">
        <f t="shared" si="9"/>
        <v>0</v>
      </c>
      <c r="J25" s="451">
        <f t="shared" si="10"/>
        <v>27.773696334678355</v>
      </c>
      <c r="K25" s="451">
        <f t="shared" si="11"/>
        <v>0</v>
      </c>
      <c r="L25" s="451">
        <f t="shared" si="12"/>
        <v>0</v>
      </c>
      <c r="M25" s="451">
        <f t="shared" si="13"/>
        <v>0</v>
      </c>
      <c r="N25" s="451">
        <f t="shared" si="14"/>
        <v>0</v>
      </c>
      <c r="O25" s="451">
        <f t="shared" si="15"/>
        <v>0</v>
      </c>
      <c r="P25" s="452">
        <f t="shared" si="16"/>
        <v>0</v>
      </c>
      <c r="Q25" s="450">
        <f t="shared" ca="1" si="17"/>
        <v>805.95008398621133</v>
      </c>
    </row>
    <row r="26" spans="1:17">
      <c r="A26" s="450" t="s">
        <v>634</v>
      </c>
      <c r="B26" s="451">
        <f t="shared" ca="1" si="2"/>
        <v>13242.625569659784</v>
      </c>
      <c r="C26" s="451">
        <f t="shared" ca="1" si="3"/>
        <v>0</v>
      </c>
      <c r="D26" s="451">
        <f t="shared" si="4"/>
        <v>6046.2985021838385</v>
      </c>
      <c r="E26" s="451">
        <f t="shared" si="5"/>
        <v>730.54385142638318</v>
      </c>
      <c r="F26" s="451">
        <f t="shared" si="6"/>
        <v>3223.2731841445921</v>
      </c>
      <c r="G26" s="451">
        <f t="shared" si="7"/>
        <v>0</v>
      </c>
      <c r="H26" s="451">
        <f t="shared" si="8"/>
        <v>0</v>
      </c>
      <c r="I26" s="451">
        <f t="shared" si="9"/>
        <v>0</v>
      </c>
      <c r="J26" s="451">
        <f t="shared" si="10"/>
        <v>68.59966023971171</v>
      </c>
      <c r="K26" s="451">
        <f t="shared" si="11"/>
        <v>0</v>
      </c>
      <c r="L26" s="451">
        <f t="shared" si="12"/>
        <v>0</v>
      </c>
      <c r="M26" s="451">
        <f t="shared" si="13"/>
        <v>0</v>
      </c>
      <c r="N26" s="451">
        <f t="shared" si="14"/>
        <v>0</v>
      </c>
      <c r="O26" s="451">
        <f t="shared" si="15"/>
        <v>0</v>
      </c>
      <c r="P26" s="452">
        <f t="shared" si="16"/>
        <v>0</v>
      </c>
      <c r="Q26" s="450">
        <f t="shared" ca="1" si="17"/>
        <v>23311.34076765431</v>
      </c>
    </row>
    <row r="27" spans="1:17" s="456" customFormat="1">
      <c r="A27" s="454" t="s">
        <v>560</v>
      </c>
      <c r="B27" s="754">
        <f t="shared" ca="1" si="2"/>
        <v>5.2253448379824512</v>
      </c>
      <c r="C27" s="455">
        <f t="shared" ca="1" si="3"/>
        <v>0</v>
      </c>
      <c r="D27" s="455">
        <f t="shared" si="4"/>
        <v>18.478900539573015</v>
      </c>
      <c r="E27" s="455">
        <f t="shared" si="5"/>
        <v>34.240535999872982</v>
      </c>
      <c r="F27" s="455">
        <f t="shared" si="6"/>
        <v>0</v>
      </c>
      <c r="G27" s="455">
        <f t="shared" si="7"/>
        <v>14619.168272268422</v>
      </c>
      <c r="H27" s="455">
        <f t="shared" si="8"/>
        <v>3803.3603237507036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18480.473377396553</v>
      </c>
    </row>
    <row r="28" spans="1:17">
      <c r="A28" s="450" t="s">
        <v>550</v>
      </c>
      <c r="B28" s="451">
        <f t="shared" ca="1" si="2"/>
        <v>0</v>
      </c>
      <c r="C28" s="451">
        <f t="shared" ca="1" si="3"/>
        <v>0</v>
      </c>
      <c r="D28" s="451">
        <f t="shared" si="4"/>
        <v>0</v>
      </c>
      <c r="E28" s="451">
        <f t="shared" si="5"/>
        <v>0</v>
      </c>
      <c r="F28" s="451">
        <f t="shared" si="6"/>
        <v>0</v>
      </c>
      <c r="G28" s="451">
        <f t="shared" si="7"/>
        <v>114.04776840208754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114.04776840208754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428.62945229315409</v>
      </c>
      <c r="C32" s="451">
        <f t="shared" ca="1" si="3"/>
        <v>0</v>
      </c>
      <c r="D32" s="451">
        <f t="shared" si="4"/>
        <v>359.91174518920775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788.54119748236189</v>
      </c>
    </row>
    <row r="33" spans="1:17" s="460" customFormat="1">
      <c r="A33" s="1005" t="s">
        <v>554</v>
      </c>
      <c r="B33" s="953">
        <f ca="1">SUM(B22:B32)</f>
        <v>25320.395526666092</v>
      </c>
      <c r="C33" s="953">
        <f t="shared" ref="C33:Q33" ca="1" si="18">SUM(C22:C32)</f>
        <v>0</v>
      </c>
      <c r="D33" s="953">
        <f t="shared" ca="1" si="18"/>
        <v>20325.874914462176</v>
      </c>
      <c r="E33" s="953">
        <f t="shared" si="18"/>
        <v>2388.7360578158605</v>
      </c>
      <c r="F33" s="953">
        <f t="shared" ca="1" si="18"/>
        <v>10838.033951810674</v>
      </c>
      <c r="G33" s="953">
        <f t="shared" si="18"/>
        <v>14733.21604067051</v>
      </c>
      <c r="H33" s="953">
        <f t="shared" si="18"/>
        <v>3803.3603237507036</v>
      </c>
      <c r="I33" s="953">
        <f t="shared" si="18"/>
        <v>0</v>
      </c>
      <c r="J33" s="953">
        <f t="shared" si="18"/>
        <v>96.478971241542439</v>
      </c>
      <c r="K33" s="953">
        <f t="shared" si="18"/>
        <v>0</v>
      </c>
      <c r="L33" s="953">
        <f t="shared" ca="1" si="18"/>
        <v>0</v>
      </c>
      <c r="M33" s="953">
        <f t="shared" si="18"/>
        <v>0</v>
      </c>
      <c r="N33" s="953">
        <f t="shared" ca="1" si="18"/>
        <v>0</v>
      </c>
      <c r="O33" s="953">
        <f t="shared" si="18"/>
        <v>0</v>
      </c>
      <c r="P33" s="953">
        <f t="shared" si="18"/>
        <v>0</v>
      </c>
      <c r="Q33" s="953">
        <f t="shared" ca="1" si="18"/>
        <v>77506.095786417558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6939.9068093499227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6939.9068093499227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0.20837802421194457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0.20837802421194457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2020-06-20T15:46:01Z</dcterms:modified>
</cp:coreProperties>
</file>