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48" i="18" l="1"/>
  <c r="I48" i="18"/>
  <c r="H8" i="18" s="1"/>
  <c r="M76" i="14" s="1"/>
  <c r="B48" i="18"/>
  <c r="C8" i="18" s="1"/>
  <c r="O8" i="18" s="1"/>
  <c r="O10" i="18" s="1"/>
  <c r="I8" i="18"/>
  <c r="C48" i="18"/>
  <c r="H78" i="14"/>
  <c r="H9" i="61"/>
  <c r="H10" i="61" s="1"/>
  <c r="O90" i="14"/>
  <c r="O18" i="61"/>
  <c r="O20" i="61" s="1"/>
  <c r="B88" i="14"/>
  <c r="B18" i="61" s="1"/>
  <c r="B77" i="14"/>
  <c r="B9" i="61" s="1"/>
  <c r="Q77" i="14"/>
  <c r="P9" i="61" s="1"/>
  <c r="J17" i="18"/>
  <c r="H20" i="18"/>
  <c r="M87" i="14"/>
  <c r="J8" i="18"/>
  <c r="H10" i="18"/>
  <c r="E20" i="18"/>
  <c r="F87" i="14"/>
  <c r="C77" i="14"/>
  <c r="C9" i="61" s="1"/>
  <c r="C20" i="18"/>
  <c r="D87" i="14"/>
  <c r="D17" i="61" s="1"/>
  <c r="D20" i="61" s="1"/>
  <c r="D76" i="14"/>
  <c r="D8" i="61" s="1"/>
  <c r="D10" i="61" s="1"/>
  <c r="C88" i="14"/>
  <c r="C18" i="61" s="1"/>
  <c r="F76" i="14"/>
  <c r="E10" i="18"/>
  <c r="I17" i="18"/>
  <c r="I10" i="18"/>
  <c r="I76" i="14"/>
  <c r="I8" i="61" s="1"/>
  <c r="I10" i="61" s="1"/>
  <c r="Q88" i="14"/>
  <c r="P18" i="61" s="1"/>
  <c r="I33" i="48"/>
  <c r="C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F10" i="14"/>
  <c r="N52" i="14"/>
  <c r="N61"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23" i="48" l="1"/>
  <c r="E33" i="48" s="1"/>
  <c r="E8" i="48"/>
  <c r="E26" i="48" s="1"/>
  <c r="F13" i="14"/>
  <c r="F16" i="14" s="1"/>
  <c r="F27" i="14" s="1"/>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<sst xmlns="http://schemas.openxmlformats.org/spreadsheetml/2006/main" count="2398" uniqueCount="887">
  <si>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</si>
  <si>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</si>
  <si>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</si>
  <si>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</si>
  <si>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</si>
  <si>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</si>
  <si>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</si>
  <si>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</si>
  <si>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</si>
  <si>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</si>
  <si>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</si>
  <si>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</si>
  <si>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</si>
  <si>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</si>
  <si>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</si>
  <si>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</si>
  <si>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</si>
  <si>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</si>
  <si>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</si>
  <si>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</si>
  <si>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</si>
  <si>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</si>
  <si>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</si>
  <si>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</si>
  <si>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</si>
  <si>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</si>
  <si>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</si>
  <si>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</si>
  <si>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</si>
  <si>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</si>
  <si>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</si>
  <si>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</si>
  <si>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</si>
  <si>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</si>
  <si>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</si>
  <si>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</si>
  <si>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</si>
  <si>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</si>
  <si>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</si>
  <si>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</si>
  <si>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</si>
  <si>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</si>
  <si>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</si>
  <si>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</si>
  <si>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</si>
  <si>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</si>
  <si>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</si>
  <si>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</si>
  <si>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</si>
  <si>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</si>
  <si>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</si>
  <si>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</si>
  <si>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</si>
  <si>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</si>
  <si>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</si>
  <si>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</si>
  <si>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</si>
  <si>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</si>
  <si>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</si>
  <si>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</si>
  <si>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</si>
  <si>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</si>
  <si>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</si>
  <si>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</si>
  <si>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</si>
  <si>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</si>
  <si>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</si>
  <si>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</si>
  <si>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</si>
  <si>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</si>
  <si>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</si>
  <si>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</si>
  <si>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</si>
  <si>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</si>
  <si>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</si>
  <si>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</si>
  <si>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</si>
  <si>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</si>
  <si>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</si>
  <si>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</si>
  <si>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</si>
  <si>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</si>
  <si>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</si>
  <si>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</si>
  <si>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</si>
  <si>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</si>
  <si>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</si>
  <si>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</si>
  <si>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</si>
  <si>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</si>
  <si>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</si>
  <si>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</si>
  <si>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</si>
  <si>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</si>
  <si>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</si>
  <si>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</si>
  <si>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</si>
  <si>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</si>
  <si>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</si>
  <si>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</si>
  <si>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</si>
  <si>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</si>
  <si>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</si>
  <si>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</si>
  <si>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</si>
  <si>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</si>
  <si>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</si>
  <si>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</si>
  <si>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</si>
  <si>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</si>
  <si>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</si>
  <si>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</si>
  <si>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</si>
  <si>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</si>
  <si>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</si>
  <si>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</si>
  <si>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</si>
  <si>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</si>
  <si>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</si>
  <si>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</si>
  <si>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</si>
  <si>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</si>
  <si>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</si>
  <si>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</si>
  <si>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</si>
  <si>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</si>
  <si>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</si>
  <si>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</si>
  <si>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</si>
  <si>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</si>
  <si>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</si>
  <si>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</si>
  <si>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</si>
  <si>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</si>
  <si>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</si>
  <si>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</si>
  <si>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</si>
  <si>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</si>
  <si>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</si>
  <si>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</si>
  <si>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</si>
  <si>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</si>
  <si>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</si>
  <si>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</si>
  <si>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</si>
  <si>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</si>
  <si>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</si>
  <si>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</si>
  <si>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</si>
  <si>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</si>
  <si>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</si>
  <si>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</si>
  <si>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</si>
  <si>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</si>
  <si>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</si>
  <si>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</si>
  <si>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</si>
  <si>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</si>
  <si>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</si>
  <si>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</si>
  <si>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</si>
  <si>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</si>
  <si>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</si>
  <si>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</si>
  <si>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</si>
  <si>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</si>
  <si>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</si>
  <si>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</si>
  <si>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</si>
  <si>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</si>
  <si>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</si>
  <si>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</si>
  <si>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</si>
  <si>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</si>
  <si>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</si>
  <si>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</si>
  <si>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</si>
  <si>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</si>
  <si>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</si>
  <si>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</si>
  <si>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</si>
  <si>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</si>
  <si>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</si>
  <si>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</si>
  <si>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</si>
  <si>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</si>
  <si>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</si>
  <si>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</si>
  <si>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</si>
  <si>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</si>
  <si>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</si>
  <si>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</si>
  <si>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</si>
  <si>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</si>
  <si>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</si>
  <si>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</si>
  <si>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</si>
  <si>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</si>
  <si>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</si>
  <si>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</si>
  <si>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</si>
  <si>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</si>
  <si>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</si>
  <si>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</si>
  <si>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</si>
  <si>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</si>
  <si>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</si>
  <si>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</si>
  <si>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</si>
  <si>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</si>
  <si>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</si>
  <si>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</si>
  <si>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</si>
  <si>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</si>
  <si>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</si>
  <si>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</si>
  <si>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</si>
  <si>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</si>
  <si>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</si>
  <si>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</si>
  <si>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</si>
  <si>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</si>
  <si>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</si>
  <si>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</si>
  <si>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</si>
  <si>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</si>
  <si>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</si>
  <si>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</si>
  <si>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</si>
  <si>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</si>
  <si>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</si>
  <si>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</si>
  <si>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</si>
  <si>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</si>
  <si>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</si>
  <si>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</si>
  <si>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</si>
  <si>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</si>
  <si>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</si>
  <si>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</si>
  <si>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</si>
  <si>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</si>
  <si>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</si>
  <si>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</si>
  <si>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</si>
  <si>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</si>
  <si>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</si>
  <si>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</si>
  <si>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</si>
  <si>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</si>
  <si>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</si>
  <si>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</si>
  <si>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</si>
  <si>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</si>
  <si>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</si>
  <si>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</si>
  <si>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</si>
  <si>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</si>
  <si>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</si>
  <si>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</si>
  <si>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</si>
  <si>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</si>
  <si>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</si>
  <si>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</si>
  <si>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</si>
  <si>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</si>
  <si>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</si>
  <si>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</si>
  <si>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</si>
  <si>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</si>
  <si>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</si>
  <si>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</si>
  <si>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</si>
  <si>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</si>
  <si>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</si>
  <si>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</si>
  <si>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</si>
  <si>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</si>
  <si>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</si>
  <si>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</si>
  <si>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</si>
  <si>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</si>
  <si>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</si>
  <si>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</si>
  <si>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</si>
  <si>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</si>
  <si>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</si>
  <si>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</si>
  <si>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</si>
  <si>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</si>
  <si>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</si>
  <si>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</si>
  <si>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</si>
  <si>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</si>
  <si>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</si>
  <si>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</si>
  <si>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</si>
  <si>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</si>
  <si>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</si>
  <si>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</si>
  <si>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</si>
  <si>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</si>
  <si>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</si>
  <si>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</si>
  <si>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</si>
  <si>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</si>
  <si>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</si>
  <si>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</si>
  <si>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</si>
  <si>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</si>
  <si>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</si>
  <si>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</si>
  <si>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</si>
  <si>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</si>
  <si>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</si>
  <si>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</si>
  <si>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</si>
  <si>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</si>
  <si>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</si>
  <si>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</si>
  <si>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</si>
  <si>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</si>
  <si>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</si>
  <si>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</si>
  <si>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</si>
  <si>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</si>
  <si>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</si>
  <si>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</si>
  <si>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</si>
  <si>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</si>
  <si>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</si>
  <si>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</si>
  <si>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</si>
  <si>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</si>
  <si>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</si>
  <si>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</si>
  <si>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</si>
  <si>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</si>
  <si>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</si>
  <si>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</si>
  <si>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</si>
  <si>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</si>
  <si>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</si>
  <si>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</si>
  <si>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</si>
  <si>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</si>
  <si>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</si>
  <si>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</si>
  <si>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</si>
  <si>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</si>
  <si>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</si>
  <si>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</si>
  <si>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</si>
  <si>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</si>
  <si>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</si>
  <si>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</si>
  <si>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</si>
  <si>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</si>
  <si>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</si>
  <si>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</si>
  <si>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</si>
  <si>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</si>
  <si>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</si>
  <si>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</si>
  <si>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</si>
  <si>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</si>
  <si>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</si>
  <si>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</si>
  <si>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</si>
  <si>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</si>
  <si>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</si>
  <si>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</si>
  <si>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</si>
  <si>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</si>
  <si>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</si>
  <si>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</si>
  <si>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</si>
  <si>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</si>
  <si>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</si>
  <si>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</si>
  <si>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</si>
  <si>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</si>
  <si>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</si>
  <si>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</si>
  <si>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</si>
  <si>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</si>
  <si>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</si>
  <si>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</si>
  <si>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</si>
  <si>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</si>
  <si>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</si>
  <si>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</si>
  <si>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</si>
  <si>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</si>
  <si>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</si>
  <si>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</si>
  <si>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</si>
  <si>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</si>
  <si>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</si>
  <si>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</si>
  <si>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</si>
  <si>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</si>
  <si>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</si>
  <si>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</si>
  <si>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</si>
  <si>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</si>
  <si>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</si>
  <si>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</si>
  <si>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</si>
  <si>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</si>
  <si>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</si>
  <si>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</si>
  <si>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</si>
  <si>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</si>
  <si>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</si>
  <si>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</si>
  <si>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</si>
  <si>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</si>
  <si>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</si>
  <si>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</si>
  <si>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</si>
  <si>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</si>
  <si>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</si>
  <si>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</si>
  <si>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</si>
  <si>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</si>
  <si>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</si>
  <si>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</si>
  <si>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</si>
  <si>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</si>
  <si>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</si>
  <si>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</si>
  <si>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</si>
  <si>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</si>
  <si>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</si>
  <si>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</si>
  <si>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</si>
  <si>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</si>
  <si>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</si>
  <si>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</si>
  <si>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</si>
  <si>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</si>
  <si>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</si>
  <si>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</si>
  <si>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</si>
  <si>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</si>
  <si>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</si>
  <si>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</si>
  <si>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</si>
  <si>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</si>
  <si>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</si>
  <si>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</si>
  <si>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</si>
  <si>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</si>
  <si>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</si>
  <si>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</si>
  <si>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</si>
  <si>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</si>
  <si>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</si>
  <si>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</si>
  <si>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</si>
  <si>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</si>
  <si>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</si>
  <si>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</si>
  <si>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</si>
  <si>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</si>
  <si>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</si>
  <si>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</si>
  <si>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</si>
  <si>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</si>
  <si>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</si>
  <si>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</si>
  <si>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</si>
  <si>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</si>
  <si>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</si>
  <si>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</si>
  <si>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</si>
  <si>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</si>
  <si>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</si>
  <si>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</si>
  <si>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</si>
  <si>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</si>
  <si>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</si>
  <si>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</si>
  <si>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</si>
  <si>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</si>
  <si>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</si>
  <si>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</si>
  <si>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</si>
  <si>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</si>
  <si>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</si>
  <si>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</si>
  <si>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</si>
  <si>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</si>
  <si>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</si>
  <si>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</si>
  <si>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</si>
  <si>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</si>
  <si>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</si>
  <si>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</si>
  <si>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</si>
  <si>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</si>
  <si>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</si>
  <si>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</si>
  <si>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</si>
  <si>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</si>
  <si>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</si>
  <si>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</si>
  <si>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</si>
  <si>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</si>
  <si>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</si>
  <si>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</si>
  <si>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</si>
  <si>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</si>
  <si>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</si>
  <si>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</si>
  <si>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</si>
  <si>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</si>
  <si>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</si>
  <si>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</si>
  <si>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</si>
  <si>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</si>
  <si>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</si>
  <si>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</si>
  <si>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</si>
  <si>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</si>
  <si>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</si>
  <si>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</si>
  <si>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</si>
  <si>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</si>
  <si>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</si>
  <si>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</si>
  <si>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</si>
  <si>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</si>
  <si>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</si>
  <si>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</si>
  <si>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</si>
  <si>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</si>
  <si>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</si>
  <si>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</si>
  <si>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</si>
  <si>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</si>
  <si>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</si>
  <si>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</si>
  <si>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</si>
  <si>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</si>
  <si>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</si>
  <si>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</si>
  <si>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</si>
  <si>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</si>
  <si>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</si>
  <si>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</si>
  <si>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</si>
  <si>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</si>
  <si>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</si>
  <si>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</si>
  <si>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</si>
  <si>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</si>
  <si>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</si>
  <si>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</si>
  <si>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</si>
  <si>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</si>
  <si>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</si>
  <si>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</si>
  <si>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</si>
  <si>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</si>
  <si>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</si>
  <si>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</si>
  <si>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</si>
  <si>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</si>
  <si>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</si>
  <si>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</si>
  <si>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</si>
  <si>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</si>
  <si>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</si>
  <si>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</si>
  <si>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</si>
  <si>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</si>
  <si>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</si>
  <si>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</si>
  <si>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</si>
  <si>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</si>
  <si>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</si>
  <si>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</si>
  <si>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</si>
  <si>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</si>
  <si>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</si>
  <si>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</si>
  <si>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</si>
  <si>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</si>
  <si>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</si>
  <si>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</si>
  <si>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</si>
  <si>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</si>
  <si>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</si>
  <si>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</si>
  <si>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</si>
  <si>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</si>
  <si>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</si>
  <si>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</si>
  <si>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</si>
  <si>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</si>
  <si>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</si>
  <si>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</si>
  <si>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</si>
  <si>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</si>
  <si>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</si>
  <si>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</si>
  <si>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</si>
  <si>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</si>
  <si>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</si>
  <si>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</si>
  <si>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</si>
  <si>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</si>
  <si>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</si>
  <si>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</si>
  <si>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</si>
  <si>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</si>
  <si>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</si>
  <si>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</si>
  <si>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</si>
  <si>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</si>
  <si>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</si>
  <si>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</si>
  <si>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</si>
  <si>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</si>
  <si>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</si>
  <si>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</si>
  <si>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</si>
  <si>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</si>
  <si>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</si>
  <si>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</si>
  <si>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</si>
  <si>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</si>
  <si>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</si>
  <si>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</si>
  <si>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</si>
  <si>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</si>
  <si>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</si>
  <si>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</si>
  <si>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</si>
  <si>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</si>
  <si>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</si>
  <si>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</si>
  <si>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</si>
  <si>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</si>
  <si>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</si>
  <si>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</si>
  <si>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</si>
  <si>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</si>
  <si>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</si>
  <si>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</si>
  <si>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</si>
  <si>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</si>
  <si>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</si>
  <si>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</si>
  <si>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</si>
  <si>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</si>
  <si>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</si>
  <si>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</si>
  <si>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</si>
  <si>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</si>
  <si>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</si>
  <si>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</si>
  <si>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</si>
  <si>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</si>
  <si>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</si>
  <si>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</si>
  <si>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</si>
  <si>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</si>
  <si>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</si>
  <si>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</si>
  <si>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</si>
  <si>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</si>
  <si>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</si>
  <si>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</si>
  <si>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</si>
  <si>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</si>
  <si>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</si>
  <si>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</si>
  <si>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</si>
  <si>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</si>
  <si>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</si>
  <si>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</si>
  <si>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</si>
  <si>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</si>
  <si>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</si>
  <si>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</si>
  <si>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</si>
  <si>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</si>
  <si>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</si>
  <si>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</si>
  <si>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</si>
  <si>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</si>
  <si>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</si>
  <si>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</si>
  <si>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</si>
  <si>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</si>
  <si>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</si>
  <si>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</si>
  <si>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</si>
  <si>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</si>
  <si>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</si>
  <si>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</si>
  <si>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</si>
  <si>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</si>
  <si>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</si>
  <si>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</si>
  <si>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</si>
  <si>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</si>
  <si>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</si>
  <si>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</si>
  <si>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</si>
  <si>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</si>
  <si>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</si>
  <si>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</si>
  <si>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</si>
  <si>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</si>
  <si>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</si>
  <si>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</si>
  <si>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</si>
  <si>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</si>
  <si>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</si>
  <si>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</si>
  <si>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</si>
  <si>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</si>
  <si>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</si>
  <si>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</si>
  <si>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</si>
  <si>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</si>
  <si>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</si>
  <si>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</si>
  <si>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</si>
  <si>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</si>
  <si>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</si>
  <si>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</si>
  <si>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</si>
  <si>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</si>
  <si>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</si>
  <si>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</si>
  <si>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</si>
  <si>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</si>
  <si>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</si>
  <si>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</si>
  <si>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</si>
  <si>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</si>
  <si>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</si>
  <si>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</si>
  <si>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</si>
  <si>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</si>
  <si>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</si>
  <si>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</si>
  <si>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</si>
  <si>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</si>
  <si>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</si>
  <si>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</si>
  <si>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</si>
  <si>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</si>
  <si>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</si>
  <si>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</si>
  <si>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</si>
  <si>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</si>
  <si>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</si>
  <si>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</si>
  <si>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</si>
  <si>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</si>
  <si>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</si>
  <si>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</si>
  <si>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</si>
  <si>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</si>
  <si>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</si>
  <si>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</si>
  <si>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</si>
  <si>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</si>
  <si>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</si>
  <si>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</si>
  <si>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</si>
  <si>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</si>
  <si>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</si>
  <si>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</si>
  <si>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</si>
  <si>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</si>
  <si>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</si>
  <si>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</si>
  <si>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</si>
  <si>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</si>
  <si>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</si>
  <si>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</si>
  <si>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</si>
  <si>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</si>
  <si>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</si>
  <si>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</si>
  <si>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</si>
  <si>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</si>
  <si>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</si>
  <si>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</si>
  <si>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</si>
  <si>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</si>
  <si>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</si>
  <si>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</si>
  <si>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</si>
  <si>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</si>
  <si>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</si>
  <si>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</si>
  <si>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</si>
  <si>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</si>
  <si>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</si>
  <si>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</si>
  <si>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</si>
  <si>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</si>
  <si>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</si>
  <si>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</si>
  <si>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</si>
  <si>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</si>
  <si>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</si>
  <si>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</si>
  <si>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</si>
  <si>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</si>
  <si>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</si>
  <si>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</si>
  <si>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</si>
  <si>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</si>
  <si>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</si>
  <si>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</si>
  <si>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</si>
  <si>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</si>
  <si>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</si>
  <si>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</si>
  <si>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</si>
  <si>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</si>
  <si>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</si>
  <si>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</si>
  <si>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</si>
  <si>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</si>
  <si>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</si>
  <si>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</si>
  <si>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</si>
  <si>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</si>
  <si>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</si>
  <si>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</si>
  <si>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</si>
  <si>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</si>
  <si>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</si>
  <si>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</si>
  <si>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</si>
  <si>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</si>
  <si>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</si>
  <si>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</si>
  <si>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</si>
  <si>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</si>
  <si>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</si>
  <si>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</si>
  <si>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</si>
  <si>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</si>
  <si>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</si>
  <si>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</si>
  <si>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</si>
  <si>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</si>
  <si>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</si>
  <si>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</si>
  <si>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</si>
  <si>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</si>
  <si>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</si>
  <si>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</si>
  <si>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</si>
  <si>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</si>
  <si>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</si>
  <si>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</si>
  <si>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</si>
  <si>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</si>
  <si>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</si>
  <si>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</si>
  <si>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</si>
  <si>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</si>
  <si>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</si>
  <si>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</si>
  <si>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</si>
  <si>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</si>
  <si>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</si>
  <si>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</si>
  <si>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</si>
  <si>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</si>
  <si>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</si>
  <si>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41082</t>
  </si>
  <si>
    <t>ERPE-MERE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</si>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</sst>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174791.83234068178</c:v>
                </c:pt>
                <c:pt idx="1">
                  <c:v>43259.665296857194</c:v>
                </c:pt>
                <c:pt idx="2">
                  <c:v>1372.327</c:v>
                </c:pt>
                <c:pt idx="3">
                  <c:v>7439.1925896687308</c:v>
                </c:pt>
                <c:pt idx="4">
                  <c:v>74273.986377434077</c:v>
                </c:pt>
                <c:pt idx="5">
                  <c:v>288569.82015170855</c:v>
                </c:pt>
                <c:pt idx="6">
                  <c:v>1146.3426995856362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174791.83234068178</c:v>
                </c:pt>
                <c:pt idx="1">
                  <c:v>43259.665296857194</c:v>
                </c:pt>
                <c:pt idx="2">
                  <c:v>1372.327</c:v>
                </c:pt>
                <c:pt idx="3">
                  <c:v>7439.1925896687308</c:v>
                </c:pt>
                <c:pt idx="4">
                  <c:v>74273.986377434077</c:v>
                </c:pt>
                <c:pt idx="5">
                  <c:v>288569.82015170855</c:v>
                </c:pt>
                <c:pt idx="6">
                  <c:v>1146.3426995856362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35310.846524658751</c:v>
                </c:pt>
                <c:pt idx="2">
                  <c:v>8641.9852708720264</c:v>
                </c:pt>
                <c:pt idx="3">
                  <c:v>279.16995424535116</c:v>
                </c:pt>
                <c:pt idx="4">
                  <c:v>1817.4902376225743</c:v>
                </c:pt>
                <c:pt idx="5">
                  <c:v>14025.983441043822</c:v>
                </c:pt>
                <c:pt idx="6">
                  <c:v>72277.82537744088</c:v>
                </c:pt>
                <c:pt idx="7">
                  <c:v>289.62530463563462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35310.846524658751</c:v>
                </c:pt>
                <c:pt idx="2">
                  <c:v>8641.9852708720264</c:v>
                </c:pt>
                <c:pt idx="3">
                  <c:v>279.16995424535116</c:v>
                </c:pt>
                <c:pt idx="4">
                  <c:v>1817.4902376225743</c:v>
                </c:pt>
                <c:pt idx="5">
                  <c:v>14025.983441043822</c:v>
                </c:pt>
                <c:pt idx="6">
                  <c:v>72277.82537744088</c:v>
                </c:pt>
                <c:pt idx="7">
                  <c:v>289.62530463563462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41082</v>
      </c>
      <c r="B6" s="390"/>
      <c r="C6" s="391"/>
    </row>
    <row r="7" spans="1:7" s="388" customFormat="1" ht="15.75" customHeight="1">
      <c r="A7" s="392" t="str">
        <f>txtMunicipality</f>
        <v>ERPE-MERE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0.20342815833642502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0.20342815833642502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8411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1494.75</v>
      </c>
      <c r="C14" s="330"/>
      <c r="D14" s="330"/>
      <c r="E14" s="330"/>
      <c r="F14" s="330"/>
    </row>
    <row r="15" spans="1:6">
      <c r="A15" s="1293" t="s">
        <v>183</v>
      </c>
      <c r="B15" s="1294">
        <v>10</v>
      </c>
      <c r="C15" s="330"/>
      <c r="D15" s="330"/>
      <c r="E15" s="330"/>
      <c r="F15" s="330"/>
    </row>
    <row r="16" spans="1:6">
      <c r="A16" s="1293" t="s">
        <v>6</v>
      </c>
      <c r="B16" s="1294">
        <v>518</v>
      </c>
      <c r="C16" s="330"/>
      <c r="D16" s="330"/>
      <c r="E16" s="330"/>
      <c r="F16" s="330"/>
    </row>
    <row r="17" spans="1:6">
      <c r="A17" s="1293" t="s">
        <v>7</v>
      </c>
      <c r="B17" s="1294">
        <v>491</v>
      </c>
      <c r="C17" s="330"/>
      <c r="D17" s="330"/>
      <c r="E17" s="330"/>
      <c r="F17" s="330"/>
    </row>
    <row r="18" spans="1:6">
      <c r="A18" s="1293" t="s">
        <v>8</v>
      </c>
      <c r="B18" s="1294">
        <v>759</v>
      </c>
      <c r="C18" s="330"/>
      <c r="D18" s="330"/>
      <c r="E18" s="330"/>
      <c r="F18" s="330"/>
    </row>
    <row r="19" spans="1:6">
      <c r="A19" s="1293" t="s">
        <v>9</v>
      </c>
      <c r="B19" s="1294">
        <v>740</v>
      </c>
      <c r="C19" s="330"/>
      <c r="D19" s="330"/>
      <c r="E19" s="330"/>
      <c r="F19" s="330"/>
    </row>
    <row r="20" spans="1:6">
      <c r="A20" s="1293" t="s">
        <v>10</v>
      </c>
      <c r="B20" s="1294">
        <v>519</v>
      </c>
      <c r="C20" s="330"/>
      <c r="D20" s="330"/>
      <c r="E20" s="330"/>
      <c r="F20" s="330"/>
    </row>
    <row r="21" spans="1:6">
      <c r="A21" s="1293" t="s">
        <v>11</v>
      </c>
      <c r="B21" s="1294">
        <v>547</v>
      </c>
      <c r="C21" s="330"/>
      <c r="D21" s="330"/>
      <c r="E21" s="330"/>
      <c r="F21" s="330"/>
    </row>
    <row r="22" spans="1:6">
      <c r="A22" s="1293" t="s">
        <v>12</v>
      </c>
      <c r="B22" s="1294">
        <v>3376</v>
      </c>
      <c r="C22" s="330"/>
      <c r="D22" s="330"/>
      <c r="E22" s="330"/>
      <c r="F22" s="330"/>
    </row>
    <row r="23" spans="1:6">
      <c r="A23" s="1293" t="s">
        <v>13</v>
      </c>
      <c r="B23" s="1294">
        <v>24</v>
      </c>
      <c r="C23" s="330"/>
      <c r="D23" s="330"/>
      <c r="E23" s="330"/>
      <c r="F23" s="330"/>
    </row>
    <row r="24" spans="1:6">
      <c r="A24" s="1293" t="s">
        <v>14</v>
      </c>
      <c r="B24" s="1294">
        <v>3</v>
      </c>
      <c r="C24" s="330"/>
      <c r="D24" s="330"/>
      <c r="E24" s="330"/>
      <c r="F24" s="330"/>
    </row>
    <row r="25" spans="1:6">
      <c r="A25" s="1293" t="s">
        <v>15</v>
      </c>
      <c r="B25" s="1294">
        <v>223</v>
      </c>
      <c r="C25" s="330"/>
      <c r="D25" s="330"/>
      <c r="E25" s="330"/>
      <c r="F25" s="330"/>
    </row>
    <row r="26" spans="1:6">
      <c r="A26" s="1293" t="s">
        <v>16</v>
      </c>
      <c r="B26" s="1294">
        <v>107</v>
      </c>
      <c r="C26" s="330"/>
      <c r="D26" s="330"/>
      <c r="E26" s="330"/>
      <c r="F26" s="330"/>
    </row>
    <row r="27" spans="1:6">
      <c r="A27" s="1293" t="s">
        <v>17</v>
      </c>
      <c r="B27" s="1294">
        <v>7</v>
      </c>
      <c r="C27" s="330"/>
      <c r="D27" s="330"/>
      <c r="E27" s="330"/>
      <c r="F27" s="330"/>
    </row>
    <row r="28" spans="1:6" s="43" customFormat="1">
      <c r="A28" s="1295" t="s">
        <v>18</v>
      </c>
      <c r="B28" s="1296">
        <v>23855</v>
      </c>
      <c r="C28" s="336"/>
      <c r="D28" s="336"/>
      <c r="E28" s="336"/>
      <c r="F28" s="336"/>
    </row>
    <row r="29" spans="1:6">
      <c r="A29" s="1295" t="s">
        <v>734</v>
      </c>
      <c r="B29" s="1296">
        <v>111</v>
      </c>
      <c r="C29" s="336"/>
      <c r="D29" s="336"/>
      <c r="E29" s="336"/>
      <c r="F29" s="336"/>
    </row>
    <row r="30" spans="1:6">
      <c r="A30" s="1288" t="s">
        <v>735</v>
      </c>
      <c r="B30" s="1297">
        <v>16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v>
      </c>
      <c r="D36" s="1294">
        <v>444568.25761597703</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3840</v>
      </c>
    </row>
    <row r="39" spans="1:6">
      <c r="A39" s="1293" t="s">
        <v>29</v>
      </c>
      <c r="B39" s="1293" t="s">
        <v>30</v>
      </c>
      <c r="C39" s="1294">
        <v>3668</v>
      </c>
      <c r="D39" s="1294">
        <v>57998081.129079401</v>
      </c>
      <c r="E39" s="1294">
        <v>8059</v>
      </c>
      <c r="F39" s="1294">
        <v>35090065.859409779</v>
      </c>
    </row>
    <row r="40" spans="1:6">
      <c r="A40" s="1293" t="s">
        <v>29</v>
      </c>
      <c r="B40" s="1293" t="s">
        <v>28</v>
      </c>
      <c r="C40" s="1294">
        <v>0</v>
      </c>
      <c r="D40" s="1294">
        <v>0</v>
      </c>
      <c r="E40" s="1294">
        <v>0</v>
      </c>
      <c r="F40" s="1294">
        <v>0</v>
      </c>
    </row>
    <row r="41" spans="1:6">
      <c r="A41" s="1293" t="s">
        <v>31</v>
      </c>
      <c r="B41" s="1293" t="s">
        <v>32</v>
      </c>
      <c r="C41" s="1294">
        <v>43</v>
      </c>
      <c r="D41" s="1294">
        <v>917734.62267576496</v>
      </c>
      <c r="E41" s="1294">
        <v>192</v>
      </c>
      <c r="F41" s="1294">
        <v>2931064.0461006099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387785.40444233199</v>
      </c>
      <c r="E44" s="1294">
        <v>27</v>
      </c>
      <c r="F44" s="1294">
        <v>557022.48210368399</v>
      </c>
    </row>
    <row r="45" spans="1:6">
      <c r="A45" s="1293" t="s">
        <v>31</v>
      </c>
      <c r="B45" s="1293" t="s">
        <v>36</v>
      </c>
      <c r="C45" s="1294">
        <v>0</v>
      </c>
      <c r="D45" s="1294">
        <v>0</v>
      </c>
      <c r="E45" s="1294">
        <v>3</v>
      </c>
      <c r="F45" s="1294">
        <v>86344.628013100199</v>
      </c>
    </row>
    <row r="46" spans="1:6">
      <c r="A46" s="1293" t="s">
        <v>31</v>
      </c>
      <c r="B46" s="1293" t="s">
        <v>37</v>
      </c>
      <c r="C46" s="1294">
        <v>0</v>
      </c>
      <c r="D46" s="1294">
        <v>0</v>
      </c>
      <c r="E46" s="1294">
        <v>0</v>
      </c>
      <c r="F46" s="1294">
        <v>0</v>
      </c>
    </row>
    <row r="47" spans="1:6">
      <c r="A47" s="1293" t="s">
        <v>31</v>
      </c>
      <c r="B47" s="1293" t="s">
        <v>38</v>
      </c>
      <c r="C47" s="1294">
        <v>3</v>
      </c>
      <c r="D47" s="1294">
        <v>83088.054918636204</v>
      </c>
      <c r="E47" s="1294">
        <v>7</v>
      </c>
      <c r="F47" s="1294">
        <v>12264175.785114</v>
      </c>
    </row>
    <row r="48" spans="1:6">
      <c r="A48" s="1293" t="s">
        <v>31</v>
      </c>
      <c r="B48" s="1293" t="s">
        <v>28</v>
      </c>
      <c r="C48" s="1294">
        <v>36</v>
      </c>
      <c r="D48" s="1294">
        <v>11066228.2036002</v>
      </c>
      <c r="E48" s="1294">
        <v>38</v>
      </c>
      <c r="F48" s="1294">
        <v>4575351.0457027499</v>
      </c>
    </row>
    <row r="49" spans="1:6">
      <c r="A49" s="1293" t="s">
        <v>31</v>
      </c>
      <c r="B49" s="1293" t="s">
        <v>39</v>
      </c>
      <c r="C49" s="1294">
        <v>0</v>
      </c>
      <c r="D49" s="1294">
        <v>0</v>
      </c>
      <c r="E49" s="1294">
        <v>0</v>
      </c>
      <c r="F49" s="1294">
        <v>0</v>
      </c>
    </row>
    <row r="50" spans="1:6">
      <c r="A50" s="1293" t="s">
        <v>31</v>
      </c>
      <c r="B50" s="1293" t="s">
        <v>40</v>
      </c>
      <c r="C50" s="1294">
        <v>11</v>
      </c>
      <c r="D50" s="1294">
        <v>13759005.486946899</v>
      </c>
      <c r="E50" s="1294">
        <v>19</v>
      </c>
      <c r="F50" s="1294">
        <v>17476301.4275796</v>
      </c>
    </row>
    <row r="51" spans="1:6">
      <c r="A51" s="1293" t="s">
        <v>41</v>
      </c>
      <c r="B51" s="1293" t="s">
        <v>42</v>
      </c>
      <c r="C51" s="1294">
        <v>3</v>
      </c>
      <c r="D51" s="1294">
        <v>41956.336548300598</v>
      </c>
      <c r="E51" s="1294">
        <v>55</v>
      </c>
      <c r="F51" s="1294">
        <v>979347.53509945201</v>
      </c>
    </row>
    <row r="52" spans="1:6">
      <c r="A52" s="1293" t="s">
        <v>41</v>
      </c>
      <c r="B52" s="1293" t="s">
        <v>28</v>
      </c>
      <c r="C52" s="1294">
        <v>1</v>
      </c>
      <c r="D52" s="1294">
        <v>1887610.78033244</v>
      </c>
      <c r="E52" s="1294">
        <v>8</v>
      </c>
      <c r="F52" s="1294">
        <v>87785.592995712606</v>
      </c>
    </row>
    <row r="53" spans="1:6">
      <c r="A53" s="1293" t="s">
        <v>43</v>
      </c>
      <c r="B53" s="1293" t="s">
        <v>44</v>
      </c>
      <c r="C53" s="1294">
        <v>83</v>
      </c>
      <c r="D53" s="1294">
        <v>1639271.0694949999</v>
      </c>
      <c r="E53" s="1294">
        <v>275</v>
      </c>
      <c r="F53" s="1294">
        <v>1029060.31843395</v>
      </c>
    </row>
    <row r="54" spans="1:6">
      <c r="A54" s="1293" t="s">
        <v>45</v>
      </c>
      <c r="B54" s="1293" t="s">
        <v>46</v>
      </c>
      <c r="C54" s="1294">
        <v>0</v>
      </c>
      <c r="D54" s="1294">
        <v>0</v>
      </c>
      <c r="E54" s="1294">
        <v>1</v>
      </c>
      <c r="F54" s="1294">
        <v>1372327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1301322.8269648</v>
      </c>
      <c r="E57" s="1294">
        <v>125</v>
      </c>
      <c r="F57" s="1294">
        <v>1599009.0696149201</v>
      </c>
    </row>
    <row r="58" spans="1:6">
      <c r="A58" s="1293" t="s">
        <v>48</v>
      </c>
      <c r="B58" s="1293" t="s">
        <v>50</v>
      </c>
      <c r="C58" s="1294">
        <v>21</v>
      </c>
      <c r="D58" s="1294">
        <v>5152324.63636427</v>
      </c>
      <c r="E58" s="1294">
        <v>83</v>
      </c>
      <c r="F58" s="1294">
        <v>2004633.1128938999</v>
      </c>
    </row>
    <row r="59" spans="1:6">
      <c r="A59" s="1293" t="s">
        <v>48</v>
      </c>
      <c r="B59" s="1293" t="s">
        <v>51</v>
      </c>
      <c r="C59" s="1294">
        <v>88</v>
      </c>
      <c r="D59" s="1294">
        <v>7129157.0070074499</v>
      </c>
      <c r="E59" s="1294">
        <v>230</v>
      </c>
      <c r="F59" s="1294">
        <v>6505993.9526380803</v>
      </c>
    </row>
    <row r="60" spans="1:6">
      <c r="A60" s="1293" t="s">
        <v>48</v>
      </c>
      <c r="B60" s="1293" t="s">
        <v>52</v>
      </c>
      <c r="C60" s="1294">
        <v>33</v>
      </c>
      <c r="D60" s="1294">
        <v>1095052.1020883601</v>
      </c>
      <c r="E60" s="1294">
        <v>77</v>
      </c>
      <c r="F60" s="1294">
        <v>1382589.36400015</v>
      </c>
    </row>
    <row r="61" spans="1:6">
      <c r="A61" s="1293" t="s">
        <v>48</v>
      </c>
      <c r="B61" s="1293" t="s">
        <v>53</v>
      </c>
      <c r="C61" s="1294">
        <v>93</v>
      </c>
      <c r="D61" s="1294">
        <v>4510468.4235956902</v>
      </c>
      <c r="E61" s="1294">
        <v>261</v>
      </c>
      <c r="F61" s="1294">
        <v>3782197.8759501101</v>
      </c>
    </row>
    <row r="62" spans="1:6">
      <c r="A62" s="1293" t="s">
        <v>48</v>
      </c>
      <c r="B62" s="1293" t="s">
        <v>54</v>
      </c>
      <c r="C62" s="1294">
        <v>4</v>
      </c>
      <c r="D62" s="1294">
        <v>549209.673404751</v>
      </c>
      <c r="E62" s="1294">
        <v>12</v>
      </c>
      <c r="F62" s="1294">
        <v>276303.85562828701</v>
      </c>
    </row>
    <row r="63" spans="1:6">
      <c r="A63" s="1293" t="s">
        <v>48</v>
      </c>
      <c r="B63" s="1293" t="s">
        <v>28</v>
      </c>
      <c r="C63" s="1294">
        <v>74</v>
      </c>
      <c r="D63" s="1294">
        <v>2535979.57139622</v>
      </c>
      <c r="E63" s="1294">
        <v>98</v>
      </c>
      <c r="F63" s="1294">
        <v>2470088.9901049598</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14</v>
      </c>
      <c r="F66" s="1294">
        <v>285620.61717566702</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19841.062184704901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60264688</v>
      </c>
      <c r="E73" s="449"/>
      <c r="F73" s="330"/>
    </row>
    <row r="74" spans="1:6">
      <c r="A74" s="1293" t="s">
        <v>63</v>
      </c>
      <c r="B74" s="1293" t="s">
        <v>656</v>
      </c>
      <c r="C74" s="1307" t="s">
        <v>658</v>
      </c>
      <c r="D74" s="1308">
        <v>6375756</v>
      </c>
      <c r="E74" s="449"/>
      <c r="F74" s="330"/>
    </row>
    <row r="75" spans="1:6">
      <c r="A75" s="1293" t="s">
        <v>64</v>
      </c>
      <c r="B75" s="1293" t="s">
        <v>655</v>
      </c>
      <c r="C75" s="1307" t="s">
        <v>659</v>
      </c>
      <c r="D75" s="1308">
        <v>41935134</v>
      </c>
      <c r="E75" s="449"/>
      <c r="F75" s="330"/>
    </row>
    <row r="76" spans="1:6">
      <c r="A76" s="1293" t="s">
        <v>64</v>
      </c>
      <c r="B76" s="1293" t="s">
        <v>656</v>
      </c>
      <c r="C76" s="1307" t="s">
        <v>660</v>
      </c>
      <c r="D76" s="1308">
        <v>2574078</v>
      </c>
      <c r="E76" s="449"/>
      <c r="F76" s="330"/>
    </row>
    <row r="77" spans="1:6">
      <c r="A77" s="1293" t="s">
        <v>65</v>
      </c>
      <c r="B77" s="1293" t="s">
        <v>655</v>
      </c>
      <c r="C77" s="1307" t="s">
        <v>661</v>
      </c>
      <c r="D77" s="1308">
        <v>185574627</v>
      </c>
      <c r="E77" s="449"/>
      <c r="F77" s="330"/>
    </row>
    <row r="78" spans="1:6">
      <c r="A78" s="1288" t="s">
        <v>65</v>
      </c>
      <c r="B78" s="1288" t="s">
        <v>656</v>
      </c>
      <c r="C78" s="1288" t="s">
        <v>662</v>
      </c>
      <c r="D78" s="1309">
        <v>23397750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312644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4740.4708798467227</v>
      </c>
      <c r="C91" s="330"/>
      <c r="D91" s="330"/>
      <c r="E91" s="330"/>
      <c r="F91" s="330"/>
    </row>
    <row r="92" spans="1:6">
      <c r="A92" s="1288" t="s">
        <v>68</v>
      </c>
      <c r="B92" s="1289">
        <v>3155.4381515660416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829</v>
      </c>
      <c r="C97" s="330"/>
      <c r="D97" s="330"/>
      <c r="E97" s="330"/>
      <c r="F97" s="330"/>
    </row>
    <row r="98" spans="1:6">
      <c r="A98" s="1293" t="s">
        <v>71</v>
      </c>
      <c r="B98" s="1294">
        <v>1</v>
      </c>
      <c r="C98" s="330"/>
      <c r="D98" s="330"/>
      <c r="E98" s="330"/>
      <c r="F98" s="330"/>
    </row>
    <row r="99" spans="1:6">
      <c r="A99" s="1293" t="s">
        <v>72</v>
      </c>
      <c r="B99" s="1294">
        <v>208</v>
      </c>
      <c r="C99" s="330"/>
      <c r="D99" s="330"/>
      <c r="E99" s="330"/>
      <c r="F99" s="330"/>
    </row>
    <row r="100" spans="1:6">
      <c r="A100" s="1293" t="s">
        <v>73</v>
      </c>
      <c r="B100" s="1294">
        <v>1005</v>
      </c>
      <c r="C100" s="330"/>
      <c r="D100" s="330"/>
      <c r="E100" s="330"/>
      <c r="F100" s="330"/>
    </row>
    <row r="101" spans="1:6">
      <c r="A101" s="1293" t="s">
        <v>74</v>
      </c>
      <c r="B101" s="1294">
        <v>123</v>
      </c>
      <c r="C101" s="330"/>
      <c r="D101" s="330"/>
      <c r="E101" s="330"/>
      <c r="F101" s="330"/>
    </row>
    <row r="102" spans="1:6">
      <c r="A102" s="1293" t="s">
        <v>75</v>
      </c>
      <c r="B102" s="1294">
        <v>133</v>
      </c>
      <c r="C102" s="330"/>
      <c r="D102" s="330"/>
      <c r="E102" s="330"/>
      <c r="F102" s="330"/>
    </row>
    <row r="103" spans="1:6">
      <c r="A103" s="1293" t="s">
        <v>76</v>
      </c>
      <c r="B103" s="1294">
        <v>495</v>
      </c>
      <c r="C103" s="330"/>
      <c r="D103" s="330"/>
      <c r="E103" s="330"/>
      <c r="F103" s="330"/>
    </row>
    <row r="104" spans="1:6">
      <c r="A104" s="1293" t="s">
        <v>77</v>
      </c>
      <c r="B104" s="1294">
        <v>4513</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21</v>
      </c>
      <c r="C123" s="1294">
        <v>24</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163</v>
      </c>
      <c r="C129" s="330"/>
      <c r="D129" s="330"/>
      <c r="E129" s="330"/>
      <c r="F129" s="330"/>
    </row>
    <row r="130" spans="1:6">
      <c r="A130" s="1293" t="s">
        <v>294</v>
      </c>
      <c r="B130" s="1294">
        <v>4</v>
      </c>
      <c r="C130" s="330"/>
      <c r="D130" s="330"/>
      <c r="E130" s="330"/>
      <c r="F130" s="330"/>
    </row>
    <row r="131" spans="1:6">
      <c r="A131" s="1293" t="s">
        <v>295</v>
      </c>
      <c r="B131" s="1294">
        <v>0</v>
      </c>
      <c r="C131" s="330"/>
      <c r="D131" s="330"/>
      <c r="E131" s="330"/>
      <c r="F131" s="330"/>
    </row>
    <row r="132" spans="1:6">
      <c r="A132" s="1288" t="s">
        <v>296</v>
      </c>
      <c r="B132" s="1289">
        <v>24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99306.374900899391</v>
      </c>
      <c r="C3" s="43" t="s">
        <v>169</v>
      </c>
      <c r="D3" s="43"/>
      <c r="E3" s="154"/>
      <c r="F3" s="43"/>
      <c r="G3" s="43"/>
      <c r="H3" s="43"/>
      <c r="I3" s="43"/>
      <c r="J3" s="43"/>
      <c r="K3" s="96"/>
    </row>
    <row r="4" spans="1:11">
      <c r="A4" s="358" t="s">
        <v>170</v>
      </c>
      <c r="B4" s="49">
        <f>IF(ISERROR('SEAP template'!B78+'SEAP template'!C78),0,'SEAP template'!B78+'SEAP template'!C78)</f>
        <v>7895.9090314127643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0.20342815833642502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1372.327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1372.327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0.20342815833642502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279.16995424535116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35090.065859409777</v>
      </c>
      <c r="C5" s="17">
        <f>IF(ISERROR('Eigen informatie GS &amp; warmtenet'!B57),0,'Eigen informatie GS &amp; warmtenet'!B57)</f>
        <v>0</v>
      </c>
      <c r="D5" s="30">
        <f>(SUM(HH_hh_gas_kWh,HH_rest_gas_kWh)/1000)*0.902</f>
        <v>52314.269178429618</v>
      </c>
      <c r="E5" s="17">
        <f>B46*B57</f>
        <v>20811.212319733535</v>
      </c>
      <c r="F5" s="17">
        <f>B51*B62</f>
        <v>40840.876790715534</v>
      </c>
      <c r="G5" s="18"/>
      <c r="H5" s="17"/>
      <c r="I5" s="17"/>
      <c r="J5" s="17">
        <f>B50*B61+C50*C61</f>
        <v>2858.9042838902087</v>
      </c>
      <c r="K5" s="17"/>
      <c r="L5" s="17"/>
      <c r="M5" s="17"/>
      <c r="N5" s="17">
        <f>B48*B59+C48*C59</f>
        <v>16961.933028656389</v>
      </c>
      <c r="O5" s="17">
        <f>B69*B70*B71</f>
        <v>297.03333333333336</v>
      </c>
      <c r="P5" s="17">
        <f>B77*B78*B79/1000-B77*B78*B79/1000/B80</f>
        <v>877.06666666666661</v>
      </c>
    </row>
    <row r="6" spans="1:16">
      <c r="A6" s="16" t="s">
        <v>620</v>
      </c>
      <c r="B6" s="762">
        <f>kWh_PV_kleiner_dan_10kW</f>
        <v>4740.4708798467227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39830.536739256502</v>
      </c>
      <c r="C8" s="21">
        <f>C5</f>
        <v>0</v>
      </c>
      <c r="D8" s="21">
        <f>D5</f>
        <v>52314.269178429618</v>
      </c>
      <c r="E8" s="21">
        <f>E5</f>
        <v>20811.212319733535</v>
      </c>
      <c r="F8" s="21">
        <f>F5</f>
        <v>40840.876790715534</v>
      </c>
      <c r="G8" s="21"/>
      <c r="H8" s="21"/>
      <c r="I8" s="21"/>
      <c r="J8" s="21">
        <f>J5</f>
        <v>2858.9042838902087</v>
      </c>
      <c r="K8" s="21"/>
      <c r="L8" s="21">
        <f>L5</f>
        <v>0</v>
      </c>
      <c r="M8" s="21">
        <f>M5</f>
        <v>0</v>
      </c>
      <c r="N8" s="21">
        <f>N5</f>
        <v>16961.933028656389</v>
      </c>
      <c r="O8" s="21">
        <f>O5</f>
        <v>297.03333333333336</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0.20342815833642502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8102.6527344182659</v>
      </c>
      <c r="C12" s="23">
        <f ca="1">C10*C8</f>
        <v>0</v>
      </c>
      <c r="D12" s="23">
        <f>D8*D10</f>
        <v>10567.482374042784</v>
      </c>
      <c r="E12" s="23">
        <f>E10*E8</f>
        <v>4724.1451965795122</v>
      </c>
      <c r="F12" s="23">
        <f>F10*F8</f>
        <v>10904.514103121048</v>
      </c>
      <c r="G12" s="23"/>
      <c r="H12" s="23"/>
      <c r="I12" s="23"/>
      <c r="J12" s="23">
        <f>J10*J8</f>
        <v>1012.0521164971339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8411</v>
      </c>
      <c r="C28" s="36"/>
      <c r="D28" s="228"/>
    </row>
    <row r="29" spans="1:7" s="15" customFormat="1">
      <c r="A29" s="230" t="s">
        <v>781</v>
      </c>
      <c r="B29" s="37">
        <f>SUM(HH_hh_gas_aantal,HH_rest_gas_aantal)</f>
        <v>3668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3668</v>
      </c>
      <c r="C32" s="167">
        <f>IF(ISERROR(B32/SUM($B$32,$B$34,$B$35,$B$36,$B$38,$B$39)*100),0,B32/SUM($B$32,$B$34,$B$35,$B$36,$B$38,$B$39)*100)</f>
        <v>43.849372384937233</v>
      </c>
      <c r="D32" s="233"/>
      <c r="G32" s="15"/>
    </row>
    <row r="33" spans="1:7">
      <c r="A33" s="171" t="s">
        <v>71</v>
      </c>
      <c r="B33" s="34" t="s">
        <v>110</v>
      </c>
      <c r="C33" s="167"/>
      <c r="D33" s="233"/>
      <c r="G33" s="15"/>
    </row>
    <row r="34" spans="1:7">
      <c r="A34" s="171" t="s">
        <v>72</v>
      </c>
      <c r="B34" s="33">
        <f>IF((($B$28-$B$32-$B$39-$B$77-$B$38)*C20/100)&lt;0,0,($B$28-$B$32-$B$39-$B$77-$B$38)*C20/100)</f>
        <v>393.5808383233533</v>
      </c>
      <c r="C34" s="167">
        <f>IF(ISERROR(B34/SUM($B$32,$B$34,$B$35,$B$36,$B$38,$B$39)*100),0,B34/SUM($B$32,$B$34,$B$35,$B$36,$B$38,$B$39)*100)</f>
        <v>4.7050907151626209</v>
      </c>
      <c r="D34" s="233"/>
      <c r="G34" s="15"/>
    </row>
    <row r="35" spans="1:7">
      <c r="A35" s="171" t="s">
        <v>73</v>
      </c>
      <c r="B35" s="33">
        <f>IF((($B$28-$B$32-$B$39-$B$77-$B$38)*C21/100)&lt;0,0,($B$28-$B$32-$B$39-$B$77-$B$38)*C21/100)</f>
        <v>1901.6766467065868</v>
      </c>
      <c r="C35" s="167">
        <f>IF(ISERROR(B35/SUM($B$32,$B$34,$B$35,$B$36,$B$38,$B$39)*100),0,B35/SUM($B$32,$B$34,$B$35,$B$36,$B$38,$B$39)*100)</f>
        <v>22.733731580473236</v>
      </c>
      <c r="D35" s="233"/>
      <c r="G35" s="15"/>
    </row>
    <row r="36" spans="1:7">
      <c r="A36" s="171" t="s">
        <v>74</v>
      </c>
      <c r="B36" s="33">
        <f>IF((($B$28-$B$32-$B$39-$B$77-$B$38)*C22/100)&lt;0,0,($B$28-$B$32-$B$39-$B$77-$B$38)*C22/100)</f>
        <v>232.74251497005986</v>
      </c>
      <c r="C36" s="167">
        <f>IF(ISERROR(B36/SUM($B$32,$B$34,$B$35,$B$36,$B$38,$B$39)*100),0,B36/SUM($B$32,$B$34,$B$35,$B$36,$B$38,$B$39)*100)</f>
        <v>2.7823372979086649</v>
      </c>
      <c r="D36" s="233"/>
      <c r="G36" s="15"/>
    </row>
    <row r="37" spans="1:7">
      <c r="A37" s="171" t="s">
        <v>75</v>
      </c>
      <c r="B37" s="34" t="s">
        <v>110</v>
      </c>
      <c r="C37" s="167"/>
      <c r="D37" s="173"/>
      <c r="G37" s="15"/>
    </row>
    <row r="38" spans="1:7">
      <c r="A38" s="171" t="s">
        <v>76</v>
      </c>
      <c r="B38" s="33">
        <f>IF((B24-(B29-B18)*0.1)&lt;0,0,B24-(B29-B18)*0.1)</f>
        <v>211.09999999999997</v>
      </c>
      <c r="C38" s="167">
        <f>IF(ISERROR(B38/SUM($B$32,$B$34,$B$35,$B$36,$B$38,$B$39)*100),0,B38/SUM($B$32,$B$34,$B$35,$B$36,$B$38,$B$39)*100)</f>
        <v>2.5236102809324557</v>
      </c>
      <c r="D38" s="234"/>
      <c r="G38" s="15"/>
    </row>
    <row r="39" spans="1:7">
      <c r="A39" s="171" t="s">
        <v>77</v>
      </c>
      <c r="B39" s="33">
        <f>IF((B25-(B29-B18))&lt;0,0,B25-(B29-B18)*0.9)</f>
        <v>1957.9</v>
      </c>
      <c r="C39" s="167">
        <f>IF(ISERROR(B39/SUM($B$32,$B$34,$B$35,$B$36,$B$38,$B$39)*100),0,B39/SUM($B$32,$B$34,$B$35,$B$36,$B$38,$B$39)*100)</f>
        <v>23.40585774058577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3668</v>
      </c>
      <c r="C44" s="34" t="s">
        <v>110</v>
      </c>
      <c r="D44" s="174"/>
    </row>
    <row r="45" spans="1:7">
      <c r="A45" s="171" t="s">
        <v>71</v>
      </c>
      <c r="B45" s="33" t="str">
        <f t="shared" si="0"/>
        <v>-</v>
      </c>
      <c r="C45" s="34" t="s">
        <v>110</v>
      </c>
      <c r="D45" s="174"/>
    </row>
    <row r="46" spans="1:7">
      <c r="A46" s="171" t="s">
        <v>72</v>
      </c>
      <c r="B46" s="33">
        <f t="shared" si="0"/>
        <v>393.5808383233533</v>
      </c>
      <c r="C46" s="34" t="s">
        <v>110</v>
      </c>
      <c r="D46" s="174"/>
    </row>
    <row r="47" spans="1:7">
      <c r="A47" s="171" t="s">
        <v>73</v>
      </c>
      <c r="B47" s="33">
        <f t="shared" si="0"/>
        <v>1901.6766467065868</v>
      </c>
      <c r="C47" s="34" t="s">
        <v>110</v>
      </c>
      <c r="D47" s="174"/>
    </row>
    <row r="48" spans="1:7">
      <c r="A48" s="171" t="s">
        <v>74</v>
      </c>
      <c r="B48" s="33">
        <f t="shared" si="0"/>
        <v>232.74251497005986</v>
      </c>
      <c r="C48" s="33">
        <f>B48*10</f>
        <v>2327.4251497005985</v>
      </c>
      <c r="D48" s="234"/>
    </row>
    <row r="49" spans="1:6">
      <c r="A49" s="171" t="s">
        <v>75</v>
      </c>
      <c r="B49" s="33" t="str">
        <f t="shared" si="0"/>
        <v>-</v>
      </c>
      <c r="C49" s="34" t="s">
        <v>110</v>
      </c>
      <c r="D49" s="234"/>
    </row>
    <row r="50" spans="1:6">
      <c r="A50" s="171" t="s">
        <v>76</v>
      </c>
      <c r="B50" s="33">
        <f t="shared" si="0"/>
        <v>211.09999999999997</v>
      </c>
      <c r="C50" s="33">
        <f>B50*2</f>
        <v>422.19999999999993</v>
      </c>
      <c r="D50" s="234"/>
    </row>
    <row r="51" spans="1:6">
      <c r="A51" s="171" t="s">
        <v>77</v>
      </c>
      <c r="B51" s="33">
        <f t="shared" si="0"/>
        <v>1957.9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18020.816220830406</v>
      </c>
      <c r="C5" s="17">
        <f>IF(ISERROR('Eigen informatie GS &amp; warmtenet'!B58),0,'Eigen informatie GS &amp; warmtenet'!B58)</f>
        <v>0</v>
      </c>
      <c r="D5" s="30">
        <f>SUM(D6:D12)</f>
        <v>20090.70984522103</v>
      </c>
      <c r="E5" s="17">
        <f>SUM(E6:E12)</f>
        <v>292.66772649788288</v>
      </c>
      <c r="F5" s="17">
        <f>SUM(F6:F12)</f>
        <v>3188.2788336352905</v>
      </c>
      <c r="G5" s="18"/>
      <c r="H5" s="17"/>
      <c r="I5" s="17"/>
      <c r="J5" s="17">
        <f>SUM(J6:J12)</f>
        <v>4.0689601784841954E-2</v>
      </c>
      <c r="K5" s="17"/>
      <c r="L5" s="17"/>
      <c r="M5" s="17"/>
      <c r="N5" s="17">
        <f>SUM(N6:N12)</f>
        <v>1641.8319810707951</v>
      </c>
      <c r="O5" s="17">
        <f>B38*B39*B40</f>
        <v>6.2533333333333339</v>
      </c>
      <c r="P5" s="17">
        <f>B46*B47*B48/1000-B46*B47*B48/1000/B49</f>
        <v>19.066666666666666</v>
      </c>
      <c r="R5" s="32"/>
    </row>
    <row r="6" spans="1:18">
      <c r="A6" s="32" t="s">
        <v>53</v>
      </c>
      <c r="B6" s="37">
        <f>B26</f>
        <v>3782.1978759501103</v>
      </c>
      <c r="C6" s="33"/>
      <c r="D6" s="37">
        <f>IF(ISERROR(TER_kantoor_gas_kWh/1000),0,TER_kantoor_gas_kWh/1000)*0.902</f>
        <v>4068.4425180833127</v>
      </c>
      <c r="E6" s="33">
        <f>$C$26*'E Balans VL '!I12/100/3.6*1000000</f>
        <v>2.3705558347149144E-2</v>
      </c>
      <c r="F6" s="33">
        <f>$C$26*('E Balans VL '!L12+'E Balans VL '!N12)/100/3.6*1000000</f>
        <v>568.35865606710115</v>
      </c>
      <c r="G6" s="34"/>
      <c r="H6" s="33"/>
      <c r="I6" s="33"/>
      <c r="J6" s="33">
        <f>$C$26*('E Balans VL '!D12+'E Balans VL '!E12)/100/3.6*1000000</f>
        <v>0</v>
      </c>
      <c r="K6" s="33"/>
      <c r="L6" s="33"/>
      <c r="M6" s="33"/>
      <c r="N6" s="33">
        <f>$C$26*'E Balans VL '!Y12/100/3.6*1000000</f>
        <v>3.6171114959696737</v>
      </c>
      <c r="O6" s="33"/>
      <c r="P6" s="33"/>
      <c r="R6" s="32"/>
    </row>
    <row r="7" spans="1:18">
      <c r="A7" s="32" t="s">
        <v>52</v>
      </c>
      <c r="B7" s="37">
        <f t="shared" ref="B7:B12" si="0">B27</f>
        <v>1382.58936400015</v>
      </c>
      <c r="C7" s="33"/>
      <c r="D7" s="37">
        <f>IF(ISERROR(TER_horeca_gas_kWh/1000),0,TER_horeca_gas_kWh/1000)*0.902</f>
        <v>987.73699608370077</v>
      </c>
      <c r="E7" s="33">
        <f>$C$27*'E Balans VL '!I9/100/3.6*1000000</f>
        <v>19.798449397057063</v>
      </c>
      <c r="F7" s="33">
        <f>$C$27*('E Balans VL '!L9+'E Balans VL '!N9)/100/3.6*1000000</f>
        <v>175.08141303640593</v>
      </c>
      <c r="G7" s="34"/>
      <c r="H7" s="33"/>
      <c r="I7" s="33"/>
      <c r="J7" s="33">
        <f>$C$27*('E Balans VL '!D9+'E Balans VL '!E9)/100/3.6*1000000</f>
        <v>0</v>
      </c>
      <c r="K7" s="33"/>
      <c r="L7" s="33"/>
      <c r="M7" s="33"/>
      <c r="N7" s="33">
        <f>$C$27*'E Balans VL '!Y9/100/3.6*1000000</f>
        <v>0.39746395867125839</v>
      </c>
      <c r="O7" s="33"/>
      <c r="P7" s="33"/>
      <c r="R7" s="32"/>
    </row>
    <row r="8" spans="1:18">
      <c r="A8" s="6" t="s">
        <v>51</v>
      </c>
      <c r="B8" s="37">
        <f t="shared" si="0"/>
        <v>6505.9939526380804</v>
      </c>
      <c r="C8" s="33"/>
      <c r="D8" s="37">
        <f>IF(ISERROR(TER_handel_gas_kWh/1000),0,TER_handel_gas_kWh/1000)*0.902</f>
        <v>6430.4996203207193</v>
      </c>
      <c r="E8" s="33">
        <f>$C$28*'E Balans VL '!I13/100/3.6*1000000</f>
        <v>235.97159837895245</v>
      </c>
      <c r="F8" s="33">
        <f>$C$28*('E Balans VL '!L13+'E Balans VL '!N13)/100/3.6*1000000</f>
        <v>1253.1203126552175</v>
      </c>
      <c r="G8" s="34"/>
      <c r="H8" s="33"/>
      <c r="I8" s="33"/>
      <c r="J8" s="33">
        <f>$C$28*('E Balans VL '!D13+'E Balans VL '!E13)/100/3.6*1000000</f>
        <v>0</v>
      </c>
      <c r="K8" s="33"/>
      <c r="L8" s="33"/>
      <c r="M8" s="33"/>
      <c r="N8" s="33">
        <f>$C$28*'E Balans VL '!Y13/100/3.6*1000000</f>
        <v>9.0122985868497185</v>
      </c>
      <c r="O8" s="33"/>
      <c r="P8" s="33"/>
      <c r="R8" s="32"/>
    </row>
    <row r="9" spans="1:18">
      <c r="A9" s="32" t="s">
        <v>50</v>
      </c>
      <c r="B9" s="37">
        <f t="shared" si="0"/>
        <v>2004.6331128938998</v>
      </c>
      <c r="C9" s="33"/>
      <c r="D9" s="37">
        <f>IF(ISERROR(TER_gezond_gas_kWh/1000),0,TER_gezond_gas_kWh/1000)*0.902</f>
        <v>4647.3968220005718</v>
      </c>
      <c r="E9" s="33">
        <f>$C$29*'E Balans VL '!I10/100/3.6*1000000</f>
        <v>0.12550982504348454</v>
      </c>
      <c r="F9" s="33">
        <f>$C$29*('E Balans VL '!L10+'E Balans VL '!N10)/100/3.6*1000000</f>
        <v>297.79435244694844</v>
      </c>
      <c r="G9" s="34"/>
      <c r="H9" s="33"/>
      <c r="I9" s="33"/>
      <c r="J9" s="33">
        <f>$C$29*('E Balans VL '!D10+'E Balans VL '!E10)/100/3.6*1000000</f>
        <v>0</v>
      </c>
      <c r="K9" s="33"/>
      <c r="L9" s="33"/>
      <c r="M9" s="33"/>
      <c r="N9" s="33">
        <f>$C$29*'E Balans VL '!Y10/100/3.6*1000000</f>
        <v>31.007858420803764</v>
      </c>
      <c r="O9" s="33"/>
      <c r="P9" s="33"/>
      <c r="R9" s="32"/>
    </row>
    <row r="10" spans="1:18">
      <c r="A10" s="32" t="s">
        <v>49</v>
      </c>
      <c r="B10" s="37">
        <f t="shared" si="0"/>
        <v>1599.00906961492</v>
      </c>
      <c r="C10" s="33"/>
      <c r="D10" s="37">
        <f>IF(ISERROR(TER_ander_gas_kWh/1000),0,TER_ander_gas_kWh/1000)*0.902</f>
        <v>1173.7931899222497</v>
      </c>
      <c r="E10" s="33">
        <f>$C$30*'E Balans VL '!I14/100/3.6*1000000</f>
        <v>1.9059616720516193</v>
      </c>
      <c r="F10" s="33">
        <f>$C$30*('E Balans VL '!L14+'E Balans VL '!N14)/100/3.6*1000000</f>
        <v>418.37185897115211</v>
      </c>
      <c r="G10" s="34"/>
      <c r="H10" s="33"/>
      <c r="I10" s="33"/>
      <c r="J10" s="33">
        <f>$C$30*('E Balans VL '!D14+'E Balans VL '!E14)/100/3.6*1000000</f>
        <v>3.4708218958857201E-2</v>
      </c>
      <c r="K10" s="33"/>
      <c r="L10" s="33"/>
      <c r="M10" s="33"/>
      <c r="N10" s="33">
        <f>$C$30*'E Balans VL '!Y14/100/3.6*1000000</f>
        <v>1357.8393747158113</v>
      </c>
      <c r="O10" s="33"/>
      <c r="P10" s="33"/>
      <c r="R10" s="32"/>
    </row>
    <row r="11" spans="1:18">
      <c r="A11" s="32" t="s">
        <v>54</v>
      </c>
      <c r="B11" s="37">
        <f t="shared" si="0"/>
        <v>276.30385562828701</v>
      </c>
      <c r="C11" s="33"/>
      <c r="D11" s="37">
        <f>IF(ISERROR(TER_onderwijs_gas_kWh/1000),0,TER_onderwijs_gas_kWh/1000)*0.902</f>
        <v>495.38712541108544</v>
      </c>
      <c r="E11" s="33">
        <f>$C$31*'E Balans VL '!I11/100/3.6*1000000</f>
        <v>4.168980151753626</v>
      </c>
      <c r="F11" s="33">
        <f>$C$31*('E Balans VL '!L11+'E Balans VL '!N11)/100/3.6*1000000</f>
        <v>48.412849591487117</v>
      </c>
      <c r="G11" s="34"/>
      <c r="H11" s="33"/>
      <c r="I11" s="33"/>
      <c r="J11" s="33">
        <f>$C$31*('E Balans VL '!D11+'E Balans VL '!E11)/100/3.6*1000000</f>
        <v>0</v>
      </c>
      <c r="K11" s="33"/>
      <c r="L11" s="33"/>
      <c r="M11" s="33"/>
      <c r="N11" s="33">
        <f>$C$31*'E Balans VL '!Y11/100/3.6*1000000</f>
        <v>0.7775400551570304</v>
      </c>
      <c r="O11" s="33"/>
      <c r="P11" s="33"/>
      <c r="R11" s="32"/>
    </row>
    <row r="12" spans="1:18">
      <c r="A12" s="32" t="s">
        <v>259</v>
      </c>
      <c r="B12" s="37">
        <f t="shared" si="0"/>
        <v>2470.08899010496</v>
      </c>
      <c r="C12" s="33"/>
      <c r="D12" s="37">
        <f>IF(ISERROR(TER_rest_gas_kWh/1000),0,TER_rest_gas_kWh/1000)*0.902</f>
        <v>2287.4535733993903</v>
      </c>
      <c r="E12" s="33">
        <f>$C$32*'E Balans VL '!I8/100/3.6*1000000</f>
        <v>30.673521514677507</v>
      </c>
      <c r="F12" s="33">
        <f>$C$32*('E Balans VL '!L8+'E Balans VL '!N8)/100/3.6*1000000</f>
        <v>427.13939086697837</v>
      </c>
      <c r="G12" s="34"/>
      <c r="H12" s="33"/>
      <c r="I12" s="33"/>
      <c r="J12" s="33">
        <f>$C$32*('E Balans VL '!D8+'E Balans VL '!E8)/100/3.6*1000000</f>
        <v>5.9813828259847506E-3</v>
      </c>
      <c r="K12" s="33"/>
      <c r="L12" s="33"/>
      <c r="M12" s="33"/>
      <c r="N12" s="33">
        <f>$C$32*'E Balans VL '!Y8/100/3.6*1000000</f>
        <v>239.18033383753232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18020.816220830406</v>
      </c>
      <c r="C16" s="21">
        <f t="shared" ca="1" si="1"/>
        <v>0</v>
      </c>
      <c r="D16" s="21">
        <f t="shared" ca="1" si="1"/>
        <v>20090.70984522103</v>
      </c>
      <c r="E16" s="21">
        <f t="shared" si="1"/>
        <v>292.66772649788288</v>
      </c>
      <c r="F16" s="21">
        <f t="shared" ca="1" si="1"/>
        <v>3188.2788336352905</v>
      </c>
      <c r="G16" s="21">
        <f t="shared" si="1"/>
        <v>0</v>
      </c>
      <c r="H16" s="21">
        <f t="shared" si="1"/>
        <v>0</v>
      </c>
      <c r="I16" s="21">
        <f t="shared" si="1"/>
        <v>0</v>
      </c>
      <c r="J16" s="21">
        <f t="shared" si="1"/>
        <v>4.0689601784841954E-2</v>
      </c>
      <c r="K16" s="21">
        <f t="shared" si="1"/>
        <v>0</v>
      </c>
      <c r="L16" s="21">
        <f t="shared" ca="1" si="1"/>
        <v>0</v>
      </c>
      <c r="M16" s="21">
        <f t="shared" si="1"/>
        <v>0</v>
      </c>
      <c r="N16" s="21">
        <f t="shared" ca="1" si="1"/>
        <v>1641.8319810707951</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0.20342815833642502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3665.941455522704</v>
      </c>
      <c r="C20" s="23">
        <f t="shared" ref="C20:P20" ca="1" si="2">C16*C18</f>
        <v>0</v>
      </c>
      <c r="D20" s="23">
        <f t="shared" ca="1" si="2"/>
        <v>4058.3233887346482</v>
      </c>
      <c r="E20" s="23">
        <f t="shared" si="2"/>
        <v>66.435573915019418</v>
      </c>
      <c r="F20" s="23">
        <f t="shared" ca="1" si="2"/>
        <v>851.27044858062266</v>
      </c>
      <c r="G20" s="23">
        <f t="shared" si="2"/>
        <v>0</v>
      </c>
      <c r="H20" s="23">
        <f t="shared" si="2"/>
        <v>0</v>
      </c>
      <c r="I20" s="23">
        <f t="shared" si="2"/>
        <v>0</v>
      </c>
      <c r="J20" s="23">
        <f t="shared" si="2"/>
        <v>1.4404119031834051E-2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3782.1978759501103</v>
      </c>
      <c r="C26" s="39">
        <f>IF(ISERROR(B26*3.6/1000000/'E Balans VL '!Z12*100),0,B26*3.6/1000000/'E Balans VL '!Z12*100)</f>
        <v>7.9949671612187176E-2</v>
      </c>
      <c r="D26" s="237" t="s">
        <v>744</v>
      </c>
      <c r="F26" s="6"/>
    </row>
    <row r="27" spans="1:18">
      <c r="A27" s="231" t="s">
        <v>52</v>
      </c>
      <c r="B27" s="33">
        <f>IF(ISERROR(TER_horeca_ele_kWh/1000),0,TER_horeca_ele_kWh/1000)</f>
        <v>1382.58936400015</v>
      </c>
      <c r="C27" s="39">
        <f>IF(ISERROR(B27*3.6/1000000/'E Balans VL '!Z9*100),0,B27*3.6/1000000/'E Balans VL '!Z9*100)</f>
        <v>0.10898900424676794</v>
      </c>
      <c r="D27" s="237" t="s">
        <v>744</v>
      </c>
      <c r="F27" s="6"/>
    </row>
    <row r="28" spans="1:18">
      <c r="A28" s="171" t="s">
        <v>51</v>
      </c>
      <c r="B28" s="33">
        <f>IF(ISERROR(TER_handel_ele_kWh/1000),0,TER_handel_ele_kWh/1000)</f>
        <v>6505.9939526380804</v>
      </c>
      <c r="C28" s="39">
        <f>IF(ISERROR(B28*3.6/1000000/'E Balans VL '!Z13*100),0,B28*3.6/1000000/'E Balans VL '!Z13*100)</f>
        <v>0.18883023166676263</v>
      </c>
      <c r="D28" s="237" t="s">
        <v>744</v>
      </c>
      <c r="F28" s="6"/>
    </row>
    <row r="29" spans="1:18">
      <c r="A29" s="231" t="s">
        <v>50</v>
      </c>
      <c r="B29" s="33">
        <f>IF(ISERROR(TER_gezond_ele_kWh/1000),0,TER_gezond_ele_kWh/1000)</f>
        <v>2004.6331128938998</v>
      </c>
      <c r="C29" s="39">
        <f>IF(ISERROR(B29*3.6/1000000/'E Balans VL '!Z10*100),0,B29*3.6/1000000/'E Balans VL '!Z10*100)</f>
        <v>0.21112078373232146</v>
      </c>
      <c r="D29" s="237" t="s">
        <v>744</v>
      </c>
      <c r="F29" s="6"/>
    </row>
    <row r="30" spans="1:18">
      <c r="A30" s="231" t="s">
        <v>49</v>
      </c>
      <c r="B30" s="33">
        <f>IF(ISERROR(TER_ander_ele_kWh/1000),0,TER_ander_ele_kWh/1000)</f>
        <v>1599.00906961492</v>
      </c>
      <c r="C30" s="39">
        <f>IF(ISERROR(B30*3.6/1000000/'E Balans VL '!Z14*100),0,B30*3.6/1000000/'E Balans VL '!Z14*100)</f>
        <v>0.11794325627783882</v>
      </c>
      <c r="D30" s="237" t="s">
        <v>744</v>
      </c>
      <c r="F30" s="6"/>
    </row>
    <row r="31" spans="1:18">
      <c r="A31" s="231" t="s">
        <v>54</v>
      </c>
      <c r="B31" s="33">
        <f>IF(ISERROR(TER_onderwijs_ele_kWh/1000),0,TER_onderwijs_ele_kWh/1000)</f>
        <v>276.30385562828701</v>
      </c>
      <c r="C31" s="39">
        <f>IF(ISERROR(B31*3.6/1000000/'E Balans VL '!Z11*100),0,B31*3.6/1000000/'E Balans VL '!Z11*100)</f>
        <v>6.8619190187331508E-2</v>
      </c>
      <c r="D31" s="237" t="s">
        <v>744</v>
      </c>
    </row>
    <row r="32" spans="1:18">
      <c r="A32" s="231" t="s">
        <v>259</v>
      </c>
      <c r="B32" s="33">
        <f>IF(ISERROR(TER_rest_ele_kWh/1000),0,TER_rest_ele_kWh/1000)</f>
        <v>2470.08899010496</v>
      </c>
      <c r="C32" s="39">
        <f>IF(ISERROR(B32*3.6/1000000/'E Balans VL '!Z8*100),0,B32*3.6/1000000/'E Balans VL '!Z8*100)</f>
        <v>2.0325553678718963E-2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37890.259414613749</v>
      </c>
      <c r="C5" s="17">
        <f>IF(ISERROR('Eigen informatie GS &amp; warmtenet'!B59),0,'Eigen informatie GS &amp; warmtenet'!B59)</f>
        <v>0</v>
      </c>
      <c r="D5" s="30">
        <f>SUM(D6:D15)</f>
        <v>23644.885278870614</v>
      </c>
      <c r="E5" s="17">
        <f>SUM(E6:E15)</f>
        <v>1171.4349026230616</v>
      </c>
      <c r="F5" s="17">
        <f>SUM(F6:F15)</f>
        <v>4754.0640877279893</v>
      </c>
      <c r="G5" s="18"/>
      <c r="H5" s="17"/>
      <c r="I5" s="17"/>
      <c r="J5" s="17">
        <f>SUM(J6:J15)</f>
        <v>18.418329912101207</v>
      </c>
      <c r="K5" s="17"/>
      <c r="L5" s="17"/>
      <c r="M5" s="17"/>
      <c r="N5" s="17">
        <f>SUM(N6:N15)</f>
        <v>6794.9243636865549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557.02248210368396</v>
      </c>
      <c r="C8" s="33"/>
      <c r="D8" s="37">
        <f>IF( ISERROR(IND_metaal_Gas_kWH/1000),0,IND_metaal_Gas_kWH/1000)*0.902</f>
        <v>349.78243480698347</v>
      </c>
      <c r="E8" s="33">
        <f>C30*'E Balans VL '!I18/100/3.6*1000000</f>
        <v>5.1212837455139777</v>
      </c>
      <c r="F8" s="33">
        <f>C30*'E Balans VL '!L18/100/3.6*1000000+C30*'E Balans VL '!N18/100/3.6*1000000</f>
        <v>52.230163665670652</v>
      </c>
      <c r="G8" s="34"/>
      <c r="H8" s="33"/>
      <c r="I8" s="33"/>
      <c r="J8" s="40">
        <f>C30*'E Balans VL '!D18/100/3.6*1000000+C30*'E Balans VL '!E18/100/3.6*1000000</f>
        <v>0</v>
      </c>
      <c r="K8" s="33"/>
      <c r="L8" s="33"/>
      <c r="M8" s="33"/>
      <c r="N8" s="33">
        <f>C30*'E Balans VL '!Y18/100/3.6*1000000</f>
        <v>7.9468462256247241</v>
      </c>
      <c r="O8" s="33"/>
      <c r="P8" s="33"/>
      <c r="R8" s="32"/>
    </row>
    <row r="9" spans="1:18">
      <c r="A9" s="6" t="s">
        <v>32</v>
      </c>
      <c r="B9" s="37">
        <f t="shared" si="0"/>
        <v>2931.0640461006101</v>
      </c>
      <c r="C9" s="33"/>
      <c r="D9" s="37">
        <f>IF( ISERROR(IND_andere_gas_kWh/1000),0,IND_andere_gas_kWh/1000)*0.902</f>
        <v>827.79662965353998</v>
      </c>
      <c r="E9" s="33">
        <f>C31*'E Balans VL '!I19/100/3.6*1000000</f>
        <v>856.80708176186965</v>
      </c>
      <c r="F9" s="33">
        <f>C31*'E Balans VL '!L19/100/3.6*1000000+C31*'E Balans VL '!N19/100/3.6*1000000</f>
        <v>2355.3318222042126</v>
      </c>
      <c r="G9" s="34"/>
      <c r="H9" s="33"/>
      <c r="I9" s="33"/>
      <c r="J9" s="40">
        <f>C31*'E Balans VL '!D19/100/3.6*1000000+C31*'E Balans VL '!E19/100/3.6*1000000</f>
        <v>0</v>
      </c>
      <c r="K9" s="33"/>
      <c r="L9" s="33"/>
      <c r="M9" s="33"/>
      <c r="N9" s="33">
        <f>C31*'E Balans VL '!Y19/100/3.6*1000000</f>
        <v>229.90868289618805</v>
      </c>
      <c r="O9" s="33"/>
      <c r="P9" s="33"/>
      <c r="R9" s="32"/>
    </row>
    <row r="10" spans="1:18">
      <c r="A10" s="6" t="s">
        <v>40</v>
      </c>
      <c r="B10" s="37">
        <f t="shared" si="0"/>
        <v>17476.301427579601</v>
      </c>
      <c r="C10" s="33"/>
      <c r="D10" s="37">
        <f>IF( ISERROR(IND_voed_gas_kWh/1000),0,IND_voed_gas_kWh/1000)*0.902</f>
        <v>12410.622949226103</v>
      </c>
      <c r="E10" s="33">
        <f>C32*'E Balans VL '!I20/100/3.6*1000000</f>
        <v>36.97138664330766</v>
      </c>
      <c r="F10" s="33">
        <f>C32*'E Balans VL '!L20/100/3.6*1000000+C32*'E Balans VL '!N20/100/3.6*1000000</f>
        <v>1111.1610962839316</v>
      </c>
      <c r="G10" s="34"/>
      <c r="H10" s="33"/>
      <c r="I10" s="33"/>
      <c r="J10" s="40">
        <f>C32*'E Balans VL '!D20/100/3.6*1000000+C32*'E Balans VL '!E20/100/3.6*1000000</f>
        <v>0</v>
      </c>
      <c r="K10" s="33"/>
      <c r="L10" s="33"/>
      <c r="M10" s="33"/>
      <c r="N10" s="33">
        <f>C32*'E Balans VL '!Y20/100/3.6*1000000</f>
        <v>1206.0372588594767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86.344628013100206</v>
      </c>
      <c r="C12" s="33"/>
      <c r="D12" s="37">
        <f>IF( ISERROR(IND_min_gas_kWh/1000),0,IND_min_gas_kWh/1000)*0.902</f>
        <v>0</v>
      </c>
      <c r="E12" s="33">
        <f>C34*'E Balans VL '!I22/100/3.6*1000000</f>
        <v>2.5027752279220983</v>
      </c>
      <c r="F12" s="33">
        <f>C34*'E Balans VL '!L22/100/3.6*1000000+C34*'E Balans VL '!N22/100/3.6*1000000</f>
        <v>29.686258826946275</v>
      </c>
      <c r="G12" s="34"/>
      <c r="H12" s="33"/>
      <c r="I12" s="33"/>
      <c r="J12" s="40">
        <f>C34*'E Balans VL '!D22/100/3.6*1000000+C34*'E Balans VL '!E22/100/3.6*1000000</f>
        <v>0.14189024339105938</v>
      </c>
      <c r="K12" s="33"/>
      <c r="L12" s="33"/>
      <c r="M12" s="33"/>
      <c r="N12" s="33">
        <f>C34*'E Balans VL '!Y22/100/3.6*1000000</f>
        <v>18.902257998490636</v>
      </c>
      <c r="O12" s="33"/>
      <c r="P12" s="33"/>
      <c r="R12" s="32"/>
    </row>
    <row r="13" spans="1:18">
      <c r="A13" s="6" t="s">
        <v>38</v>
      </c>
      <c r="B13" s="37">
        <f t="shared" si="0"/>
        <v>12264.175785113999</v>
      </c>
      <c r="C13" s="33"/>
      <c r="D13" s="37">
        <f>IF( ISERROR(IND_papier_gas_kWh/1000),0,IND_papier_gas_kWh/1000)*0.902</f>
        <v>74.945425536609861</v>
      </c>
      <c r="E13" s="33">
        <f>C35*'E Balans VL '!I23/100/3.6*1000000</f>
        <v>17.400060643848281</v>
      </c>
      <c r="F13" s="33">
        <f>C35*'E Balans VL '!L23/100/3.6*1000000+C35*'E Balans VL '!N23/100/3.6*1000000</f>
        <v>299.41464718890438</v>
      </c>
      <c r="G13" s="34"/>
      <c r="H13" s="33"/>
      <c r="I13" s="33"/>
      <c r="J13" s="40">
        <f>C35*'E Balans VL '!D23/100/3.6*1000000+C35*'E Balans VL '!E23/100/3.6*1000000</f>
        <v>1.8967699282666779</v>
      </c>
      <c r="K13" s="33"/>
      <c r="L13" s="33"/>
      <c r="M13" s="33"/>
      <c r="N13" s="33">
        <f>C35*'E Balans VL '!Y23/100/3.6*1000000</f>
        <v>5010.964407174285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4575.3510457027496</v>
      </c>
      <c r="C15" s="33"/>
      <c r="D15" s="37">
        <f>IF( ISERROR(IND_rest_gas_kWh/1000),0,IND_rest_gas_kWh/1000)*0.902</f>
        <v>9981.7378396473796</v>
      </c>
      <c r="E15" s="33">
        <f>C37*'E Balans VL '!I15/100/3.6*1000000</f>
        <v>252.6323146005999</v>
      </c>
      <c r="F15" s="33">
        <f>C37*'E Balans VL '!L15/100/3.6*1000000+C37*'E Balans VL '!N15/100/3.6*1000000</f>
        <v>906.24009955832298</v>
      </c>
      <c r="G15" s="34"/>
      <c r="H15" s="33"/>
      <c r="I15" s="33"/>
      <c r="J15" s="40">
        <f>C37*'E Balans VL '!D15/100/3.6*1000000+C37*'E Balans VL '!E15/100/3.6*1000000</f>
        <v>16.379669740443468</v>
      </c>
      <c r="K15" s="33"/>
      <c r="L15" s="33"/>
      <c r="M15" s="33"/>
      <c r="N15" s="33">
        <f>C37*'E Balans VL '!Y15/100/3.6*1000000</f>
        <v>321.16491053248996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37890.259414613749</v>
      </c>
      <c r="C18" s="21">
        <f>C5+C16</f>
        <v>0</v>
      </c>
      <c r="D18" s="21">
        <f>MAX((D5+D16),0)</f>
        <v>23644.885278870614</v>
      </c>
      <c r="E18" s="21">
        <f>MAX((E5+E16),0)</f>
        <v>1171.4349026230616</v>
      </c>
      <c r="F18" s="21">
        <f>MAX((F5+F16),0)</f>
        <v>4754.0640877279893</v>
      </c>
      <c r="G18" s="21"/>
      <c r="H18" s="21"/>
      <c r="I18" s="21"/>
      <c r="J18" s="21">
        <f>MAX((J5+J16),0)</f>
        <v>18.418329912101207</v>
      </c>
      <c r="K18" s="21"/>
      <c r="L18" s="21">
        <f>MAX((L5+L16),0)</f>
        <v>0</v>
      </c>
      <c r="M18" s="21"/>
      <c r="N18" s="21">
        <f>MAX((N5+N16),0)</f>
        <v>6794.9243636865549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0.20342815833642502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7707.9456916042645</v>
      </c>
      <c r="C22" s="23">
        <f ca="1">C18*C20</f>
        <v>0</v>
      </c>
      <c r="D22" s="23">
        <f>D18*D20</f>
        <v>4776.2668263318646</v>
      </c>
      <c r="E22" s="23">
        <f>E18*E20</f>
        <v>265.91572289543501</v>
      </c>
      <c r="F22" s="23">
        <f>F18*F20</f>
        <v>1269.3351114233733</v>
      </c>
      <c r="G22" s="23"/>
      <c r="H22" s="23"/>
      <c r="I22" s="23"/>
      <c r="J22" s="23">
        <f>J18*J20</f>
        <v>6.520088788883827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557.02248210368396</v>
      </c>
      <c r="C30" s="39">
        <f>IF(ISERROR(B30*3.6/1000000/'E Balans VL '!Z18*100),0,B30*3.6/1000000/'E Balans VL '!Z18*100)</f>
        <v>3.1567892359877558E-2</v>
      </c>
      <c r="D30" s="237" t="s">
        <v>744</v>
      </c>
    </row>
    <row r="31" spans="1:18">
      <c r="A31" s="6" t="s">
        <v>32</v>
      </c>
      <c r="B31" s="37">
        <f>IF( ISERROR(IND_ander_ele_kWh/1000),0,IND_ander_ele_kWh/1000)</f>
        <v>2931.0640461006101</v>
      </c>
      <c r="C31" s="39">
        <f>IF(ISERROR(B31*3.6/1000000/'E Balans VL '!Z19*100),0,B31*3.6/1000000/'E Balans VL '!Z19*100)</f>
        <v>0.13294086039285546</v>
      </c>
      <c r="D31" s="237" t="s">
        <v>744</v>
      </c>
    </row>
    <row r="32" spans="1:18">
      <c r="A32" s="171" t="s">
        <v>40</v>
      </c>
      <c r="B32" s="37">
        <f>IF( ISERROR(IND_voed_ele_kWh/1000),0,IND_voed_ele_kWh/1000)</f>
        <v>17476.301427579601</v>
      </c>
      <c r="C32" s="39">
        <f>IF(ISERROR(B32*3.6/1000000/'E Balans VL '!Z20*100),0,B32*3.6/1000000/'E Balans VL '!Z20*100)</f>
        <v>0.54062133886476849</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86.344628013100206</v>
      </c>
      <c r="C34" s="39">
        <f>IF(ISERROR(B34*3.6/1000000/'E Balans VL '!Z22*100),0,B34*3.6/1000000/'E Balans VL '!Z22*100)</f>
        <v>1.5530704658188383E-2</v>
      </c>
      <c r="D34" s="237" t="s">
        <v>744</v>
      </c>
    </row>
    <row r="35" spans="1:5">
      <c r="A35" s="171" t="s">
        <v>38</v>
      </c>
      <c r="B35" s="37">
        <f>IF( ISERROR(IND_papier_ele_kWh/1000),0,IND_papier_ele_kWh/1000)</f>
        <v>12264.175785113999</v>
      </c>
      <c r="C35" s="39">
        <f>IF(ISERROR(B35*3.6/1000000/'E Balans VL '!Z22*100),0,B35*3.6/1000000/'E Balans VL '!Z22*100)</f>
        <v>2.2059425858643213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4575.3510457027496</v>
      </c>
      <c r="C37" s="39">
        <f>IF(ISERROR(B37*3.6/1000000/'E Balans VL '!Z15*100),0,B37*3.6/1000000/'E Balans VL '!Z15*100)</f>
        <v>3.6265276102678594E-2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1067.1331280951647</v>
      </c>
      <c r="C5" s="17">
        <f>'Eigen informatie GS &amp; warmtenet'!B60</f>
        <v>0</v>
      </c>
      <c r="D5" s="30">
        <f>IF(ISERROR(SUM(LB_lb_gas_kWh,LB_rest_gas_kWh)/1000),0,SUM(LB_lb_gas_kWh,LB_rest_gas_kWh)/1000)*0.902</f>
        <v>1740.4695394264281</v>
      </c>
      <c r="E5" s="17">
        <f>B17*'E Balans VL '!I25/3.6*1000000/100</f>
        <v>31.366302035495014</v>
      </c>
      <c r="F5" s="17">
        <f>B17*('E Balans VL '!L25/3.6*1000000+'E Balans VL '!N25/3.6*1000000)/100</f>
        <v>4445.618946796907</v>
      </c>
      <c r="G5" s="18"/>
      <c r="H5" s="17"/>
      <c r="I5" s="17"/>
      <c r="J5" s="17">
        <f>('E Balans VL '!D25+'E Balans VL '!E25)/3.6*1000000*landbouw!B17/100</f>
        <v>154.60467331473583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1067.1331280951647</v>
      </c>
      <c r="C8" s="21">
        <f>C5+C6</f>
        <v>0</v>
      </c>
      <c r="D8" s="21">
        <f>MAX((D5+D6),0)</f>
        <v>1740.4695394264281</v>
      </c>
      <c r="E8" s="21">
        <f>MAX((E5+E6),0)</f>
        <v>31.366302035495014</v>
      </c>
      <c r="F8" s="21">
        <f>MAX((F5+F6),0)</f>
        <v>4445.618946796907</v>
      </c>
      <c r="G8" s="21"/>
      <c r="H8" s="21"/>
      <c r="I8" s="21"/>
      <c r="J8" s="21">
        <f>MAX((J5+J6),0)</f>
        <v>154.60467331473583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0.20342815833642502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217.0849269481877</v>
      </c>
      <c r="C12" s="23">
        <f ca="1">C8*C10</f>
        <v>0</v>
      </c>
      <c r="D12" s="23">
        <f>D8*D10</f>
        <v>351.57484696413849</v>
      </c>
      <c r="E12" s="23">
        <f>E8*E10</f>
        <v>7.1201505620573684</v>
      </c>
      <c r="F12" s="23">
        <f>F8*F10</f>
        <v>1186.9802587947743</v>
      </c>
      <c r="G12" s="23"/>
      <c r="H12" s="23"/>
      <c r="I12" s="23"/>
      <c r="J12" s="23">
        <f>J8*J10</f>
        <v>54.730054353416485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0.15142953890478883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217.38748570199283</v>
      </c>
      <c r="C26" s="247">
        <f>B26*'GWP N2O_CH4'!B5</f>
        <v>4565.1371997418491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48.041692729174819</v>
      </c>
      <c r="C27" s="247">
        <f>B27*'GWP N2O_CH4'!B5</f>
        <v>1008.8755473126712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2.8762217868608966</v>
      </c>
      <c r="C28" s="247">
        <f>B28*'GWP N2O_CH4'!B4</f>
        <v>891.62875392687795</v>
      </c>
      <c r="D28" s="50"/>
    </row>
    <row r="29" spans="1:4">
      <c r="A29" s="41" t="s">
        <v>276</v>
      </c>
      <c r="B29" s="247">
        <f>B34*'ha_N2O bodem landbouw'!B4</f>
        <v>9.7252028155075241</v>
      </c>
      <c r="C29" s="247">
        <f>B29*'GWP N2O_CH4'!B4</f>
        <v>3014.8128728073325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2.2192577679589509E-3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3.4647148681063607E-4</v>
      </c>
      <c r="C5" s="437" t="s">
        <v>210</v>
      </c>
      <c r="D5" s="422">
        <f>SUM(D6:D11)</f>
        <v>9.4471448152943366E-4</v>
      </c>
      <c r="E5" s="422">
        <f>SUM(E6:E11)</f>
        <v>1.8380554726942478E-3</v>
      </c>
      <c r="F5" s="435" t="s">
        <v>210</v>
      </c>
      <c r="G5" s="422">
        <f>SUM(G6:G11)</f>
        <v>0.81919102493199925</v>
      </c>
      <c r="H5" s="422">
        <f>SUM(H6:H11)</f>
        <v>0.16384584228070229</v>
      </c>
      <c r="I5" s="437" t="s">
        <v>210</v>
      </c>
      <c r="J5" s="437" t="s">
        <v>210</v>
      </c>
      <c r="K5" s="437" t="s">
        <v>210</v>
      </c>
      <c r="L5" s="437" t="s">
        <v>210</v>
      </c>
      <c r="M5" s="422">
        <f>SUM(M6:M11)</f>
        <v>5.2685243892414947E-2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7.2556810120203208E-5</v>
      </c>
      <c r="C6" s="423"/>
      <c r="D6" s="865">
        <f>vkm_GW_PW*SUMIFS(TableVerdeelsleutelVkm[CNG],TableVerdeelsleutelVkm[Voertuigtype],"Lichte voertuigen")*SUMIFS(TableECFTransport[EnergieConsumptieFactor (PJ per km)],TableECFTransport[Index],CONCATENATE($A6,"_CNG_CNG"))</f>
        <v>1.7981349156344587E-4</v>
      </c>
      <c r="E6" s="865">
        <f>vkm_GW_PW*SUMIFS(TableVerdeelsleutelVkm[LPG],TableVerdeelsleutelVkm[Voertuigtype],"Lichte voertuigen")*SUMIFS(TableECFTransport[EnergieConsumptieFactor (PJ per km)],TableECFTransport[Index],CONCATENATE($A6,"_LPG_LPG"))</f>
        <v>3.086948631013007E-4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9.4588588908111212E-2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3.0551063373146368E-2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6.4258300174471882E-3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5.9899448948455954E-2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1.0020088252542277E-6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3.4996586099445537E-3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5.0488597153332603E-5</v>
      </c>
      <c r="C8" s="423"/>
      <c r="D8" s="425">
        <f>vkm_NGW_PW*SUMIFS(TableVerdeelsleutelVkm[CNG],TableVerdeelsleutelVkm[Voertuigtype],"Lichte voertuigen")*SUMIFS(TableECFTransport[EnergieConsumptieFactor (PJ per km)],TableECFTransport[Index],CONCATENATE($A8,"_CNG_CNG"))</f>
        <v>2.1148513779773457E-4</v>
      </c>
      <c r="E8" s="425">
        <f>vkm_NGW_PW*SUMIFS(TableVerdeelsleutelVkm[LPG],TableVerdeelsleutelVkm[Voertuigtype],"Lichte voertuigen")*SUMIFS(TableECFTransport[EnergieConsumptieFactor (PJ per km)],TableECFTransport[Index],CONCATENATE($A8,"_LPG_LPG"))</f>
        <v>3.4478927761466777E-4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9.9376453031950099E-2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3.514189548675322E-2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6.8407247567380293E-3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3.1113534210778386E-2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6.4115478927019483E-7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1.8178290890518917E-3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2.2342607953710028E-4</v>
      </c>
      <c r="C10" s="423"/>
      <c r="D10" s="425">
        <f>vkm_SW_PW*SUMIFS(TableVerdeelsleutelVkm[CNG],TableVerdeelsleutelVkm[Voertuigtype],"Lichte voertuigen")*SUMIFS(TableECFTransport[EnergieConsumptieFactor (PJ per km)],TableECFTransport[Index],CONCATENATE($A10,"_CNG_CNG"))</f>
        <v>5.534158521682532E-4</v>
      </c>
      <c r="E10" s="425">
        <f>vkm_SW_PW*SUMIFS(TableVerdeelsleutelVkm[LPG],TableVerdeelsleutelVkm[Voertuigtype],"Lichte voertuigen")*SUMIFS(TableECFTransport[EnergieConsumptieFactor (PJ per km)],TableECFTransport[Index],CONCATENATE($A10,"_LPG_LPG"))</f>
        <v>1.1845713319782792E-3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0.32472492148797355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9.8147507217601931E-2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2.1861737229986647E-2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0.20948807834473004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3.7330395862568944E-6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1.2239464189246638E-2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96.242079669621134</v>
      </c>
      <c r="C14" s="21"/>
      <c r="D14" s="21">
        <f t="shared" ref="D14:M14" si="0">((D5)*10^9/3600)+D12</f>
        <v>262.42068931373154</v>
      </c>
      <c r="E14" s="21">
        <f t="shared" si="0"/>
        <v>510.57096463729101</v>
      </c>
      <c r="F14" s="21"/>
      <c r="G14" s="21">
        <f t="shared" si="0"/>
        <v>227553.06248111089</v>
      </c>
      <c r="H14" s="21">
        <f t="shared" si="0"/>
        <v>45512.73396686175</v>
      </c>
      <c r="I14" s="21"/>
      <c r="J14" s="21"/>
      <c r="K14" s="21"/>
      <c r="L14" s="21"/>
      <c r="M14" s="21">
        <f t="shared" si="0"/>
        <v>14634.789970115264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0.20342815833642502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19.578349021658521</v>
      </c>
      <c r="C18" s="23"/>
      <c r="D18" s="23">
        <f t="shared" ref="D18:M18" si="1">D14*D16</f>
        <v>53.008979241373773</v>
      </c>
      <c r="E18" s="23">
        <f t="shared" si="1"/>
        <v>115.89960897266506</v>
      </c>
      <c r="F18" s="23"/>
      <c r="G18" s="23">
        <f t="shared" si="1"/>
        <v>60756.667682456609</v>
      </c>
      <c r="H18" s="23">
        <f t="shared" si="1"/>
        <v>11332.670757748576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3.9050602872220397E-3</v>
      </c>
      <c r="H50" s="319">
        <f t="shared" si="2"/>
        <v>0</v>
      </c>
      <c r="I50" s="319">
        <f t="shared" si="2"/>
        <v>0</v>
      </c>
      <c r="J50" s="319">
        <f t="shared" si="2"/>
        <v>0</v>
      </c>
      <c r="K50" s="319">
        <f t="shared" si="2"/>
        <v>0</v>
      </c>
      <c r="L50" s="319">
        <f t="shared" si="2"/>
        <v>0</v>
      </c>
      <c r="M50" s="319">
        <f t="shared" si="2"/>
        <v>2.2177343128625089E-4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3.9050602872220397E-3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2.2177343128625089E-4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1084.7389686727888</v>
      </c>
      <c r="H54" s="21">
        <f t="shared" si="3"/>
        <v>0</v>
      </c>
      <c r="I54" s="21">
        <f t="shared" si="3"/>
        <v>0</v>
      </c>
      <c r="J54" s="21">
        <f t="shared" si="3"/>
        <v>0</v>
      </c>
      <c r="K54" s="21">
        <f t="shared" si="3"/>
        <v>0</v>
      </c>
      <c r="L54" s="21">
        <f t="shared" si="3"/>
        <v>0</v>
      </c>
      <c r="M54" s="21">
        <f t="shared" si="3"/>
        <v>61.603730912847467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0.20342815833642502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289.62530463563462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19393.143220830407</v>
      </c>
      <c r="D10" s="979">
        <f ca="1">tertiair!C16</f>
        <v>0</v>
      </c>
      <c r="E10" s="979">
        <f ca="1">tertiair!D16</f>
        <v>20090.70984522103</v>
      </c>
      <c r="F10" s="979">
        <f>tertiair!E16</f>
        <v>292.66772649788288</v>
      </c>
      <c r="G10" s="979">
        <f ca="1">tertiair!F16</f>
        <v>3188.2788336352905</v>
      </c>
      <c r="H10" s="979">
        <f>tertiair!G16</f>
        <v>0</v>
      </c>
      <c r="I10" s="979">
        <f>tertiair!H16</f>
        <v>0</v>
      </c>
      <c r="J10" s="979">
        <f>tertiair!I16</f>
        <v>0</v>
      </c>
      <c r="K10" s="979">
        <f>tertiair!J16</f>
        <v>4.0689601784841954E-2</v>
      </c>
      <c r="L10" s="979">
        <f>tertiair!K16</f>
        <v>0</v>
      </c>
      <c r="M10" s="979">
        <f ca="1">tertiair!L16</f>
        <v>0</v>
      </c>
      <c r="N10" s="979">
        <f>tertiair!M16</f>
        <v>0</v>
      </c>
      <c r="O10" s="979">
        <f ca="1">tertiair!N16</f>
        <v>1641.8319810707951</v>
      </c>
      <c r="P10" s="979">
        <f>tertiair!O16</f>
        <v>6.2533333333333339</v>
      </c>
      <c r="Q10" s="980">
        <f>tertiair!P16</f>
        <v>19.066666666666666</v>
      </c>
      <c r="R10" s="674">
        <f ca="1">SUM(C10:Q10)</f>
        <v>44631.992296857199</v>
      </c>
      <c r="S10" s="67"/>
    </row>
    <row r="11" spans="1:19" s="447" customFormat="1">
      <c r="A11" s="783" t="s">
        <v>224</v>
      </c>
      <c r="B11" s="788"/>
      <c r="C11" s="979">
        <f>huishoudens!B8</f>
        <v>39830.536739256502</v>
      </c>
      <c r="D11" s="979">
        <f>huishoudens!C8</f>
        <v>0</v>
      </c>
      <c r="E11" s="979">
        <f>huishoudens!D8</f>
        <v>52314.269178429618</v>
      </c>
      <c r="F11" s="979">
        <f>huishoudens!E8</f>
        <v>20811.212319733535</v>
      </c>
      <c r="G11" s="979">
        <f>huishoudens!F8</f>
        <v>40840.876790715534</v>
      </c>
      <c r="H11" s="979">
        <f>huishoudens!G8</f>
        <v>0</v>
      </c>
      <c r="I11" s="979">
        <f>huishoudens!H8</f>
        <v>0</v>
      </c>
      <c r="J11" s="979">
        <f>huishoudens!I8</f>
        <v>0</v>
      </c>
      <c r="K11" s="979">
        <f>huishoudens!J8</f>
        <v>2858.9042838902087</v>
      </c>
      <c r="L11" s="979">
        <f>huishoudens!K8</f>
        <v>0</v>
      </c>
      <c r="M11" s="979">
        <f>huishoudens!L8</f>
        <v>0</v>
      </c>
      <c r="N11" s="979">
        <f>huishoudens!M8</f>
        <v>0</v>
      </c>
      <c r="O11" s="979">
        <f>huishoudens!N8</f>
        <v>16961.933028656389</v>
      </c>
      <c r="P11" s="979">
        <f>huishoudens!O8</f>
        <v>297.03333333333336</v>
      </c>
      <c r="Q11" s="980">
        <f>huishoudens!P8</f>
        <v>877.06666666666661</v>
      </c>
      <c r="R11" s="674">
        <f>SUM(C11:Q11)</f>
        <v>174791.83234068178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37890.259414613749</v>
      </c>
      <c r="D13" s="979">
        <f>industrie!C18</f>
        <v>0</v>
      </c>
      <c r="E13" s="979">
        <f>industrie!D18</f>
        <v>23644.885278870614</v>
      </c>
      <c r="F13" s="979">
        <f>industrie!E18</f>
        <v>1171.4349026230616</v>
      </c>
      <c r="G13" s="979">
        <f>industrie!F18</f>
        <v>4754.0640877279893</v>
      </c>
      <c r="H13" s="979">
        <f>industrie!G18</f>
        <v>0</v>
      </c>
      <c r="I13" s="979">
        <f>industrie!H18</f>
        <v>0</v>
      </c>
      <c r="J13" s="979">
        <f>industrie!I18</f>
        <v>0</v>
      </c>
      <c r="K13" s="979">
        <f>industrie!J18</f>
        <v>18.418329912101207</v>
      </c>
      <c r="L13" s="979">
        <f>industrie!K18</f>
        <v>0</v>
      </c>
      <c r="M13" s="979">
        <f>industrie!L18</f>
        <v>0</v>
      </c>
      <c r="N13" s="979">
        <f>industrie!M18</f>
        <v>0</v>
      </c>
      <c r="O13" s="979">
        <f>industrie!N18</f>
        <v>6794.9243636865549</v>
      </c>
      <c r="P13" s="979">
        <f>industrie!O18</f>
        <v>0</v>
      </c>
      <c r="Q13" s="980">
        <f>industrie!P18</f>
        <v>0</v>
      </c>
      <c r="R13" s="674">
        <f>SUM(C13:Q13)</f>
        <v>74273.986377434077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97113.939374700654</v>
      </c>
      <c r="D16" s="706">
        <f t="shared" ref="D16:R16" ca="1" si="0">SUM(D9:D15)</f>
        <v>0</v>
      </c>
      <c r="E16" s="706">
        <f t="shared" ca="1" si="0"/>
        <v>96049.864302521266</v>
      </c>
      <c r="F16" s="706">
        <f t="shared" si="0"/>
        <v>22275.31494885448</v>
      </c>
      <c r="G16" s="706">
        <f t="shared" ca="1" si="0"/>
        <v>48783.219712078811</v>
      </c>
      <c r="H16" s="706">
        <f t="shared" si="0"/>
        <v>0</v>
      </c>
      <c r="I16" s="706">
        <f t="shared" si="0"/>
        <v>0</v>
      </c>
      <c r="J16" s="706">
        <f t="shared" si="0"/>
        <v>0</v>
      </c>
      <c r="K16" s="706">
        <f t="shared" si="0"/>
        <v>2877.3633034040949</v>
      </c>
      <c r="L16" s="706">
        <f t="shared" si="0"/>
        <v>0</v>
      </c>
      <c r="M16" s="706">
        <f t="shared" ca="1" si="0"/>
        <v>0</v>
      </c>
      <c r="N16" s="706">
        <f t="shared" si="0"/>
        <v>0</v>
      </c>
      <c r="O16" s="706">
        <f t="shared" ca="1" si="0"/>
        <v>25398.689373413737</v>
      </c>
      <c r="P16" s="706">
        <f t="shared" si="0"/>
        <v>303.28666666666669</v>
      </c>
      <c r="Q16" s="706">
        <f t="shared" si="0"/>
        <v>896.13333333333333</v>
      </c>
      <c r="R16" s="706">
        <f t="shared" ca="1" si="0"/>
        <v>293697.81101497309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1084.7389686727888</v>
      </c>
      <c r="I19" s="979">
        <f>transport!H54</f>
        <v>0</v>
      </c>
      <c r="J19" s="979">
        <f>transport!I54</f>
        <v>0</v>
      </c>
      <c r="K19" s="979">
        <f>transport!J54</f>
        <v>0</v>
      </c>
      <c r="L19" s="979">
        <f>transport!K54</f>
        <v>0</v>
      </c>
      <c r="M19" s="979">
        <f>transport!L54</f>
        <v>0</v>
      </c>
      <c r="N19" s="979">
        <f>transport!M54</f>
        <v>61.603730912847467</v>
      </c>
      <c r="O19" s="979">
        <f>transport!N54</f>
        <v>0</v>
      </c>
      <c r="P19" s="979">
        <f>transport!O54</f>
        <v>0</v>
      </c>
      <c r="Q19" s="980">
        <f>transport!P54</f>
        <v>0</v>
      </c>
      <c r="R19" s="674">
        <f>SUM(C19:Q19)</f>
        <v>1146.3426995856362</v>
      </c>
      <c r="S19" s="67"/>
    </row>
    <row r="20" spans="1:19" s="447" customFormat="1">
      <c r="A20" s="783" t="s">
        <v>306</v>
      </c>
      <c r="B20" s="788"/>
      <c r="C20" s="979">
        <f>transport!B14</f>
        <v>96.242079669621134</v>
      </c>
      <c r="D20" s="979">
        <f>transport!C14</f>
        <v>0</v>
      </c>
      <c r="E20" s="979">
        <f>transport!D14</f>
        <v>262.42068931373154</v>
      </c>
      <c r="F20" s="979">
        <f>transport!E14</f>
        <v>510.57096463729101</v>
      </c>
      <c r="G20" s="979">
        <f>transport!F14</f>
        <v>0</v>
      </c>
      <c r="H20" s="979">
        <f>transport!G14</f>
        <v>227553.06248111089</v>
      </c>
      <c r="I20" s="979">
        <f>transport!H14</f>
        <v>45512.73396686175</v>
      </c>
      <c r="J20" s="979">
        <f>transport!I14</f>
        <v>0</v>
      </c>
      <c r="K20" s="979">
        <f>transport!J14</f>
        <v>0</v>
      </c>
      <c r="L20" s="979">
        <f>transport!K14</f>
        <v>0</v>
      </c>
      <c r="M20" s="979">
        <f>transport!L14</f>
        <v>0</v>
      </c>
      <c r="N20" s="979">
        <f>transport!M14</f>
        <v>14634.789970115264</v>
      </c>
      <c r="O20" s="979">
        <f>transport!N14</f>
        <v>0</v>
      </c>
      <c r="P20" s="979">
        <f>transport!O14</f>
        <v>0</v>
      </c>
      <c r="Q20" s="980">
        <f>transport!P14</f>
        <v>0</v>
      </c>
      <c r="R20" s="674">
        <f>SUM(C20:Q20)</f>
        <v>288569.82015170855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96.242079669621134</v>
      </c>
      <c r="D22" s="786">
        <f t="shared" ref="D22:R22" si="1">SUM(D18:D21)</f>
        <v>0</v>
      </c>
      <c r="E22" s="786">
        <f t="shared" si="1"/>
        <v>262.42068931373154</v>
      </c>
      <c r="F22" s="786">
        <f t="shared" si="1"/>
        <v>510.57096463729101</v>
      </c>
      <c r="G22" s="786">
        <f t="shared" si="1"/>
        <v>0</v>
      </c>
      <c r="H22" s="786">
        <f t="shared" si="1"/>
        <v>228637.80144978367</v>
      </c>
      <c r="I22" s="786">
        <f t="shared" si="1"/>
        <v>45512.73396686175</v>
      </c>
      <c r="J22" s="786">
        <f t="shared" si="1"/>
        <v>0</v>
      </c>
      <c r="K22" s="786">
        <f t="shared" si="1"/>
        <v>0</v>
      </c>
      <c r="L22" s="786">
        <f t="shared" si="1"/>
        <v>0</v>
      </c>
      <c r="M22" s="786">
        <f t="shared" si="1"/>
        <v>0</v>
      </c>
      <c r="N22" s="786">
        <f t="shared" si="1"/>
        <v>14696.393701028112</v>
      </c>
      <c r="O22" s="786">
        <f t="shared" si="1"/>
        <v>0</v>
      </c>
      <c r="P22" s="786">
        <f t="shared" si="1"/>
        <v>0</v>
      </c>
      <c r="Q22" s="786">
        <f t="shared" si="1"/>
        <v>0</v>
      </c>
      <c r="R22" s="786">
        <f t="shared" si="1"/>
        <v>289716.16285129421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1067.1331280951647</v>
      </c>
      <c r="D24" s="979">
        <f>+landbouw!C8</f>
        <v>0</v>
      </c>
      <c r="E24" s="979">
        <f>+landbouw!D8</f>
        <v>1740.4695394264281</v>
      </c>
      <c r="F24" s="979">
        <f>+landbouw!E8</f>
        <v>31.366302035495014</v>
      </c>
      <c r="G24" s="979">
        <f>+landbouw!F8</f>
        <v>4445.618946796907</v>
      </c>
      <c r="H24" s="979">
        <f>+landbouw!G8</f>
        <v>0</v>
      </c>
      <c r="I24" s="979">
        <f>+landbouw!H8</f>
        <v>0</v>
      </c>
      <c r="J24" s="979">
        <f>+landbouw!I8</f>
        <v>0</v>
      </c>
      <c r="K24" s="979">
        <f>+landbouw!J8</f>
        <v>154.60467331473583</v>
      </c>
      <c r="L24" s="979">
        <f>+landbouw!K8</f>
        <v>0</v>
      </c>
      <c r="M24" s="979">
        <f>+landbouw!L8</f>
        <v>0</v>
      </c>
      <c r="N24" s="979">
        <f>+landbouw!M8</f>
        <v>0</v>
      </c>
      <c r="O24" s="979">
        <f>+landbouw!N8</f>
        <v>0</v>
      </c>
      <c r="P24" s="979">
        <f>+landbouw!O8</f>
        <v>0</v>
      </c>
      <c r="Q24" s="980">
        <f>+landbouw!P8</f>
        <v>0</v>
      </c>
      <c r="R24" s="674">
        <f>SUM(C24:Q24)</f>
        <v>7439.1925896687308</v>
      </c>
      <c r="S24" s="67"/>
    </row>
    <row r="25" spans="1:19" s="447" customFormat="1" ht="15" thickBot="1">
      <c r="A25" s="805" t="s">
        <v>823</v>
      </c>
      <c r="B25" s="982"/>
      <c r="C25" s="983">
        <f>IF(Onbekend_ele_kWh="---",0,Onbekend_ele_kWh)/1000+IF(REST_rest_ele_kWh="---",0,REST_rest_ele_kWh)/1000</f>
        <v>1029.06031843395</v>
      </c>
      <c r="D25" s="983"/>
      <c r="E25" s="983">
        <f>IF(onbekend_gas_kWh="---",0,onbekend_gas_kWh)/1000+IF(REST_rest_gas_kWh="---",0,REST_rest_gas_kWh)/1000</f>
        <v>1639.2710694949999</v>
      </c>
      <c r="F25" s="983"/>
      <c r="G25" s="983"/>
      <c r="H25" s="983"/>
      <c r="I25" s="983"/>
      <c r="J25" s="983"/>
      <c r="K25" s="983"/>
      <c r="L25" s="983"/>
      <c r="M25" s="983"/>
      <c r="N25" s="983"/>
      <c r="O25" s="983"/>
      <c r="P25" s="983"/>
      <c r="Q25" s="984"/>
      <c r="R25" s="674">
        <f>SUM(C25:Q25)</f>
        <v>2668.3313879289499</v>
      </c>
      <c r="S25" s="67"/>
    </row>
    <row r="26" spans="1:19" s="447" customFormat="1" ht="15.75" thickBot="1">
      <c r="A26" s="679" t="s">
        <v>824</v>
      </c>
      <c r="B26" s="791"/>
      <c r="C26" s="786">
        <f>SUM(C24:C25)</f>
        <v>2096.1934465291147</v>
      </c>
      <c r="D26" s="786">
        <f t="shared" ref="D26:R26" si="2">SUM(D24:D25)</f>
        <v>0</v>
      </c>
      <c r="E26" s="786">
        <f t="shared" si="2"/>
        <v>3379.7406089214282</v>
      </c>
      <c r="F26" s="786">
        <f t="shared" si="2"/>
        <v>31.366302035495014</v>
      </c>
      <c r="G26" s="786">
        <f t="shared" si="2"/>
        <v>4445.618946796907</v>
      </c>
      <c r="H26" s="786">
        <f t="shared" si="2"/>
        <v>0</v>
      </c>
      <c r="I26" s="786">
        <f t="shared" si="2"/>
        <v>0</v>
      </c>
      <c r="J26" s="786">
        <f t="shared" si="2"/>
        <v>0</v>
      </c>
      <c r="K26" s="786">
        <f t="shared" si="2"/>
        <v>154.60467331473583</v>
      </c>
      <c r="L26" s="786">
        <f t="shared" si="2"/>
        <v>0</v>
      </c>
      <c r="M26" s="786">
        <f t="shared" si="2"/>
        <v>0</v>
      </c>
      <c r="N26" s="786">
        <f t="shared" si="2"/>
        <v>0</v>
      </c>
      <c r="O26" s="786">
        <f t="shared" si="2"/>
        <v>0</v>
      </c>
      <c r="P26" s="786">
        <f t="shared" si="2"/>
        <v>0</v>
      </c>
      <c r="Q26" s="786">
        <f t="shared" si="2"/>
        <v>0</v>
      </c>
      <c r="R26" s="786">
        <f t="shared" si="2"/>
        <v>10107.523977597681</v>
      </c>
      <c r="S26" s="67"/>
    </row>
    <row r="27" spans="1:19" s="447" customFormat="1" ht="17.25" thickTop="1" thickBot="1">
      <c r="A27" s="680" t="s">
        <v>115</v>
      </c>
      <c r="B27" s="779"/>
      <c r="C27" s="681">
        <f ca="1">C22+C16+C26</f>
        <v>99306.374900899391</v>
      </c>
      <c r="D27" s="681">
        <f t="shared" ref="D27:R27" ca="1" si="3">D22+D16+D26</f>
        <v>0</v>
      </c>
      <c r="E27" s="681">
        <f t="shared" ca="1" si="3"/>
        <v>99692.025600756431</v>
      </c>
      <c r="F27" s="681">
        <f t="shared" si="3"/>
        <v>22817.252215527267</v>
      </c>
      <c r="G27" s="681">
        <f t="shared" ca="1" si="3"/>
        <v>53228.83865887572</v>
      </c>
      <c r="H27" s="681">
        <f t="shared" si="3"/>
        <v>228637.80144978367</v>
      </c>
      <c r="I27" s="681">
        <f t="shared" si="3"/>
        <v>45512.73396686175</v>
      </c>
      <c r="J27" s="681">
        <f t="shared" si="3"/>
        <v>0</v>
      </c>
      <c r="K27" s="681">
        <f t="shared" si="3"/>
        <v>3031.9679767188309</v>
      </c>
      <c r="L27" s="681">
        <f t="shared" si="3"/>
        <v>0</v>
      </c>
      <c r="M27" s="681">
        <f t="shared" ca="1" si="3"/>
        <v>0</v>
      </c>
      <c r="N27" s="681">
        <f t="shared" si="3"/>
        <v>14696.393701028112</v>
      </c>
      <c r="O27" s="681">
        <f t="shared" ca="1" si="3"/>
        <v>25398.689373413737</v>
      </c>
      <c r="P27" s="681">
        <f t="shared" si="3"/>
        <v>303.28666666666669</v>
      </c>
      <c r="Q27" s="681">
        <f t="shared" si="3"/>
        <v>896.13333333333333</v>
      </c>
      <c r="R27" s="681">
        <f t="shared" ca="1" si="3"/>
        <v>593521.49784386507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3945.1114097680552</v>
      </c>
      <c r="D40" s="979">
        <f ca="1">tertiair!C20</f>
        <v>0</v>
      </c>
      <c r="E40" s="979">
        <f ca="1">tertiair!D20</f>
        <v>4058.3233887346482</v>
      </c>
      <c r="F40" s="979">
        <f>tertiair!E20</f>
        <v>66.435573915019418</v>
      </c>
      <c r="G40" s="979">
        <f ca="1">tertiair!F20</f>
        <v>851.27044858062266</v>
      </c>
      <c r="H40" s="979">
        <f>tertiair!G20</f>
        <v>0</v>
      </c>
      <c r="I40" s="979">
        <f>tertiair!H20</f>
        <v>0</v>
      </c>
      <c r="J40" s="979">
        <f>tertiair!I20</f>
        <v>0</v>
      </c>
      <c r="K40" s="979">
        <f>tertiair!J20</f>
        <v>1.4404119031834051E-2</v>
      </c>
      <c r="L40" s="979">
        <f>tertiair!K20</f>
        <v>0</v>
      </c>
      <c r="M40" s="979">
        <f ca="1">tertiair!L20</f>
        <v>0</v>
      </c>
      <c r="N40" s="979">
        <f>tertiair!M20</f>
        <v>0</v>
      </c>
      <c r="O40" s="979">
        <f ca="1">tertiair!N20</f>
        <v>0</v>
      </c>
      <c r="P40" s="979">
        <f>tertiair!O20</f>
        <v>0</v>
      </c>
      <c r="Q40" s="748">
        <f>tertiair!P20</f>
        <v>0</v>
      </c>
      <c r="R40" s="824">
        <f t="shared" ca="1" si="4"/>
        <v>8921.155225117378</v>
      </c>
    </row>
    <row r="41" spans="1:18">
      <c r="A41" s="796" t="s">
        <v>224</v>
      </c>
      <c r="B41" s="803"/>
      <c r="C41" s="979">
        <f ca="1">huishoudens!B12</f>
        <v>8102.6527344182659</v>
      </c>
      <c r="D41" s="979">
        <f ca="1">huishoudens!C12</f>
        <v>0</v>
      </c>
      <c r="E41" s="979">
        <f>huishoudens!D12</f>
        <v>10567.482374042784</v>
      </c>
      <c r="F41" s="979">
        <f>huishoudens!E12</f>
        <v>4724.1451965795122</v>
      </c>
      <c r="G41" s="979">
        <f>huishoudens!F12</f>
        <v>10904.514103121048</v>
      </c>
      <c r="H41" s="979">
        <f>huishoudens!G12</f>
        <v>0</v>
      </c>
      <c r="I41" s="979">
        <f>huishoudens!H12</f>
        <v>0</v>
      </c>
      <c r="J41" s="979">
        <f>huishoudens!I12</f>
        <v>0</v>
      </c>
      <c r="K41" s="979">
        <f>huishoudens!J12</f>
        <v>1012.0521164971339</v>
      </c>
      <c r="L41" s="979">
        <f>huishoudens!K12</f>
        <v>0</v>
      </c>
      <c r="M41" s="979">
        <f>huishoudens!L12</f>
        <v>0</v>
      </c>
      <c r="N41" s="979">
        <f>huishoudens!M12</f>
        <v>0</v>
      </c>
      <c r="O41" s="979">
        <f>huishoudens!N12</f>
        <v>0</v>
      </c>
      <c r="P41" s="979">
        <f>huishoudens!O12</f>
        <v>0</v>
      </c>
      <c r="Q41" s="748">
        <f>huishoudens!P12</f>
        <v>0</v>
      </c>
      <c r="R41" s="824">
        <f t="shared" ca="1" si="4"/>
        <v>35310.846524658751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7707.9456916042645</v>
      </c>
      <c r="D43" s="979">
        <f ca="1">industrie!C22</f>
        <v>0</v>
      </c>
      <c r="E43" s="979">
        <f>industrie!D22</f>
        <v>4776.2668263318646</v>
      </c>
      <c r="F43" s="979">
        <f>industrie!E22</f>
        <v>265.91572289543501</v>
      </c>
      <c r="G43" s="979">
        <f>industrie!F22</f>
        <v>1269.3351114233733</v>
      </c>
      <c r="H43" s="979">
        <f>industrie!G22</f>
        <v>0</v>
      </c>
      <c r="I43" s="979">
        <f>industrie!H22</f>
        <v>0</v>
      </c>
      <c r="J43" s="979">
        <f>industrie!I22</f>
        <v>0</v>
      </c>
      <c r="K43" s="979">
        <f>industrie!J22</f>
        <v>6.520088788883827</v>
      </c>
      <c r="L43" s="979">
        <f>industrie!K22</f>
        <v>0</v>
      </c>
      <c r="M43" s="979">
        <f>industrie!L22</f>
        <v>0</v>
      </c>
      <c r="N43" s="979">
        <f>industrie!M22</f>
        <v>0</v>
      </c>
      <c r="O43" s="979">
        <f>industrie!N22</f>
        <v>0</v>
      </c>
      <c r="P43" s="979">
        <f>industrie!O22</f>
        <v>0</v>
      </c>
      <c r="Q43" s="748">
        <f>industrie!P22</f>
        <v>0</v>
      </c>
      <c r="R43" s="823">
        <f t="shared" ca="1" si="4"/>
        <v>14025.983441043822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19755.709835790585</v>
      </c>
      <c r="D46" s="706">
        <f t="shared" ref="D46:Q46" ca="1" si="5">SUM(D39:D45)</f>
        <v>0</v>
      </c>
      <c r="E46" s="706">
        <f t="shared" ca="1" si="5"/>
        <v>19402.072589109295</v>
      </c>
      <c r="F46" s="706">
        <f t="shared" si="5"/>
        <v>5056.4964933899664</v>
      </c>
      <c r="G46" s="706">
        <f t="shared" ca="1" si="5"/>
        <v>13025.119663125044</v>
      </c>
      <c r="H46" s="706">
        <f t="shared" si="5"/>
        <v>0</v>
      </c>
      <c r="I46" s="706">
        <f t="shared" si="5"/>
        <v>0</v>
      </c>
      <c r="J46" s="706">
        <f t="shared" si="5"/>
        <v>0</v>
      </c>
      <c r="K46" s="706">
        <f t="shared" si="5"/>
        <v>1018.5866094050496</v>
      </c>
      <c r="L46" s="706">
        <f t="shared" si="5"/>
        <v>0</v>
      </c>
      <c r="M46" s="706">
        <f t="shared" ca="1" si="5"/>
        <v>0</v>
      </c>
      <c r="N46" s="706">
        <f t="shared" si="5"/>
        <v>0</v>
      </c>
      <c r="O46" s="706">
        <f t="shared" ca="1" si="5"/>
        <v>0</v>
      </c>
      <c r="P46" s="706">
        <f t="shared" si="5"/>
        <v>0</v>
      </c>
      <c r="Q46" s="706">
        <f t="shared" si="5"/>
        <v>0</v>
      </c>
      <c r="R46" s="706">
        <f ca="1">SUM(R39:R45)</f>
        <v>58257.985190819949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289.62530463563462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289.62530463563462</v>
      </c>
    </row>
    <row r="50" spans="1:18">
      <c r="A50" s="799" t="s">
        <v>306</v>
      </c>
      <c r="B50" s="809"/>
      <c r="C50" s="677">
        <f ca="1">transport!B18</f>
        <v>19.578349021658521</v>
      </c>
      <c r="D50" s="677">
        <f>transport!C18</f>
        <v>0</v>
      </c>
      <c r="E50" s="677">
        <f>transport!D18</f>
        <v>53.008979241373773</v>
      </c>
      <c r="F50" s="677">
        <f>transport!E18</f>
        <v>115.89960897266506</v>
      </c>
      <c r="G50" s="677">
        <f>transport!F18</f>
        <v>0</v>
      </c>
      <c r="H50" s="677">
        <f>transport!G18</f>
        <v>60756.667682456609</v>
      </c>
      <c r="I50" s="677">
        <f>transport!H18</f>
        <v>11332.670757748576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72277.82537744088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19.578349021658521</v>
      </c>
      <c r="D52" s="706">
        <f t="shared" ref="D52:Q52" ca="1" si="6">SUM(D48:D51)</f>
        <v>0</v>
      </c>
      <c r="E52" s="706">
        <f t="shared" si="6"/>
        <v>53.008979241373773</v>
      </c>
      <c r="F52" s="706">
        <f t="shared" si="6"/>
        <v>115.89960897266506</v>
      </c>
      <c r="G52" s="706">
        <f t="shared" si="6"/>
        <v>0</v>
      </c>
      <c r="H52" s="706">
        <f t="shared" si="6"/>
        <v>61046.292987092245</v>
      </c>
      <c r="I52" s="706">
        <f t="shared" si="6"/>
        <v>11332.670757748576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72567.450682076509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217.0849269481877</v>
      </c>
      <c r="D54" s="677">
        <f ca="1">+landbouw!C12</f>
        <v>0</v>
      </c>
      <c r="E54" s="677">
        <f>+landbouw!D12</f>
        <v>351.57484696413849</v>
      </c>
      <c r="F54" s="677">
        <f>+landbouw!E12</f>
        <v>7.1201505620573684</v>
      </c>
      <c r="G54" s="677">
        <f>+landbouw!F12</f>
        <v>1186.9802587947743</v>
      </c>
      <c r="H54" s="677">
        <f>+landbouw!G12</f>
        <v>0</v>
      </c>
      <c r="I54" s="677">
        <f>+landbouw!H12</f>
        <v>0</v>
      </c>
      <c r="J54" s="677">
        <f>+landbouw!I12</f>
        <v>0</v>
      </c>
      <c r="K54" s="677">
        <f>+landbouw!J12</f>
        <v>54.730054353416485</v>
      </c>
      <c r="L54" s="677">
        <f>+landbouw!K12</f>
        <v>0</v>
      </c>
      <c r="M54" s="677">
        <f>+landbouw!L12</f>
        <v>0</v>
      </c>
      <c r="N54" s="677">
        <f>+landbouw!M12</f>
        <v>0</v>
      </c>
      <c r="O54" s="677">
        <f>+landbouw!N12</f>
        <v>0</v>
      </c>
      <c r="P54" s="677">
        <f>+landbouw!O12</f>
        <v>0</v>
      </c>
      <c r="Q54" s="678">
        <f>+landbouw!P12</f>
        <v>0</v>
      </c>
      <c r="R54" s="705">
        <f ca="1">SUM(C54:Q54)</f>
        <v>1817.4902376225743</v>
      </c>
    </row>
    <row r="55" spans="1:18" ht="15" thickBot="1">
      <c r="A55" s="799" t="s">
        <v>823</v>
      </c>
      <c r="B55" s="809"/>
      <c r="C55" s="677">
        <f ca="1">C25*'EF ele_warmte'!B12</f>
        <v>209.33984539611353</v>
      </c>
      <c r="D55" s="677"/>
      <c r="E55" s="677">
        <f>E25*EF_CO2_aardgas</f>
        <v>331.13275603799002</v>
      </c>
      <c r="F55" s="677"/>
      <c r="G55" s="677"/>
      <c r="H55" s="677"/>
      <c r="I55" s="677"/>
      <c r="J55" s="677"/>
      <c r="K55" s="677"/>
      <c r="L55" s="677"/>
      <c r="M55" s="677"/>
      <c r="N55" s="677"/>
      <c r="O55" s="677"/>
      <c r="P55" s="677"/>
      <c r="Q55" s="678"/>
      <c r="R55" s="705">
        <f ca="1">SUM(C55:Q55)</f>
        <v>540.47260143410358</v>
      </c>
    </row>
    <row r="56" spans="1:18" ht="15.75" thickBot="1">
      <c r="A56" s="797" t="s">
        <v>824</v>
      </c>
      <c r="B56" s="810"/>
      <c r="C56" s="706">
        <f ca="1">SUM(C54:C55)</f>
        <v>426.42477234430123</v>
      </c>
      <c r="D56" s="706">
        <f t="shared" ref="D56:Q56" ca="1" si="7">SUM(D54:D55)</f>
        <v>0</v>
      </c>
      <c r="E56" s="706">
        <f t="shared" si="7"/>
        <v>682.70760300212851</v>
      </c>
      <c r="F56" s="706">
        <f t="shared" si="7"/>
        <v>7.1201505620573684</v>
      </c>
      <c r="G56" s="706">
        <f t="shared" si="7"/>
        <v>1186.9802587947743</v>
      </c>
      <c r="H56" s="706">
        <f t="shared" si="7"/>
        <v>0</v>
      </c>
      <c r="I56" s="706">
        <f t="shared" si="7"/>
        <v>0</v>
      </c>
      <c r="J56" s="706">
        <f t="shared" si="7"/>
        <v>0</v>
      </c>
      <c r="K56" s="706">
        <f t="shared" si="7"/>
        <v>54.730054353416485</v>
      </c>
      <c r="L56" s="706">
        <f t="shared" si="7"/>
        <v>0</v>
      </c>
      <c r="M56" s="706">
        <f t="shared" si="7"/>
        <v>0</v>
      </c>
      <c r="N56" s="706">
        <f t="shared" si="7"/>
        <v>0</v>
      </c>
      <c r="O56" s="706">
        <f t="shared" si="7"/>
        <v>0</v>
      </c>
      <c r="P56" s="706">
        <f t="shared" si="7"/>
        <v>0</v>
      </c>
      <c r="Q56" s="707">
        <f t="shared" si="7"/>
        <v>0</v>
      </c>
      <c r="R56" s="708">
        <f ca="1">SUM(R54:R55)</f>
        <v>2357.9628390566777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20201.712957156546</v>
      </c>
      <c r="D61" s="714">
        <f t="shared" ref="D61:Q61" ca="1" si="8">D46+D52+D56</f>
        <v>0</v>
      </c>
      <c r="E61" s="714">
        <f t="shared" ca="1" si="8"/>
        <v>20137.789171352797</v>
      </c>
      <c r="F61" s="714">
        <f t="shared" si="8"/>
        <v>5179.5162529246891</v>
      </c>
      <c r="G61" s="714">
        <f t="shared" ca="1" si="8"/>
        <v>14212.099921919818</v>
      </c>
      <c r="H61" s="714">
        <f t="shared" si="8"/>
        <v>61046.292987092245</v>
      </c>
      <c r="I61" s="714">
        <f t="shared" si="8"/>
        <v>11332.670757748576</v>
      </c>
      <c r="J61" s="714">
        <f t="shared" si="8"/>
        <v>0</v>
      </c>
      <c r="K61" s="714">
        <f t="shared" si="8"/>
        <v>1073.3166637584661</v>
      </c>
      <c r="L61" s="714">
        <f t="shared" si="8"/>
        <v>0</v>
      </c>
      <c r="M61" s="714">
        <f t="shared" ca="1" si="8"/>
        <v>0</v>
      </c>
      <c r="N61" s="714">
        <f t="shared" si="8"/>
        <v>0</v>
      </c>
      <c r="O61" s="714">
        <f t="shared" ca="1" si="8"/>
        <v>0</v>
      </c>
      <c r="P61" s="714">
        <f t="shared" si="8"/>
        <v>0</v>
      </c>
      <c r="Q61" s="714">
        <f t="shared" si="8"/>
        <v>0</v>
      </c>
      <c r="R61" s="714">
        <f ca="1">R46+R52+R56</f>
        <v>133183.39871195314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0.20342815833642502</v>
      </c>
      <c r="D63" s="755">
        <f t="shared" ca="1" si="9"/>
        <v>0</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7895.9090314127643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7895.9090314127643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7895.9090314127643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7895.9090314127643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39830.536739256502</v>
      </c>
      <c r="C4" s="451">
        <f>huishoudens!C8</f>
        <v>0</v>
      </c>
      <c r="D4" s="451">
        <f>huishoudens!D8</f>
        <v>52314.269178429618</v>
      </c>
      <c r="E4" s="451">
        <f>huishoudens!E8</f>
        <v>20811.212319733535</v>
      </c>
      <c r="F4" s="451">
        <f>huishoudens!F8</f>
        <v>40840.876790715534</v>
      </c>
      <c r="G4" s="451">
        <f>huishoudens!G8</f>
        <v>0</v>
      </c>
      <c r="H4" s="451">
        <f>huishoudens!H8</f>
        <v>0</v>
      </c>
      <c r="I4" s="451">
        <f>huishoudens!I8</f>
        <v>0</v>
      </c>
      <c r="J4" s="451">
        <f>huishoudens!J8</f>
        <v>2858.9042838902087</v>
      </c>
      <c r="K4" s="451">
        <f>huishoudens!K8</f>
        <v>0</v>
      </c>
      <c r="L4" s="451">
        <f>huishoudens!L8</f>
        <v>0</v>
      </c>
      <c r="M4" s="451">
        <f>huishoudens!M8</f>
        <v>0</v>
      </c>
      <c r="N4" s="451">
        <f>huishoudens!N8</f>
        <v>16961.933028656389</v>
      </c>
      <c r="O4" s="451">
        <f>huishoudens!O8</f>
        <v>297.03333333333336</v>
      </c>
      <c r="P4" s="452">
        <f>huishoudens!P8</f>
        <v>877.06666666666661</v>
      </c>
      <c r="Q4" s="453">
        <f>SUM(B4:P4)</f>
        <v>174791.83234068178</v>
      </c>
    </row>
    <row r="5" spans="1:17">
      <c r="A5" s="450" t="s">
        <v>155</v>
      </c>
      <c r="B5" s="451">
        <f ca="1">tertiair!B16</f>
        <v>18020.816220830406</v>
      </c>
      <c r="C5" s="451">
        <f ca="1">tertiair!C16</f>
        <v>0</v>
      </c>
      <c r="D5" s="451">
        <f ca="1">tertiair!D16</f>
        <v>20090.70984522103</v>
      </c>
      <c r="E5" s="451">
        <f>tertiair!E16</f>
        <v>292.66772649788288</v>
      </c>
      <c r="F5" s="451">
        <f ca="1">tertiair!F16</f>
        <v>3188.2788336352905</v>
      </c>
      <c r="G5" s="451">
        <f>tertiair!G16</f>
        <v>0</v>
      </c>
      <c r="H5" s="451">
        <f>tertiair!H16</f>
        <v>0</v>
      </c>
      <c r="I5" s="451">
        <f>tertiair!I16</f>
        <v>0</v>
      </c>
      <c r="J5" s="451">
        <f>tertiair!J16</f>
        <v>4.0689601784841954E-2</v>
      </c>
      <c r="K5" s="451">
        <f>tertiair!K16</f>
        <v>0</v>
      </c>
      <c r="L5" s="451">
        <f ca="1">tertiair!L16</f>
        <v>0</v>
      </c>
      <c r="M5" s="451">
        <f>tertiair!M16</f>
        <v>0</v>
      </c>
      <c r="N5" s="451">
        <f ca="1">tertiair!N16</f>
        <v>1641.8319810707951</v>
      </c>
      <c r="O5" s="451">
        <f>tertiair!O16</f>
        <v>6.2533333333333339</v>
      </c>
      <c r="P5" s="452">
        <f>tertiair!P16</f>
        <v>19.066666666666666</v>
      </c>
      <c r="Q5" s="450">
        <f t="shared" ref="Q5:Q14" ca="1" si="0">SUM(B5:P5)</f>
        <v>43259.665296857194</v>
      </c>
    </row>
    <row r="6" spans="1:17">
      <c r="A6" s="450" t="s">
        <v>193</v>
      </c>
      <c r="B6" s="451">
        <f>'openbare verlichting'!B8</f>
        <v>1372.327</v>
      </c>
      <c r="C6" s="451"/>
      <c r="D6" s="451"/>
      <c r="E6" s="451"/>
      <c r="F6" s="451"/>
      <c r="G6" s="451"/>
      <c r="H6" s="451"/>
      <c r="I6" s="451"/>
      <c r="J6" s="451"/>
      <c r="K6" s="451"/>
      <c r="L6" s="451"/>
      <c r="M6" s="451"/>
      <c r="N6" s="451"/>
      <c r="O6" s="451"/>
      <c r="P6" s="452"/>
      <c r="Q6" s="450">
        <f t="shared" si="0"/>
        <v>1372.327</v>
      </c>
    </row>
    <row r="7" spans="1:17">
      <c r="A7" s="450" t="s">
        <v>111</v>
      </c>
      <c r="B7" s="451">
        <f>landbouw!B8</f>
        <v>1067.1331280951647</v>
      </c>
      <c r="C7" s="451">
        <f>landbouw!C8</f>
        <v>0</v>
      </c>
      <c r="D7" s="451">
        <f>landbouw!D8</f>
        <v>1740.4695394264281</v>
      </c>
      <c r="E7" s="451">
        <f>landbouw!E8</f>
        <v>31.366302035495014</v>
      </c>
      <c r="F7" s="451">
        <f>landbouw!F8</f>
        <v>4445.618946796907</v>
      </c>
      <c r="G7" s="451">
        <f>landbouw!G8</f>
        <v>0</v>
      </c>
      <c r="H7" s="451">
        <f>landbouw!H8</f>
        <v>0</v>
      </c>
      <c r="I7" s="451">
        <f>landbouw!I8</f>
        <v>0</v>
      </c>
      <c r="J7" s="451">
        <f>landbouw!J8</f>
        <v>154.60467331473583</v>
      </c>
      <c r="K7" s="451">
        <f>landbouw!K8</f>
        <v>0</v>
      </c>
      <c r="L7" s="451">
        <f>landbouw!L8</f>
        <v>0</v>
      </c>
      <c r="M7" s="451">
        <f>landbouw!M8</f>
        <v>0</v>
      </c>
      <c r="N7" s="451">
        <f>landbouw!N8</f>
        <v>0</v>
      </c>
      <c r="O7" s="451">
        <f>landbouw!O8</f>
        <v>0</v>
      </c>
      <c r="P7" s="452">
        <f>landbouw!P8</f>
        <v>0</v>
      </c>
      <c r="Q7" s="450">
        <f t="shared" si="0"/>
        <v>7439.1925896687308</v>
      </c>
    </row>
    <row r="8" spans="1:17">
      <c r="A8" s="450" t="s">
        <v>634</v>
      </c>
      <c r="B8" s="451">
        <f>industrie!B18</f>
        <v>37890.259414613749</v>
      </c>
      <c r="C8" s="451">
        <f>industrie!C18</f>
        <v>0</v>
      </c>
      <c r="D8" s="451">
        <f>industrie!D18</f>
        <v>23644.885278870614</v>
      </c>
      <c r="E8" s="451">
        <f>industrie!E18</f>
        <v>1171.4349026230616</v>
      </c>
      <c r="F8" s="451">
        <f>industrie!F18</f>
        <v>4754.0640877279893</v>
      </c>
      <c r="G8" s="451">
        <f>industrie!G18</f>
        <v>0</v>
      </c>
      <c r="H8" s="451">
        <f>industrie!H18</f>
        <v>0</v>
      </c>
      <c r="I8" s="451">
        <f>industrie!I18</f>
        <v>0</v>
      </c>
      <c r="J8" s="451">
        <f>industrie!J18</f>
        <v>18.418329912101207</v>
      </c>
      <c r="K8" s="451">
        <f>industrie!K18</f>
        <v>0</v>
      </c>
      <c r="L8" s="451">
        <f>industrie!L18</f>
        <v>0</v>
      </c>
      <c r="M8" s="451">
        <f>industrie!M18</f>
        <v>0</v>
      </c>
      <c r="N8" s="451">
        <f>industrie!N18</f>
        <v>6794.9243636865549</v>
      </c>
      <c r="O8" s="451">
        <f>industrie!O18</f>
        <v>0</v>
      </c>
      <c r="P8" s="452">
        <f>industrie!P18</f>
        <v>0</v>
      </c>
      <c r="Q8" s="450">
        <f t="shared" si="0"/>
        <v>74273.986377434077</v>
      </c>
    </row>
    <row r="9" spans="1:17" s="456" customFormat="1">
      <c r="A9" s="454" t="s">
        <v>560</v>
      </c>
      <c r="B9" s="455">
        <f>transport!B14</f>
        <v>96.242079669621134</v>
      </c>
      <c r="C9" s="455">
        <f>transport!C14</f>
        <v>0</v>
      </c>
      <c r="D9" s="455">
        <f>transport!D14</f>
        <v>262.42068931373154</v>
      </c>
      <c r="E9" s="455">
        <f>transport!E14</f>
        <v>510.57096463729101</v>
      </c>
      <c r="F9" s="455">
        <f>transport!F14</f>
        <v>0</v>
      </c>
      <c r="G9" s="455">
        <f>transport!G14</f>
        <v>227553.06248111089</v>
      </c>
      <c r="H9" s="455">
        <f>transport!H14</f>
        <v>45512.73396686175</v>
      </c>
      <c r="I9" s="455">
        <f>transport!I14</f>
        <v>0</v>
      </c>
      <c r="J9" s="455">
        <f>transport!J14</f>
        <v>0</v>
      </c>
      <c r="K9" s="455">
        <f>transport!K14</f>
        <v>0</v>
      </c>
      <c r="L9" s="455">
        <f>transport!L14</f>
        <v>0</v>
      </c>
      <c r="M9" s="455">
        <f>transport!M14</f>
        <v>14634.789970115264</v>
      </c>
      <c r="N9" s="455">
        <f>transport!N14</f>
        <v>0</v>
      </c>
      <c r="O9" s="455">
        <f>transport!O14</f>
        <v>0</v>
      </c>
      <c r="P9" s="455">
        <f>transport!P14</f>
        <v>0</v>
      </c>
      <c r="Q9" s="454">
        <f>SUM(B9:P9)</f>
        <v>288569.82015170855</v>
      </c>
    </row>
    <row r="10" spans="1:17">
      <c r="A10" s="450" t="s">
        <v>550</v>
      </c>
      <c r="B10" s="451">
        <f>transport!B54</f>
        <v>0</v>
      </c>
      <c r="C10" s="451">
        <f>transport!C54</f>
        <v>0</v>
      </c>
      <c r="D10" s="451">
        <f>transport!D54</f>
        <v>0</v>
      </c>
      <c r="E10" s="451">
        <f>transport!E54</f>
        <v>0</v>
      </c>
      <c r="F10" s="451">
        <f>transport!F54</f>
        <v>0</v>
      </c>
      <c r="G10" s="451">
        <f>transport!G54</f>
        <v>1084.7389686727888</v>
      </c>
      <c r="H10" s="451">
        <f>transport!H54</f>
        <v>0</v>
      </c>
      <c r="I10" s="451">
        <f>transport!I54</f>
        <v>0</v>
      </c>
      <c r="J10" s="451">
        <f>transport!J54</f>
        <v>0</v>
      </c>
      <c r="K10" s="451">
        <f>transport!K54</f>
        <v>0</v>
      </c>
      <c r="L10" s="451">
        <f>transport!L54</f>
        <v>0</v>
      </c>
      <c r="M10" s="451">
        <f>transport!M54</f>
        <v>61.603730912847467</v>
      </c>
      <c r="N10" s="451">
        <f>transport!N54</f>
        <v>0</v>
      </c>
      <c r="O10" s="451">
        <f>transport!O54</f>
        <v>0</v>
      </c>
      <c r="P10" s="452">
        <f>transport!P54</f>
        <v>0</v>
      </c>
      <c r="Q10" s="450">
        <f t="shared" si="0"/>
        <v>1146.3426995856362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1029.06031843395</v>
      </c>
      <c r="C14" s="458"/>
      <c r="D14" s="458">
        <f>'SEAP template'!E25</f>
        <v>1639.2710694949999</v>
      </c>
      <c r="E14" s="458"/>
      <c r="F14" s="458"/>
      <c r="G14" s="458"/>
      <c r="H14" s="458"/>
      <c r="I14" s="458"/>
      <c r="J14" s="458"/>
      <c r="K14" s="458"/>
      <c r="L14" s="458"/>
      <c r="M14" s="458"/>
      <c r="N14" s="458"/>
      <c r="O14" s="458"/>
      <c r="P14" s="459"/>
      <c r="Q14" s="450">
        <f t="shared" si="0"/>
        <v>2668.3313879289499</v>
      </c>
    </row>
    <row r="15" spans="1:17" s="460" customFormat="1">
      <c r="A15" s="1005" t="s">
        <v>554</v>
      </c>
      <c r="B15" s="953">
        <f ca="1">SUM(B4:B14)</f>
        <v>99306.374900899391</v>
      </c>
      <c r="C15" s="953">
        <f t="shared" ref="C15:Q15" ca="1" si="1">SUM(C4:C14)</f>
        <v>0</v>
      </c>
      <c r="D15" s="953">
        <f t="shared" ca="1" si="1"/>
        <v>99692.025600756417</v>
      </c>
      <c r="E15" s="953">
        <f t="shared" si="1"/>
        <v>22817.252215527267</v>
      </c>
      <c r="F15" s="953">
        <f t="shared" ca="1" si="1"/>
        <v>53228.83865887572</v>
      </c>
      <c r="G15" s="953">
        <f t="shared" si="1"/>
        <v>228637.80144978367</v>
      </c>
      <c r="H15" s="953">
        <f t="shared" si="1"/>
        <v>45512.73396686175</v>
      </c>
      <c r="I15" s="953">
        <f t="shared" si="1"/>
        <v>0</v>
      </c>
      <c r="J15" s="953">
        <f t="shared" si="1"/>
        <v>3031.9679767188309</v>
      </c>
      <c r="K15" s="953">
        <f t="shared" si="1"/>
        <v>0</v>
      </c>
      <c r="L15" s="953">
        <f t="shared" ca="1" si="1"/>
        <v>0</v>
      </c>
      <c r="M15" s="953">
        <f t="shared" si="1"/>
        <v>14696.393701028112</v>
      </c>
      <c r="N15" s="953">
        <f t="shared" ca="1" si="1"/>
        <v>25398.689373413737</v>
      </c>
      <c r="O15" s="953">
        <f t="shared" si="1"/>
        <v>303.28666666666669</v>
      </c>
      <c r="P15" s="953">
        <f t="shared" si="1"/>
        <v>896.13333333333333</v>
      </c>
      <c r="Q15" s="953">
        <f t="shared" ca="1" si="1"/>
        <v>593521.49784386484</v>
      </c>
    </row>
    <row r="17" spans="1:17">
      <c r="A17" s="461" t="s">
        <v>555</v>
      </c>
      <c r="B17" s="760">
        <f ca="1">huishoudens!B10</f>
        <v>0.20342815833642502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8102.6527344182659</v>
      </c>
      <c r="C22" s="451">
        <f t="shared" ref="C22:C32" ca="1" si="3">C4*$C$17</f>
        <v>0</v>
      </c>
      <c r="D22" s="451">
        <f t="shared" ref="D22:D32" si="4">D4*$D$17</f>
        <v>10567.482374042784</v>
      </c>
      <c r="E22" s="451">
        <f t="shared" ref="E22:E32" si="5">E4*$E$17</f>
        <v>4724.1451965795122</v>
      </c>
      <c r="F22" s="451">
        <f t="shared" ref="F22:F32" si="6">F4*$F$17</f>
        <v>10904.514103121048</v>
      </c>
      <c r="G22" s="451">
        <f t="shared" ref="G22:G32" si="7">G4*$G$17</f>
        <v>0</v>
      </c>
      <c r="H22" s="451">
        <f t="shared" ref="H22:H32" si="8">H4*$H$17</f>
        <v>0</v>
      </c>
      <c r="I22" s="451">
        <f t="shared" ref="I22:I32" si="9">I4*$I$17</f>
        <v>0</v>
      </c>
      <c r="J22" s="451">
        <f t="shared" ref="J22:J32" si="10">J4*$J$17</f>
        <v>1012.0521164971339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35310.846524658751</v>
      </c>
    </row>
    <row r="23" spans="1:17">
      <c r="A23" s="450" t="s">
        <v>155</v>
      </c>
      <c r="B23" s="451">
        <f t="shared" ca="1" si="2"/>
        <v>3665.941455522704</v>
      </c>
      <c r="C23" s="451">
        <f t="shared" ca="1" si="3"/>
        <v>0</v>
      </c>
      <c r="D23" s="451">
        <f t="shared" ca="1" si="4"/>
        <v>4058.3233887346482</v>
      </c>
      <c r="E23" s="451">
        <f t="shared" si="5"/>
        <v>66.435573915019418</v>
      </c>
      <c r="F23" s="451">
        <f t="shared" ca="1" si="6"/>
        <v>851.27044858062266</v>
      </c>
      <c r="G23" s="451">
        <f t="shared" si="7"/>
        <v>0</v>
      </c>
      <c r="H23" s="451">
        <f t="shared" si="8"/>
        <v>0</v>
      </c>
      <c r="I23" s="451">
        <f t="shared" si="9"/>
        <v>0</v>
      </c>
      <c r="J23" s="451">
        <f t="shared" si="10"/>
        <v>1.4404119031834051E-2</v>
      </c>
      <c r="K23" s="451">
        <f t="shared" si="11"/>
        <v>0</v>
      </c>
      <c r="L23" s="451">
        <f t="shared" ca="1" si="12"/>
        <v>0</v>
      </c>
      <c r="M23" s="451">
        <f t="shared" si="13"/>
        <v>0</v>
      </c>
      <c r="N23" s="451">
        <f t="shared" ca="1" si="14"/>
        <v>0</v>
      </c>
      <c r="O23" s="451">
        <f t="shared" si="15"/>
        <v>0</v>
      </c>
      <c r="P23" s="452">
        <f t="shared" si="16"/>
        <v>0</v>
      </c>
      <c r="Q23" s="450">
        <f t="shared" ref="Q23:Q32" ca="1" si="17">SUM(B23:P23)</f>
        <v>8641.9852708720264</v>
      </c>
    </row>
    <row r="24" spans="1:17">
      <c r="A24" s="450" t="s">
        <v>193</v>
      </c>
      <c r="B24" s="451">
        <f t="shared" ca="1" si="2"/>
        <v>279.16995424535116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279.16995424535116</v>
      </c>
    </row>
    <row r="25" spans="1:17">
      <c r="A25" s="450" t="s">
        <v>111</v>
      </c>
      <c r="B25" s="451">
        <f t="shared" ca="1" si="2"/>
        <v>217.0849269481877</v>
      </c>
      <c r="C25" s="451">
        <f t="shared" ca="1" si="3"/>
        <v>0</v>
      </c>
      <c r="D25" s="451">
        <f t="shared" si="4"/>
        <v>351.57484696413849</v>
      </c>
      <c r="E25" s="451">
        <f t="shared" si="5"/>
        <v>7.1201505620573684</v>
      </c>
      <c r="F25" s="451">
        <f t="shared" si="6"/>
        <v>1186.9802587947743</v>
      </c>
      <c r="G25" s="451">
        <f t="shared" si="7"/>
        <v>0</v>
      </c>
      <c r="H25" s="451">
        <f t="shared" si="8"/>
        <v>0</v>
      </c>
      <c r="I25" s="451">
        <f t="shared" si="9"/>
        <v>0</v>
      </c>
      <c r="J25" s="451">
        <f t="shared" si="10"/>
        <v>54.730054353416485</v>
      </c>
      <c r="K25" s="451">
        <f t="shared" si="11"/>
        <v>0</v>
      </c>
      <c r="L25" s="451">
        <f t="shared" si="12"/>
        <v>0</v>
      </c>
      <c r="M25" s="451">
        <f t="shared" si="13"/>
        <v>0</v>
      </c>
      <c r="N25" s="451">
        <f t="shared" si="14"/>
        <v>0</v>
      </c>
      <c r="O25" s="451">
        <f t="shared" si="15"/>
        <v>0</v>
      </c>
      <c r="P25" s="452">
        <f t="shared" si="16"/>
        <v>0</v>
      </c>
      <c r="Q25" s="450">
        <f t="shared" ca="1" si="17"/>
        <v>1817.4902376225743</v>
      </c>
    </row>
    <row r="26" spans="1:17">
      <c r="A26" s="450" t="s">
        <v>634</v>
      </c>
      <c r="B26" s="451">
        <f t="shared" ca="1" si="2"/>
        <v>7707.9456916042645</v>
      </c>
      <c r="C26" s="451">
        <f t="shared" ca="1" si="3"/>
        <v>0</v>
      </c>
      <c r="D26" s="451">
        <f t="shared" si="4"/>
        <v>4776.2668263318646</v>
      </c>
      <c r="E26" s="451">
        <f t="shared" si="5"/>
        <v>265.91572289543501</v>
      </c>
      <c r="F26" s="451">
        <f t="shared" si="6"/>
        <v>1269.3351114233733</v>
      </c>
      <c r="G26" s="451">
        <f t="shared" si="7"/>
        <v>0</v>
      </c>
      <c r="H26" s="451">
        <f t="shared" si="8"/>
        <v>0</v>
      </c>
      <c r="I26" s="451">
        <f t="shared" si="9"/>
        <v>0</v>
      </c>
      <c r="J26" s="451">
        <f t="shared" si="10"/>
        <v>6.520088788883827</v>
      </c>
      <c r="K26" s="451">
        <f t="shared" si="11"/>
        <v>0</v>
      </c>
      <c r="L26" s="451">
        <f t="shared" si="12"/>
        <v>0</v>
      </c>
      <c r="M26" s="451">
        <f t="shared" si="13"/>
        <v>0</v>
      </c>
      <c r="N26" s="451">
        <f t="shared" si="14"/>
        <v>0</v>
      </c>
      <c r="O26" s="451">
        <f t="shared" si="15"/>
        <v>0</v>
      </c>
      <c r="P26" s="452">
        <f t="shared" si="16"/>
        <v>0</v>
      </c>
      <c r="Q26" s="450">
        <f t="shared" ca="1" si="17"/>
        <v>14025.983441043822</v>
      </c>
    </row>
    <row r="27" spans="1:17" s="456" customFormat="1">
      <c r="A27" s="454" t="s">
        <v>560</v>
      </c>
      <c r="B27" s="754">
        <f t="shared" ca="1" si="2"/>
        <v>19.578349021658521</v>
      </c>
      <c r="C27" s="455">
        <f t="shared" ca="1" si="3"/>
        <v>0</v>
      </c>
      <c r="D27" s="455">
        <f t="shared" si="4"/>
        <v>53.008979241373773</v>
      </c>
      <c r="E27" s="455">
        <f t="shared" si="5"/>
        <v>115.89960897266506</v>
      </c>
      <c r="F27" s="455">
        <f t="shared" si="6"/>
        <v>0</v>
      </c>
      <c r="G27" s="455">
        <f t="shared" si="7"/>
        <v>60756.667682456609</v>
      </c>
      <c r="H27" s="455">
        <f t="shared" si="8"/>
        <v>11332.670757748576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72277.82537744088</v>
      </c>
    </row>
    <row r="28" spans="1:17">
      <c r="A28" s="450" t="s">
        <v>550</v>
      </c>
      <c r="B28" s="451">
        <f t="shared" ca="1" si="2"/>
        <v>0</v>
      </c>
      <c r="C28" s="451">
        <f t="shared" ca="1" si="3"/>
        <v>0</v>
      </c>
      <c r="D28" s="451">
        <f t="shared" si="4"/>
        <v>0</v>
      </c>
      <c r="E28" s="451">
        <f t="shared" si="5"/>
        <v>0</v>
      </c>
      <c r="F28" s="451">
        <f t="shared" si="6"/>
        <v>0</v>
      </c>
      <c r="G28" s="451">
        <f t="shared" si="7"/>
        <v>289.62530463563462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289.62530463563462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209.33984539611353</v>
      </c>
      <c r="C32" s="451">
        <f t="shared" ca="1" si="3"/>
        <v>0</v>
      </c>
      <c r="D32" s="451">
        <f t="shared" si="4"/>
        <v>331.13275603799002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540.47260143410358</v>
      </c>
    </row>
    <row r="33" spans="1:17" s="460" customFormat="1">
      <c r="A33" s="1005" t="s">
        <v>554</v>
      </c>
      <c r="B33" s="953">
        <f ca="1">SUM(B22:B32)</f>
        <v>20201.712957156546</v>
      </c>
      <c r="C33" s="953">
        <f t="shared" ref="C33:Q33" ca="1" si="18">SUM(C22:C32)</f>
        <v>0</v>
      </c>
      <c r="D33" s="953">
        <f t="shared" ca="1" si="18"/>
        <v>20137.789171352801</v>
      </c>
      <c r="E33" s="953">
        <f t="shared" si="18"/>
        <v>5179.5162529246891</v>
      </c>
      <c r="F33" s="953">
        <f t="shared" ca="1" si="18"/>
        <v>14212.099921919818</v>
      </c>
      <c r="G33" s="953">
        <f t="shared" si="18"/>
        <v>61046.292987092245</v>
      </c>
      <c r="H33" s="953">
        <f t="shared" si="18"/>
        <v>11332.670757748576</v>
      </c>
      <c r="I33" s="953">
        <f t="shared" si="18"/>
        <v>0</v>
      </c>
      <c r="J33" s="953">
        <f t="shared" si="18"/>
        <v>1073.3166637584661</v>
      </c>
      <c r="K33" s="953">
        <f t="shared" si="18"/>
        <v>0</v>
      </c>
      <c r="L33" s="953">
        <f t="shared" ca="1" si="18"/>
        <v>0</v>
      </c>
      <c r="M33" s="953">
        <f t="shared" si="18"/>
        <v>0</v>
      </c>
      <c r="N33" s="953">
        <f t="shared" ca="1" si="18"/>
        <v>0</v>
      </c>
      <c r="O33" s="953">
        <f t="shared" si="18"/>
        <v>0</v>
      </c>
      <c r="P33" s="953">
        <f t="shared" si="18"/>
        <v>0</v>
      </c>
      <c r="Q33" s="953">
        <f t="shared" ca="1" si="18"/>
        <v>133183.39871195314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7895.9090314127643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7895.9090314127643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0.20342815833642502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0.20342815833642502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2020-06-20T15:45:56Z</dcterms:modified>
</cp:coreProperties>
</file>