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O89" i="14" s="1"/>
  <c r="O19" i="61" s="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K18" i="18"/>
  <c r="N88" i="14" s="1"/>
  <c r="N18" i="61" s="1"/>
  <c r="J18" i="18"/>
  <c r="J88" i="14" s="1"/>
  <c r="J18" i="61" s="1"/>
  <c r="I18" i="18"/>
  <c r="H18" i="18"/>
  <c r="G18" i="18"/>
  <c r="H88" i="14" s="1"/>
  <c r="H18" i="61" s="1"/>
  <c r="F18" i="18"/>
  <c r="G88" i="14" s="1"/>
  <c r="G18" i="61" s="1"/>
  <c r="E18" i="18"/>
  <c r="D18" i="18"/>
  <c r="C18" i="18"/>
  <c r="D88" i="14" s="1"/>
  <c r="D18" i="61" s="1"/>
  <c r="B18" i="18"/>
  <c r="L9" i="18"/>
  <c r="O77" i="14" s="1"/>
  <c r="O9" i="61" s="1"/>
  <c r="K9" i="18"/>
  <c r="N77" i="14" s="1"/>
  <c r="G9" i="18"/>
  <c r="G10" i="18" s="1"/>
  <c r="F9" i="18"/>
  <c r="G77" i="14" s="1"/>
  <c r="G9" i="61" s="1"/>
  <c r="D9" i="18"/>
  <c r="E77" i="14" s="1"/>
  <c r="E9" i="61" s="1"/>
  <c r="B9" i="18"/>
  <c r="K22" i="18"/>
  <c r="J22" i="18"/>
  <c r="I22" i="18"/>
  <c r="H22" i="18"/>
  <c r="K12" i="18"/>
  <c r="J12" i="18"/>
  <c r="I12" i="18"/>
  <c r="H12" i="18"/>
  <c r="W40" i="18"/>
  <c r="V40" i="18"/>
  <c r="U40" i="18"/>
  <c r="T40" i="18"/>
  <c r="S40" i="18"/>
  <c r="R40" i="18"/>
  <c r="Q40" i="18"/>
  <c r="P40" i="18"/>
  <c r="D6" i="17" s="1"/>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J9" i="18" s="1"/>
  <c r="J77" i="14" s="1"/>
  <c r="J9" i="61" s="1"/>
  <c r="P37" i="18"/>
  <c r="C9" i="18" s="1"/>
  <c r="O37" i="18"/>
  <c r="N37" i="18"/>
  <c r="M37" i="18"/>
  <c r="W33" i="18"/>
  <c r="V33" i="18"/>
  <c r="N6" i="17" s="1"/>
  <c r="U33" i="18"/>
  <c r="T33" i="18"/>
  <c r="L6" i="17" s="1"/>
  <c r="S33" i="18"/>
  <c r="R33" i="18"/>
  <c r="Q33" i="18"/>
  <c r="P33" i="18"/>
  <c r="O33" i="18"/>
  <c r="N33" i="18"/>
  <c r="M33" i="18"/>
  <c r="W32" i="18"/>
  <c r="V32" i="18"/>
  <c r="U32" i="18"/>
  <c r="T32" i="18"/>
  <c r="S32" i="18"/>
  <c r="R32" i="18"/>
  <c r="Q32" i="18"/>
  <c r="P32" i="18"/>
  <c r="D13" i="15" s="1"/>
  <c r="O32" i="18"/>
  <c r="C13" i="15" s="1"/>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B8" i="18"/>
  <c r="B6" i="18"/>
  <c r="B74" i="14" s="1"/>
  <c r="B6" i="61" s="1"/>
  <c r="B5" i="18"/>
  <c r="B73" i="14" s="1"/>
  <c r="B5" i="61" s="1"/>
  <c r="B4" i="18"/>
  <c r="B72" i="14" s="1"/>
  <c r="B4" i="61" s="1"/>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L10" i="18" l="1"/>
  <c r="F13" i="15"/>
  <c r="D20" i="18"/>
  <c r="L20" i="18"/>
  <c r="H9" i="18"/>
  <c r="M77" i="14" s="1"/>
  <c r="M9" i="61" s="1"/>
  <c r="F6" i="17"/>
  <c r="C46" i="18"/>
  <c r="F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C49" i="18"/>
  <c r="B49" i="18"/>
  <c r="C8" i="18" s="1"/>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D49" i="18"/>
  <c r="H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P33" i="48"/>
  <c r="F24" i="14"/>
  <c r="F26" i="14" s="1"/>
  <c r="E7" i="48"/>
  <c r="E25" i="48" s="1"/>
  <c r="P46" i="14"/>
  <c r="P61" i="14"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J20" i="15"/>
  <c r="K40" i="14" s="1"/>
  <c r="P63" i="14"/>
  <c r="O15" i="48"/>
  <c r="N52" i="14"/>
  <c r="N61" i="14" s="1"/>
  <c r="N63" i="14" s="1"/>
  <c r="O33"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J8" i="48"/>
  <c r="K13" i="14"/>
  <c r="K16" i="14" s="1"/>
  <c r="K27" i="14" s="1"/>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26" i="48" l="1"/>
  <c r="J33" i="48" s="1"/>
  <c r="J15" i="48"/>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<sst xmlns="http://schemas.openxmlformats.org/spreadsheetml/2006/main" count="2416" uniqueCount="898">
  <si>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</si>
  <si>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</si>
  <si>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</si>
  <si>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</si>
  <si>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</si>
  <si>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</si>
  <si>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</si>
  <si>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</si>
  <si>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</si>
  <si>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</si>
  <si>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</si>
  <si>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</si>
  <si>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</si>
  <si>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</si>
  <si>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</si>
  <si>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</si>
  <si>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</si>
  <si>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</si>
  <si>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</si>
  <si>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</si>
  <si>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</si>
  <si>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</si>
  <si>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</si>
  <si>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</si>
  <si>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</si>
  <si>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</si>
  <si>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</si>
  <si>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</si>
  <si>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</si>
  <si>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</si>
  <si>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</si>
  <si>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</si>
  <si>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</si>
  <si>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</si>
  <si>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</si>
  <si>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</si>
  <si>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</si>
  <si>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</si>
  <si>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</si>
  <si>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</si>
  <si>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</si>
  <si>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</si>
  <si>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</si>
  <si>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</si>
  <si>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</si>
  <si>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</si>
  <si>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</si>
  <si>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</si>
  <si>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</si>
  <si>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</si>
  <si>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</si>
  <si>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</si>
  <si>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</si>
  <si>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</si>
  <si>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</si>
  <si>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</si>
  <si>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</si>
  <si>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</si>
  <si>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</si>
  <si>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</si>
  <si>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</si>
  <si>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</si>
  <si>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</si>
  <si>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</si>
  <si>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</si>
  <si>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</si>
  <si>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</si>
  <si>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</si>
  <si>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</si>
  <si>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</si>
  <si>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</si>
  <si>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</si>
  <si>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</si>
  <si>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</si>
  <si>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</si>
  <si>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</si>
  <si>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</si>
  <si>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</si>
  <si>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</si>
  <si>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</si>
  <si>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</si>
  <si>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</si>
  <si>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</si>
  <si>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</si>
  <si>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</si>
  <si>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</si>
  <si>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</si>
  <si>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</si>
  <si>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</si>
  <si>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</si>
  <si>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</si>
  <si>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</si>
  <si>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</si>
  <si>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</si>
  <si>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</si>
  <si>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</si>
  <si>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</si>
  <si>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</si>
  <si>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</si>
  <si>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</si>
  <si>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</si>
  <si>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</si>
  <si>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</si>
  <si>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</si>
  <si>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</si>
  <si>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</si>
  <si>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</si>
  <si>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</si>
  <si>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</si>
  <si>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</si>
  <si>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</si>
  <si>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</si>
  <si>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</si>
  <si>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</si>
  <si>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</si>
  <si>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</si>
  <si>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</si>
  <si>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</si>
  <si>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</si>
  <si>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</si>
  <si>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</si>
  <si>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</si>
  <si>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</si>
  <si>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</si>
  <si>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</si>
  <si>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</si>
  <si>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</si>
  <si>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</si>
  <si>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</si>
  <si>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</si>
  <si>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</si>
  <si>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</si>
  <si>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</si>
  <si>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</si>
  <si>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</si>
  <si>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</si>
  <si>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</si>
  <si>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</si>
  <si>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</si>
  <si>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</si>
  <si>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</si>
  <si>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</si>
  <si>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</si>
  <si>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</si>
  <si>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</si>
  <si>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</si>
  <si>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</si>
  <si>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</si>
  <si>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</si>
  <si>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</si>
  <si>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</si>
  <si>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</si>
  <si>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</si>
  <si>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</si>
  <si>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</si>
  <si>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</si>
  <si>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</si>
  <si>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</si>
  <si>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</si>
  <si>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</si>
  <si>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</si>
  <si>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</si>
  <si>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</si>
  <si>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</si>
  <si>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</si>
  <si>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</si>
  <si>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</si>
  <si>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</si>
  <si>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</si>
  <si>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</si>
  <si>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</si>
  <si>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</si>
  <si>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</si>
  <si>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</si>
  <si>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</si>
  <si>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</si>
  <si>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</si>
  <si>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</si>
  <si>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</si>
  <si>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</si>
  <si>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</si>
  <si>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</si>
  <si>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</si>
  <si>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</si>
  <si>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</si>
  <si>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</si>
  <si>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</si>
  <si>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</si>
  <si>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</si>
  <si>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</si>
  <si>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</si>
  <si>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</si>
  <si>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</si>
  <si>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</si>
  <si>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</si>
  <si>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</si>
  <si>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</si>
  <si>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</si>
  <si>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</si>
  <si>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</si>
  <si>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</si>
  <si>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</si>
  <si>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</si>
  <si>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</si>
  <si>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</si>
  <si>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</si>
  <si>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</si>
  <si>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</si>
  <si>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</si>
  <si>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</si>
  <si>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</si>
  <si>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</si>
  <si>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</si>
  <si>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</si>
  <si>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</si>
  <si>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</si>
  <si>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</si>
  <si>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</si>
  <si>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</si>
  <si>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</si>
  <si>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</si>
  <si>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</si>
  <si>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</si>
  <si>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</si>
  <si>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</si>
  <si>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</si>
  <si>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</si>
  <si>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</si>
  <si>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</si>
  <si>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</si>
  <si>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</si>
  <si>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</si>
  <si>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</si>
  <si>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</si>
  <si>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</si>
  <si>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</si>
  <si>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</si>
  <si>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</si>
  <si>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</si>
  <si>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</si>
  <si>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</si>
  <si>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</si>
  <si>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</si>
  <si>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</si>
  <si>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</si>
  <si>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</si>
  <si>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</si>
  <si>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</si>
  <si>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</si>
  <si>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</si>
  <si>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</si>
  <si>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</si>
  <si>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</si>
  <si>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</si>
  <si>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</si>
  <si>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</si>
  <si>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</si>
  <si>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</si>
  <si>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</si>
  <si>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</si>
  <si>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</si>
  <si>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</si>
  <si>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</si>
  <si>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</si>
  <si>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</si>
  <si>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</si>
  <si>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</si>
  <si>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</si>
  <si>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</si>
  <si>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</si>
  <si>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</si>
  <si>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</si>
  <si>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</si>
  <si>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</si>
  <si>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</si>
  <si>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</si>
  <si>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</si>
  <si>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</si>
  <si>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</si>
  <si>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</si>
  <si>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</si>
  <si>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</si>
  <si>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</si>
  <si>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</si>
  <si>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</si>
  <si>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</si>
  <si>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</si>
  <si>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</si>
  <si>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</si>
  <si>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</si>
  <si>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</si>
  <si>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</si>
  <si>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</si>
  <si>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</si>
  <si>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</si>
  <si>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</si>
  <si>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</si>
  <si>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</si>
  <si>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</si>
  <si>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</si>
  <si>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</si>
  <si>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</si>
  <si>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</si>
  <si>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</si>
  <si>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</si>
  <si>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</si>
  <si>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</si>
  <si>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</si>
  <si>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</si>
  <si>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</si>
  <si>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</si>
  <si>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</si>
  <si>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</si>
  <si>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</si>
  <si>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</si>
  <si>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</si>
  <si>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</si>
  <si>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</si>
  <si>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</si>
  <si>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</si>
  <si>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</si>
  <si>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</si>
  <si>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</si>
  <si>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</si>
  <si>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</si>
  <si>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</si>
  <si>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</si>
  <si>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</si>
  <si>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</si>
  <si>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</si>
  <si>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</si>
  <si>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</si>
  <si>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</si>
  <si>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</si>
  <si>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</si>
  <si>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</si>
  <si>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</si>
  <si>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</si>
  <si>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</si>
  <si>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</si>
  <si>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</si>
  <si>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</si>
  <si>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</si>
  <si>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</si>
  <si>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</si>
  <si>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</si>
  <si>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</si>
  <si>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</si>
  <si>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</si>
  <si>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</si>
  <si>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</si>
  <si>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</si>
  <si>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</si>
  <si>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</si>
  <si>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</si>
  <si>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</si>
  <si>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</si>
  <si>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</si>
  <si>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</si>
  <si>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</si>
  <si>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</si>
  <si>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</si>
  <si>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</si>
  <si>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</si>
  <si>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</si>
  <si>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</si>
  <si>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</si>
  <si>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</si>
  <si>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</si>
  <si>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</si>
  <si>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</si>
  <si>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</si>
  <si>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</si>
  <si>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</si>
  <si>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</si>
  <si>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</si>
  <si>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</si>
  <si>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</si>
  <si>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</si>
  <si>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</si>
  <si>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</si>
  <si>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</si>
  <si>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</si>
  <si>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</si>
  <si>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</si>
  <si>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</si>
  <si>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</si>
  <si>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</si>
  <si>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</si>
  <si>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</si>
  <si>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</si>
  <si>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</si>
  <si>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</si>
  <si>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</si>
  <si>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</si>
  <si>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</si>
  <si>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</si>
  <si>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</si>
  <si>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</si>
  <si>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</si>
  <si>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</si>
  <si>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</si>
  <si>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</si>
  <si>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</si>
  <si>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</si>
  <si>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</si>
  <si>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</si>
  <si>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</si>
  <si>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</si>
  <si>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</si>
  <si>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</si>
  <si>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</si>
  <si>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</si>
  <si>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</si>
  <si>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</si>
  <si>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</si>
  <si>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</si>
  <si>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</si>
  <si>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</si>
  <si>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</si>
  <si>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</si>
  <si>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</si>
  <si>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</si>
  <si>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</si>
  <si>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</si>
  <si>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</si>
  <si>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</si>
  <si>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</si>
  <si>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</si>
  <si>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</si>
  <si>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</si>
  <si>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</si>
  <si>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</si>
  <si>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</si>
  <si>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</si>
  <si>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</si>
  <si>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</si>
  <si>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</si>
  <si>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</si>
  <si>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</si>
  <si>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</si>
  <si>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</si>
  <si>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</si>
  <si>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</si>
  <si>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</si>
  <si>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</si>
  <si>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</si>
  <si>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</si>
  <si>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</si>
  <si>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</si>
  <si>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</si>
  <si>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</si>
  <si>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</si>
  <si>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</si>
  <si>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</si>
  <si>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</si>
  <si>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</si>
  <si>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</si>
  <si>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</si>
  <si>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</si>
  <si>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</si>
  <si>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</si>
  <si>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</si>
  <si>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</si>
  <si>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</si>
  <si>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</si>
  <si>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</si>
  <si>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</si>
  <si>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</si>
  <si>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</si>
  <si>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</si>
  <si>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</si>
  <si>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</si>
  <si>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</si>
  <si>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</si>
  <si>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</si>
  <si>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</si>
  <si>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</si>
  <si>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</si>
  <si>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</si>
  <si>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</si>
  <si>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</si>
  <si>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</si>
  <si>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</si>
  <si>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</si>
  <si>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</si>
  <si>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</si>
  <si>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</si>
  <si>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</si>
  <si>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</si>
  <si>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</si>
  <si>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</si>
  <si>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</si>
  <si>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</si>
  <si>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</si>
  <si>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</si>
  <si>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</si>
  <si>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</si>
  <si>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</si>
  <si>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</si>
  <si>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</si>
  <si>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</si>
  <si>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</si>
  <si>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</si>
  <si>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</si>
  <si>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</si>
  <si>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</si>
  <si>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</si>
  <si>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</si>
  <si>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</si>
  <si>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</si>
  <si>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</si>
  <si>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</si>
  <si>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</si>
  <si>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</si>
  <si>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</si>
  <si>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</si>
  <si>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</si>
  <si>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</si>
  <si>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</si>
  <si>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</si>
  <si>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</si>
  <si>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</si>
  <si>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</si>
  <si>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</si>
  <si>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</si>
  <si>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</si>
  <si>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</si>
  <si>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</si>
  <si>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</si>
  <si>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</si>
  <si>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</si>
  <si>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</si>
  <si>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</si>
  <si>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</si>
  <si>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</si>
  <si>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</si>
  <si>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</si>
  <si>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</si>
  <si>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</si>
  <si>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</si>
  <si>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</si>
  <si>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</si>
  <si>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</si>
  <si>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</si>
  <si>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</si>
  <si>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</si>
  <si>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</si>
  <si>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</si>
  <si>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</si>
  <si>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</si>
  <si>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</si>
  <si>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</si>
  <si>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</si>
  <si>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</si>
  <si>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</si>
  <si>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</si>
  <si>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</si>
  <si>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</si>
  <si>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</si>
  <si>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</si>
  <si>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</si>
  <si>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</si>
  <si>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</si>
  <si>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</si>
  <si>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</si>
  <si>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</si>
  <si>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</si>
  <si>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</si>
  <si>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</si>
  <si>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</si>
  <si>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</si>
  <si>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</si>
  <si>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</si>
  <si>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</si>
  <si>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</si>
  <si>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</si>
  <si>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</si>
  <si>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</si>
  <si>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</si>
  <si>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</si>
  <si>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</si>
  <si>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</si>
  <si>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</si>
  <si>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</si>
  <si>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</si>
  <si>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</si>
  <si>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</si>
  <si>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</si>
  <si>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</si>
  <si>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</si>
  <si>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</si>
  <si>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</si>
  <si>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</si>
  <si>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</si>
  <si>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</si>
  <si>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</si>
  <si>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</si>
  <si>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</si>
  <si>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</si>
  <si>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</si>
  <si>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</si>
  <si>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</si>
  <si>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</si>
  <si>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</si>
  <si>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</si>
  <si>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</si>
  <si>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</si>
  <si>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</si>
  <si>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</si>
  <si>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</si>
  <si>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</si>
  <si>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</si>
  <si>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</si>
  <si>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</si>
  <si>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</si>
  <si>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</si>
  <si>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</si>
  <si>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</si>
  <si>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</si>
  <si>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</si>
  <si>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</si>
  <si>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</si>
  <si>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</si>
  <si>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</si>
  <si>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</si>
  <si>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</si>
  <si>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</si>
  <si>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</si>
  <si>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</si>
  <si>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</si>
  <si>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</si>
  <si>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</si>
  <si>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</si>
  <si>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</si>
  <si>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</si>
  <si>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</si>
  <si>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</si>
  <si>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</si>
  <si>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</si>
  <si>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</si>
  <si>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</si>
  <si>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</si>
  <si>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</si>
  <si>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</si>
  <si>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</si>
  <si>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</si>
  <si>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</si>
  <si>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</si>
  <si>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</si>
  <si>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</si>
  <si>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</si>
  <si>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</si>
  <si>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</si>
  <si>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</si>
  <si>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</si>
  <si>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</si>
  <si>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</si>
  <si>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</si>
  <si>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</si>
  <si>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</si>
  <si>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</si>
  <si>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</si>
  <si>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</si>
  <si>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</si>
  <si>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</si>
  <si>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</si>
  <si>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</si>
  <si>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</si>
  <si>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</si>
  <si>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</si>
  <si>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</si>
  <si>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</si>
  <si>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</si>
  <si>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</si>
  <si>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</si>
  <si>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</si>
  <si>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</si>
  <si>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</si>
  <si>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</si>
  <si>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</si>
  <si>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</si>
  <si>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</si>
  <si>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</si>
  <si>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</si>
  <si>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</si>
  <si>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</si>
  <si>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</si>
  <si>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</si>
  <si>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</si>
  <si>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</si>
  <si>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</si>
  <si>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</si>
  <si>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</si>
  <si>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</si>
  <si>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</si>
  <si>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</si>
  <si>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</si>
  <si>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</si>
  <si>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</si>
  <si>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</si>
  <si>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</si>
  <si>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</si>
  <si>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</si>
  <si>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</si>
  <si>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</si>
  <si>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</si>
  <si>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</si>
  <si>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</si>
  <si>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</si>
  <si>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</si>
  <si>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</si>
  <si>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</si>
  <si>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</si>
  <si>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</si>
  <si>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</si>
  <si>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</si>
  <si>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</si>
  <si>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</si>
  <si>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</si>
  <si>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</si>
  <si>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</si>
  <si>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</si>
  <si>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</si>
  <si>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</si>
  <si>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</si>
  <si>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</si>
  <si>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</si>
  <si>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</si>
  <si>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</si>
  <si>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</si>
  <si>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</si>
  <si>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</si>
  <si>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</si>
  <si>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</si>
  <si>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</si>
  <si>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</si>
  <si>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</si>
  <si>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</si>
  <si>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</si>
  <si>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</si>
  <si>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</si>
  <si>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</si>
  <si>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</si>
  <si>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</si>
  <si>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</si>
  <si>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</si>
  <si>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</si>
  <si>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</si>
  <si>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</si>
  <si>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</si>
  <si>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</si>
  <si>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</si>
  <si>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</si>
  <si>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</si>
  <si>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</si>
  <si>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</si>
  <si>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</si>
  <si>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</si>
  <si>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</si>
  <si>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</si>
  <si>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</si>
  <si>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</si>
  <si>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</si>
  <si>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</si>
  <si>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</si>
  <si>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</si>
  <si>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</si>
  <si>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</si>
  <si>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</si>
  <si>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</si>
  <si>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</si>
  <si>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</si>
  <si>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</si>
  <si>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</si>
  <si>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</si>
  <si>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</si>
  <si>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</si>
  <si>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</si>
  <si>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</si>
  <si>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</si>
  <si>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</si>
  <si>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</si>
  <si>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</si>
  <si>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</si>
  <si>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</si>
  <si>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</si>
  <si>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</si>
  <si>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</si>
  <si>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</si>
  <si>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</si>
  <si>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</si>
  <si>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</si>
  <si>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</si>
  <si>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</si>
  <si>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</si>
  <si>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</si>
  <si>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</si>
  <si>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</si>
  <si>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</si>
  <si>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</si>
  <si>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</si>
  <si>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</si>
  <si>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</si>
  <si>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</si>
  <si>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</si>
  <si>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</si>
  <si>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</si>
  <si>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</si>
  <si>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</si>
  <si>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</si>
  <si>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</si>
  <si>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</si>
  <si>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</si>
  <si>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</si>
  <si>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</si>
  <si>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</si>
  <si>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</si>
  <si>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</si>
  <si>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</si>
  <si>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</si>
  <si>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</si>
  <si>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</si>
  <si>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</si>
  <si>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</si>
  <si>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</si>
  <si>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</si>
  <si>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</si>
  <si>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</si>
  <si>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</si>
  <si>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</si>
  <si>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</si>
  <si>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</si>
  <si>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</si>
  <si>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</si>
  <si>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</si>
  <si>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</si>
  <si>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</si>
  <si>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</si>
  <si>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</si>
  <si>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</si>
  <si>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</si>
  <si>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</si>
  <si>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</si>
  <si>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</si>
  <si>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</si>
  <si>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</si>
  <si>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</si>
  <si>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</si>
  <si>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</si>
  <si>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</si>
  <si>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</si>
  <si>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</si>
  <si>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</si>
  <si>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</si>
  <si>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</si>
  <si>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</si>
  <si>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</si>
  <si>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</si>
  <si>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</si>
  <si>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</si>
  <si>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</si>
  <si>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</si>
  <si>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</si>
  <si>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</si>
  <si>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</si>
  <si>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</si>
  <si>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</si>
  <si>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</si>
  <si>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</si>
  <si>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</si>
  <si>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</si>
  <si>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</si>
  <si>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</si>
  <si>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</si>
  <si>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</si>
  <si>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</si>
  <si>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</si>
  <si>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</si>
  <si>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</si>
  <si>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</si>
  <si>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</si>
  <si>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</si>
  <si>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38014</t>
  </si>
  <si>
    <t>KOKSIJDE</t>
  </si>
  <si>
    <t>Fluvius</t>
  </si>
  <si>
    <t>referentietaak LNE (2017); Jaarverslag De Lijn</t>
  </si>
  <si>
    <t>Filip Dekeerle</t>
  </si>
  <si>
    <t>Witte Burg 60 , 8670 Oostduinkerke</t>
  </si>
  <si>
    <t>WKK-0427 Filip Dekeerle</t>
  </si>
  <si>
    <t>interne verbrandingsmotor</t>
  </si>
  <si>
    <t>WKK interne verbrandinsgmotor (gas)</t>
  </si>
  <si>
    <t>GASELWEST</t>
  </si>
  <si>
    <t>Domein Westhoek vzw</t>
  </si>
  <si>
    <t>Noordzeedreef 6-8 , 8670 Oostduinkerke</t>
  </si>
  <si>
    <t>WKK-0588 Domein Westhoek</t>
  </si>
  <si>
    <t>Noordzeedreef 6 , 8670 Oostduinkerke</t>
  </si>
  <si>
    <t>hotels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</si>
</sst>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169618.48991885761</c:v>
                </c:pt>
                <c:pt idx="1">
                  <c:v>130960.76001047807</c:v>
                </c:pt>
                <c:pt idx="2">
                  <c:v>2915.848</c:v>
                </c:pt>
                <c:pt idx="3">
                  <c:v>6866.3027883956229</c:v>
                </c:pt>
                <c:pt idx="4">
                  <c:v>10696.928170597943</c:v>
                </c:pt>
                <c:pt idx="5">
                  <c:v>104039.22923616167</c:v>
                </c:pt>
                <c:pt idx="6">
                  <c:v>2652.6680603137443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169618.48991885761</c:v>
                </c:pt>
                <c:pt idx="1">
                  <c:v>130960.76001047807</c:v>
                </c:pt>
                <c:pt idx="2">
                  <c:v>2915.848</c:v>
                </c:pt>
                <c:pt idx="3">
                  <c:v>6866.3027883956229</c:v>
                </c:pt>
                <c:pt idx="4">
                  <c:v>10696.928170597943</c:v>
                </c:pt>
                <c:pt idx="5">
                  <c:v>104039.22923616167</c:v>
                </c:pt>
                <c:pt idx="6">
                  <c:v>2652.6680603137443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34669.489938241386</c:v>
                </c:pt>
                <c:pt idx="2">
                  <c:v>26215.069399185668</c:v>
                </c:pt>
                <c:pt idx="3">
                  <c:v>625.12489639753858</c:v>
                </c:pt>
                <c:pt idx="4">
                  <c:v>1770.9222343195038</c:v>
                </c:pt>
                <c:pt idx="5">
                  <c:v>2275.3154931932313</c:v>
                </c:pt>
                <c:pt idx="6">
                  <c:v>26078.138876649453</c:v>
                </c:pt>
                <c:pt idx="7">
                  <c:v>618.09053545099664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34669.489938241386</c:v>
                </c:pt>
                <c:pt idx="2">
                  <c:v>26215.069399185668</c:v>
                </c:pt>
                <c:pt idx="3">
                  <c:v>625.12489639753858</c:v>
                </c:pt>
                <c:pt idx="4">
                  <c:v>1770.9222343195038</c:v>
                </c:pt>
                <c:pt idx="5">
                  <c:v>2275.3154931932313</c:v>
                </c:pt>
                <c:pt idx="6">
                  <c:v>26078.138876649453</c:v>
                </c:pt>
                <c:pt idx="7">
                  <c:v>618.09053545099664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38014</v>
      </c>
      <c r="B6" s="390"/>
      <c r="C6" s="391"/>
    </row>
    <row r="7" spans="1:7" s="388" customFormat="1" ht="15.75" customHeight="1">
      <c r="A7" s="392" t="str">
        <f>txtMunicipality</f>
        <v>KOKSIJDE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0.21438871175642166</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0.21438871175642166</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11288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2153.04</v>
      </c>
      <c r="C14" s="330"/>
      <c r="D14" s="330"/>
      <c r="E14" s="330"/>
      <c r="F14" s="330"/>
    </row>
    <row r="15" spans="1:6">
      <c r="A15" s="1293" t="s">
        <v>183</v>
      </c>
      <c r="B15" s="1294">
        <v>7</v>
      </c>
      <c r="C15" s="330"/>
      <c r="D15" s="330"/>
      <c r="E15" s="330"/>
      <c r="F15" s="330"/>
    </row>
    <row r="16" spans="1:6">
      <c r="A16" s="1293" t="s">
        <v>6</v>
      </c>
      <c r="B16" s="1294">
        <v>238</v>
      </c>
      <c r="C16" s="330"/>
      <c r="D16" s="330"/>
      <c r="E16" s="330"/>
      <c r="F16" s="330"/>
    </row>
    <row r="17" spans="1:6">
      <c r="A17" s="1293" t="s">
        <v>7</v>
      </c>
      <c r="B17" s="1294">
        <v>170</v>
      </c>
      <c r="C17" s="330"/>
      <c r="D17" s="330"/>
      <c r="E17" s="330"/>
      <c r="F17" s="330"/>
    </row>
    <row r="18" spans="1:6">
      <c r="A18" s="1293" t="s">
        <v>8</v>
      </c>
      <c r="B18" s="1294">
        <v>243</v>
      </c>
      <c r="C18" s="330"/>
      <c r="D18" s="330"/>
      <c r="E18" s="330"/>
      <c r="F18" s="330"/>
    </row>
    <row r="19" spans="1:6">
      <c r="A19" s="1293" t="s">
        <v>9</v>
      </c>
      <c r="B19" s="1294">
        <v>242</v>
      </c>
      <c r="C19" s="330"/>
      <c r="D19" s="330"/>
      <c r="E19" s="330"/>
      <c r="F19" s="330"/>
    </row>
    <row r="20" spans="1:6">
      <c r="A20" s="1293" t="s">
        <v>10</v>
      </c>
      <c r="B20" s="1294">
        <v>383</v>
      </c>
      <c r="C20" s="330"/>
      <c r="D20" s="330"/>
      <c r="E20" s="330"/>
      <c r="F20" s="330"/>
    </row>
    <row r="21" spans="1:6">
      <c r="A21" s="1293" t="s">
        <v>11</v>
      </c>
      <c r="B21" s="1294">
        <v>6279</v>
      </c>
      <c r="C21" s="330"/>
      <c r="D21" s="330"/>
      <c r="E21" s="330"/>
      <c r="F21" s="330"/>
    </row>
    <row r="22" spans="1:6">
      <c r="A22" s="1293" t="s">
        <v>12</v>
      </c>
      <c r="B22" s="1294">
        <v>7427</v>
      </c>
      <c r="C22" s="330"/>
      <c r="D22" s="330"/>
      <c r="E22" s="330"/>
      <c r="F22" s="330"/>
    </row>
    <row r="23" spans="1:6">
      <c r="A23" s="1293" t="s">
        <v>13</v>
      </c>
      <c r="B23" s="1294">
        <v>233</v>
      </c>
      <c r="C23" s="330"/>
      <c r="D23" s="330"/>
      <c r="E23" s="330"/>
      <c r="F23" s="330"/>
    </row>
    <row r="24" spans="1:6">
      <c r="A24" s="1293" t="s">
        <v>14</v>
      </c>
      <c r="B24" s="1294">
        <v>91</v>
      </c>
      <c r="C24" s="330"/>
      <c r="D24" s="330"/>
      <c r="E24" s="330"/>
      <c r="F24" s="330"/>
    </row>
    <row r="25" spans="1:6">
      <c r="A25" s="1293" t="s">
        <v>15</v>
      </c>
      <c r="B25" s="1294">
        <v>1536</v>
      </c>
      <c r="C25" s="330"/>
      <c r="D25" s="330"/>
      <c r="E25" s="330"/>
      <c r="F25" s="330"/>
    </row>
    <row r="26" spans="1:6">
      <c r="A26" s="1293" t="s">
        <v>16</v>
      </c>
      <c r="B26" s="1294">
        <v>136</v>
      </c>
      <c r="C26" s="330"/>
      <c r="D26" s="330"/>
      <c r="E26" s="330"/>
      <c r="F26" s="330"/>
    </row>
    <row r="27" spans="1:6">
      <c r="A27" s="1293" t="s">
        <v>17</v>
      </c>
      <c r="B27" s="1294">
        <v>2</v>
      </c>
      <c r="C27" s="330"/>
      <c r="D27" s="330"/>
      <c r="E27" s="330"/>
      <c r="F27" s="330"/>
    </row>
    <row r="28" spans="1:6" s="43" customFormat="1">
      <c r="A28" s="1295" t="s">
        <v>18</v>
      </c>
      <c r="B28" s="1296">
        <v>278284</v>
      </c>
      <c r="C28" s="336"/>
      <c r="D28" s="336"/>
      <c r="E28" s="336"/>
      <c r="F28" s="336"/>
    </row>
    <row r="29" spans="1:6">
      <c r="A29" s="1295" t="s">
        <v>734</v>
      </c>
      <c r="B29" s="1296">
        <v>203</v>
      </c>
      <c r="C29" s="336"/>
      <c r="D29" s="336"/>
      <c r="E29" s="336"/>
      <c r="F29" s="336"/>
    </row>
    <row r="30" spans="1:6">
      <c r="A30" s="1288" t="s">
        <v>735</v>
      </c>
      <c r="B30" s="1297">
        <v>30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6</v>
      </c>
      <c r="D36" s="1294">
        <v>1162298.8441081799</v>
      </c>
      <c r="E36" s="1294">
        <v>3</v>
      </c>
      <c r="F36" s="1294">
        <v>7985.9907594823999</v>
      </c>
    </row>
    <row r="37" spans="1:6">
      <c r="A37" s="1293" t="s">
        <v>24</v>
      </c>
      <c r="B37" s="1293" t="s">
        <v>27</v>
      </c>
      <c r="C37" s="1294">
        <v>0</v>
      </c>
      <c r="D37" s="1294">
        <v>0</v>
      </c>
      <c r="E37" s="1294">
        <v>0</v>
      </c>
      <c r="F37" s="1294">
        <v>0</v>
      </c>
    </row>
    <row r="38" spans="1:6">
      <c r="A38" s="1293" t="s">
        <v>24</v>
      </c>
      <c r="B38" s="1293" t="s">
        <v>28</v>
      </c>
      <c r="C38" s="1294">
        <v>1</v>
      </c>
      <c r="D38" s="1294">
        <v>7419.0638394492998</v>
      </c>
      <c r="E38" s="1294">
        <v>1</v>
      </c>
      <c r="F38" s="1294">
        <v>904.17639258780002</v>
      </c>
    </row>
    <row r="39" spans="1:6">
      <c r="A39" s="1293" t="s">
        <v>29</v>
      </c>
      <c r="B39" s="1293" t="s">
        <v>30</v>
      </c>
      <c r="C39" s="1294">
        <v>11671</v>
      </c>
      <c r="D39" s="1294">
        <v>131387939.31261399</v>
      </c>
      <c r="E39" s="1294">
        <v>20600</v>
      </c>
      <c r="F39" s="1294">
        <v>47049509.2433981</v>
      </c>
    </row>
    <row r="40" spans="1:6">
      <c r="A40" s="1293" t="s">
        <v>29</v>
      </c>
      <c r="B40" s="1293" t="s">
        <v>28</v>
      </c>
      <c r="C40" s="1294">
        <v>0</v>
      </c>
      <c r="D40" s="1294">
        <v>0</v>
      </c>
      <c r="E40" s="1294">
        <v>0</v>
      </c>
      <c r="F40" s="1294">
        <v>0</v>
      </c>
    </row>
    <row r="41" spans="1:6">
      <c r="A41" s="1293" t="s">
        <v>31</v>
      </c>
      <c r="B41" s="1293" t="s">
        <v>32</v>
      </c>
      <c r="C41" s="1294">
        <v>203</v>
      </c>
      <c r="D41" s="1294">
        <v>3221114.1034259899</v>
      </c>
      <c r="E41" s="1294">
        <v>417</v>
      </c>
      <c r="F41" s="1294">
        <v>1941609.41997165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14807.112034260001</v>
      </c>
      <c r="E44" s="1294">
        <v>11</v>
      </c>
      <c r="F44" s="1294">
        <v>122314.60210050301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6</v>
      </c>
      <c r="D47" s="1294">
        <v>90834.400500447897</v>
      </c>
      <c r="E47" s="1294">
        <v>6</v>
      </c>
      <c r="F47" s="1294">
        <v>33186.060691646402</v>
      </c>
    </row>
    <row r="48" spans="1:6">
      <c r="A48" s="1293" t="s">
        <v>31</v>
      </c>
      <c r="B48" s="1293" t="s">
        <v>28</v>
      </c>
      <c r="C48" s="1294">
        <v>23</v>
      </c>
      <c r="D48" s="1294">
        <v>292181.28159518901</v>
      </c>
      <c r="E48" s="1294">
        <v>39</v>
      </c>
      <c r="F48" s="1294">
        <v>238683.03586621699</v>
      </c>
    </row>
    <row r="49" spans="1:6">
      <c r="A49" s="1293" t="s">
        <v>31</v>
      </c>
      <c r="B49" s="1293" t="s">
        <v>39</v>
      </c>
      <c r="C49" s="1294">
        <v>0</v>
      </c>
      <c r="D49" s="1294">
        <v>0</v>
      </c>
      <c r="E49" s="1294">
        <v>5</v>
      </c>
      <c r="F49" s="1294">
        <v>7126.9185292170996</v>
      </c>
    </row>
    <row r="50" spans="1:6">
      <c r="A50" s="1293" t="s">
        <v>31</v>
      </c>
      <c r="B50" s="1293" t="s">
        <v>40</v>
      </c>
      <c r="C50" s="1294">
        <v>22</v>
      </c>
      <c r="D50" s="1294">
        <v>1649783.35982802</v>
      </c>
      <c r="E50" s="1294">
        <v>29</v>
      </c>
      <c r="F50" s="1294">
        <v>1069498.1874172899</v>
      </c>
    </row>
    <row r="51" spans="1:6">
      <c r="A51" s="1293" t="s">
        <v>41</v>
      </c>
      <c r="B51" s="1293" t="s">
        <v>42</v>
      </c>
      <c r="C51" s="1294">
        <v>7</v>
      </c>
      <c r="D51" s="1294">
        <v>38841.797425345598</v>
      </c>
      <c r="E51" s="1294">
        <v>129</v>
      </c>
      <c r="F51" s="1294">
        <v>1207720.9389881899</v>
      </c>
    </row>
    <row r="52" spans="1:6">
      <c r="A52" s="1293" t="s">
        <v>41</v>
      </c>
      <c r="B52" s="1293" t="s">
        <v>28</v>
      </c>
      <c r="C52" s="1294">
        <v>8</v>
      </c>
      <c r="D52" s="1294">
        <v>207222.58653328099</v>
      </c>
      <c r="E52" s="1294">
        <v>10</v>
      </c>
      <c r="F52" s="1294">
        <v>43110.100095607901</v>
      </c>
    </row>
    <row r="53" spans="1:6">
      <c r="A53" s="1293" t="s">
        <v>43</v>
      </c>
      <c r="B53" s="1293" t="s">
        <v>44</v>
      </c>
      <c r="C53" s="1294">
        <v>2426</v>
      </c>
      <c r="D53" s="1294">
        <v>21822711.751770299</v>
      </c>
      <c r="E53" s="1294">
        <v>5651</v>
      </c>
      <c r="F53" s="1294">
        <v>10332563.2424099</v>
      </c>
    </row>
    <row r="54" spans="1:6">
      <c r="A54" s="1293" t="s">
        <v>45</v>
      </c>
      <c r="B54" s="1293" t="s">
        <v>46</v>
      </c>
      <c r="C54" s="1294">
        <v>0</v>
      </c>
      <c r="D54" s="1294">
        <v>0</v>
      </c>
      <c r="E54" s="1294">
        <v>1</v>
      </c>
      <c r="F54" s="1294">
        <v>2915848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72</v>
      </c>
      <c r="D57" s="1294">
        <v>4332108.5553393699</v>
      </c>
      <c r="E57" s="1294">
        <v>167</v>
      </c>
      <c r="F57" s="1294">
        <v>7883824.6546714501</v>
      </c>
    </row>
    <row r="58" spans="1:6">
      <c r="A58" s="1293" t="s">
        <v>48</v>
      </c>
      <c r="B58" s="1293" t="s">
        <v>50</v>
      </c>
      <c r="C58" s="1294">
        <v>76</v>
      </c>
      <c r="D58" s="1294">
        <v>3087609.7194160102</v>
      </c>
      <c r="E58" s="1294">
        <v>141</v>
      </c>
      <c r="F58" s="1294">
        <v>1394924.6281675701</v>
      </c>
    </row>
    <row r="59" spans="1:6">
      <c r="A59" s="1293" t="s">
        <v>48</v>
      </c>
      <c r="B59" s="1293" t="s">
        <v>51</v>
      </c>
      <c r="C59" s="1294">
        <v>264</v>
      </c>
      <c r="D59" s="1294">
        <v>5448241.3658232698</v>
      </c>
      <c r="E59" s="1294">
        <v>531</v>
      </c>
      <c r="F59" s="1294">
        <v>10059068.4912332</v>
      </c>
    </row>
    <row r="60" spans="1:6">
      <c r="A60" s="1293" t="s">
        <v>48</v>
      </c>
      <c r="B60" s="1293" t="s">
        <v>52</v>
      </c>
      <c r="C60" s="1294">
        <v>600</v>
      </c>
      <c r="D60" s="1294">
        <v>23422414.341568701</v>
      </c>
      <c r="E60" s="1294">
        <v>593</v>
      </c>
      <c r="F60" s="1294">
        <v>11948876.8474843</v>
      </c>
    </row>
    <row r="61" spans="1:6">
      <c r="A61" s="1293" t="s">
        <v>48</v>
      </c>
      <c r="B61" s="1293" t="s">
        <v>53</v>
      </c>
      <c r="C61" s="1294">
        <v>843</v>
      </c>
      <c r="D61" s="1294">
        <v>27164840.692097198</v>
      </c>
      <c r="E61" s="1294">
        <v>2981</v>
      </c>
      <c r="F61" s="1294">
        <v>13893509.4844954</v>
      </c>
    </row>
    <row r="62" spans="1:6">
      <c r="A62" s="1293" t="s">
        <v>48</v>
      </c>
      <c r="B62" s="1293" t="s">
        <v>54</v>
      </c>
      <c r="C62" s="1294">
        <v>8</v>
      </c>
      <c r="D62" s="1294">
        <v>2707390.7757923901</v>
      </c>
      <c r="E62" s="1294">
        <v>8</v>
      </c>
      <c r="F62" s="1294">
        <v>883725.27475588105</v>
      </c>
    </row>
    <row r="63" spans="1:6">
      <c r="A63" s="1293" t="s">
        <v>48</v>
      </c>
      <c r="B63" s="1293" t="s">
        <v>28</v>
      </c>
      <c r="C63" s="1294">
        <v>99</v>
      </c>
      <c r="D63" s="1294">
        <v>5622688.2321069697</v>
      </c>
      <c r="E63" s="1294">
        <v>102</v>
      </c>
      <c r="F63" s="1294">
        <v>3842541.95445944</v>
      </c>
    </row>
    <row r="64" spans="1:6">
      <c r="A64" s="1293" t="s">
        <v>55</v>
      </c>
      <c r="B64" s="1293" t="s">
        <v>56</v>
      </c>
      <c r="C64" s="1294">
        <v>0</v>
      </c>
      <c r="D64" s="1294">
        <v>0</v>
      </c>
      <c r="E64" s="1294">
        <v>0</v>
      </c>
      <c r="F64" s="1294">
        <v>0</v>
      </c>
    </row>
    <row r="65" spans="1:6">
      <c r="A65" s="1293" t="s">
        <v>55</v>
      </c>
      <c r="B65" s="1293" t="s">
        <v>28</v>
      </c>
      <c r="C65" s="1294">
        <v>2</v>
      </c>
      <c r="D65" s="1294">
        <v>69213.376106020907</v>
      </c>
      <c r="E65" s="1294">
        <v>2</v>
      </c>
      <c r="F65" s="1294">
        <v>19093.023013844198</v>
      </c>
    </row>
    <row r="66" spans="1:6">
      <c r="A66" s="1293" t="s">
        <v>55</v>
      </c>
      <c r="B66" s="1293" t="s">
        <v>57</v>
      </c>
      <c r="C66" s="1294">
        <v>0</v>
      </c>
      <c r="D66" s="1294">
        <v>0</v>
      </c>
      <c r="E66" s="1294">
        <v>24</v>
      </c>
      <c r="F66" s="1294">
        <v>546068.43862835399</v>
      </c>
    </row>
    <row r="67" spans="1:6">
      <c r="A67" s="1295" t="s">
        <v>55</v>
      </c>
      <c r="B67" s="1295" t="s">
        <v>58</v>
      </c>
      <c r="C67" s="1294">
        <v>0</v>
      </c>
      <c r="D67" s="1294">
        <v>0</v>
      </c>
      <c r="E67" s="1294">
        <v>0</v>
      </c>
      <c r="F67" s="1294">
        <v>0</v>
      </c>
    </row>
    <row r="68" spans="1:6">
      <c r="A68" s="1288" t="s">
        <v>55</v>
      </c>
      <c r="B68" s="1288" t="s">
        <v>59</v>
      </c>
      <c r="C68" s="1297">
        <v>6</v>
      </c>
      <c r="D68" s="1297">
        <v>81196.332469486704</v>
      </c>
      <c r="E68" s="1297">
        <v>21</v>
      </c>
      <c r="F68" s="1297">
        <v>846705.58199405298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79788306</v>
      </c>
      <c r="E73" s="449"/>
      <c r="F73" s="330"/>
    </row>
    <row r="74" spans="1:6">
      <c r="A74" s="1293" t="s">
        <v>63</v>
      </c>
      <c r="B74" s="1293" t="s">
        <v>656</v>
      </c>
      <c r="C74" s="1307" t="s">
        <v>658</v>
      </c>
      <c r="D74" s="1308">
        <v>9533233.5</v>
      </c>
      <c r="E74" s="449"/>
      <c r="F74" s="330"/>
    </row>
    <row r="75" spans="1:6">
      <c r="A75" s="1293" t="s">
        <v>64</v>
      </c>
      <c r="B75" s="1293" t="s">
        <v>655</v>
      </c>
      <c r="C75" s="1307" t="s">
        <v>659</v>
      </c>
      <c r="D75" s="1308">
        <v>5776888</v>
      </c>
      <c r="E75" s="449"/>
      <c r="F75" s="330"/>
    </row>
    <row r="76" spans="1:6">
      <c r="A76" s="1293" t="s">
        <v>64</v>
      </c>
      <c r="B76" s="1293" t="s">
        <v>656</v>
      </c>
      <c r="C76" s="1307" t="s">
        <v>660</v>
      </c>
      <c r="D76" s="1308">
        <v>91046.5</v>
      </c>
      <c r="E76" s="449"/>
      <c r="F76" s="330"/>
    </row>
    <row r="77" spans="1:6">
      <c r="A77" s="1293" t="s">
        <v>65</v>
      </c>
      <c r="B77" s="1293" t="s">
        <v>655</v>
      </c>
      <c r="C77" s="1307" t="s">
        <v>661</v>
      </c>
      <c r="D77" s="1308">
        <v>14659546</v>
      </c>
      <c r="E77" s="449"/>
      <c r="F77" s="330"/>
    </row>
    <row r="78" spans="1:6">
      <c r="A78" s="1288" t="s">
        <v>65</v>
      </c>
      <c r="B78" s="1288" t="s">
        <v>656</v>
      </c>
      <c r="C78" s="1288" t="s">
        <v>662</v>
      </c>
      <c r="D78" s="1309">
        <v>5149933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352033</v>
      </c>
      <c r="C83" s="449"/>
      <c r="D83" s="330"/>
      <c r="E83" s="330"/>
      <c r="F83" s="330"/>
    </row>
    <row r="84" spans="1:6">
      <c r="A84" s="1288" t="s">
        <v>336</v>
      </c>
      <c r="B84" s="1309">
        <v>386355</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3000.1494154816523</v>
      </c>
      <c r="C91" s="330"/>
      <c r="D91" s="330"/>
      <c r="E91" s="330"/>
      <c r="F91" s="330"/>
    </row>
    <row r="92" spans="1:6">
      <c r="A92" s="1288" t="s">
        <v>68</v>
      </c>
      <c r="B92" s="1289">
        <v>593.19268876604201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5266</v>
      </c>
      <c r="C97" s="330"/>
      <c r="D97" s="330"/>
      <c r="E97" s="330"/>
      <c r="F97" s="330"/>
    </row>
    <row r="98" spans="1:6">
      <c r="A98" s="1293" t="s">
        <v>71</v>
      </c>
      <c r="B98" s="1294">
        <v>0</v>
      </c>
      <c r="C98" s="330"/>
      <c r="D98" s="330"/>
      <c r="E98" s="330"/>
      <c r="F98" s="330"/>
    </row>
    <row r="99" spans="1:6">
      <c r="A99" s="1293" t="s">
        <v>72</v>
      </c>
      <c r="B99" s="1294">
        <v>87</v>
      </c>
      <c r="C99" s="330"/>
      <c r="D99" s="330"/>
      <c r="E99" s="330"/>
      <c r="F99" s="330"/>
    </row>
    <row r="100" spans="1:6">
      <c r="A100" s="1293" t="s">
        <v>73</v>
      </c>
      <c r="B100" s="1294">
        <v>1499</v>
      </c>
      <c r="C100" s="330"/>
      <c r="D100" s="330"/>
      <c r="E100" s="330"/>
      <c r="F100" s="330"/>
    </row>
    <row r="101" spans="1:6">
      <c r="A101" s="1293" t="s">
        <v>74</v>
      </c>
      <c r="B101" s="1294">
        <v>72</v>
      </c>
      <c r="C101" s="330"/>
      <c r="D101" s="330"/>
      <c r="E101" s="330"/>
      <c r="F101" s="330"/>
    </row>
    <row r="102" spans="1:6">
      <c r="A102" s="1293" t="s">
        <v>75</v>
      </c>
      <c r="B102" s="1294">
        <v>190</v>
      </c>
      <c r="C102" s="330"/>
      <c r="D102" s="330"/>
      <c r="E102" s="330"/>
      <c r="F102" s="330"/>
    </row>
    <row r="103" spans="1:6">
      <c r="A103" s="1293" t="s">
        <v>76</v>
      </c>
      <c r="B103" s="1294">
        <v>69</v>
      </c>
      <c r="C103" s="330"/>
      <c r="D103" s="330"/>
      <c r="E103" s="330"/>
      <c r="F103" s="330"/>
    </row>
    <row r="104" spans="1:6">
      <c r="A104" s="1293" t="s">
        <v>77</v>
      </c>
      <c r="B104" s="1294">
        <v>1638</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19</v>
      </c>
      <c r="C123" s="1294">
        <v>45</v>
      </c>
      <c r="D123" s="330"/>
      <c r="E123" s="330"/>
      <c r="F123" s="330"/>
    </row>
    <row r="124" spans="1:6" s="43" customFormat="1">
      <c r="A124" s="1295" t="s">
        <v>88</v>
      </c>
      <c r="B124" s="1316">
        <v>1</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188</v>
      </c>
      <c r="C129" s="330"/>
      <c r="D129" s="330"/>
      <c r="E129" s="330"/>
      <c r="F129" s="330"/>
    </row>
    <row r="130" spans="1:6">
      <c r="A130" s="1293" t="s">
        <v>294</v>
      </c>
      <c r="B130" s="1294">
        <v>4</v>
      </c>
      <c r="C130" s="330"/>
      <c r="D130" s="330"/>
      <c r="E130" s="330"/>
      <c r="F130" s="330"/>
    </row>
    <row r="131" spans="1:6">
      <c r="A131" s="1293" t="s">
        <v>295</v>
      </c>
      <c r="B131" s="1294">
        <v>2</v>
      </c>
      <c r="C131" s="330"/>
      <c r="D131" s="330"/>
      <c r="E131" s="330"/>
      <c r="F131" s="330"/>
    </row>
    <row r="132" spans="1:6">
      <c r="A132" s="1288" t="s">
        <v>296</v>
      </c>
      <c r="B132" s="1289">
        <v>16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119488.21061687572</v>
      </c>
      <c r="C3" s="43" t="s">
        <v>169</v>
      </c>
      <c r="D3" s="43"/>
      <c r="E3" s="154"/>
      <c r="F3" s="43"/>
      <c r="G3" s="43"/>
      <c r="H3" s="43"/>
      <c r="I3" s="43"/>
      <c r="J3" s="43"/>
      <c r="K3" s="96"/>
    </row>
    <row r="4" spans="1:11">
      <c r="A4" s="358" t="s">
        <v>170</v>
      </c>
      <c r="B4" s="49">
        <f>IF(ISERROR('SEAP template'!B78+'SEAP template'!C78),0,'SEAP template'!B78+'SEAP template'!C78)</f>
        <v>3843.0921042476944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59.352352941176484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0.21438871175642166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84.789075630252114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356.78571428571433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2915.848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2915.848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0.21438871175642166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625.12489639753858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47049.509243398097</v>
      </c>
      <c r="C5" s="17">
        <f>IF(ISERROR('Eigen informatie GS &amp; warmtenet'!B57),0,'Eigen informatie GS &amp; warmtenet'!B57)</f>
        <v>0</v>
      </c>
      <c r="D5" s="30">
        <f>(SUM(HH_hh_gas_kWh,HH_rest_gas_kWh)/1000)*0.902</f>
        <v>118511.92125997784</v>
      </c>
      <c r="E5" s="17">
        <f>B46*B57</f>
        <v>0</v>
      </c>
      <c r="F5" s="17">
        <f>B51*B62</f>
        <v>0</v>
      </c>
      <c r="G5" s="18"/>
      <c r="H5" s="17"/>
      <c r="I5" s="17"/>
      <c r="J5" s="17">
        <f>B50*B61+C50*C61</f>
        <v>0</v>
      </c>
      <c r="K5" s="17"/>
      <c r="L5" s="17"/>
      <c r="M5" s="17"/>
      <c r="N5" s="17">
        <f>B48*B59+C48*C59</f>
        <v>0</v>
      </c>
      <c r="O5" s="17">
        <f>B69*B70*B71</f>
        <v>370.51000000000005</v>
      </c>
      <c r="P5" s="17">
        <f>B77*B78*B79/1000-B77*B78*B79/1000/B80</f>
        <v>686.4</v>
      </c>
    </row>
    <row r="6" spans="1:16">
      <c r="A6" s="16" t="s">
        <v>620</v>
      </c>
      <c r="B6" s="762">
        <f>kWh_PV_kleiner_dan_10kW</f>
        <v>3000.1494154816523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50049.658658879751</v>
      </c>
      <c r="C8" s="21">
        <f>C5</f>
        <v>0</v>
      </c>
      <c r="D8" s="21">
        <f>D5</f>
        <v>118511.92125997784</v>
      </c>
      <c r="E8" s="21">
        <f>E5</f>
        <v>0</v>
      </c>
      <c r="F8" s="21">
        <f>F5</f>
        <v>0</v>
      </c>
      <c r="G8" s="21"/>
      <c r="H8" s="21"/>
      <c r="I8" s="21"/>
      <c r="J8" s="21">
        <f>J5</f>
        <v>0</v>
      </c>
      <c r="K8" s="21"/>
      <c r="L8" s="21">
        <f>L5</f>
        <v>0</v>
      </c>
      <c r="M8" s="21">
        <f>M5</f>
        <v>0</v>
      </c>
      <c r="N8" s="21">
        <f>N5</f>
        <v>0</v>
      </c>
      <c r="O8" s="21">
        <f>O5</f>
        <v>370.51000000000005</v>
      </c>
      <c r="P8" s="21">
        <f>P5</f>
        <v>686.4</v>
      </c>
    </row>
    <row r="9" spans="1:16">
      <c r="B9" s="19"/>
      <c r="C9" s="19"/>
      <c r="D9" s="258"/>
      <c r="E9" s="19"/>
      <c r="F9" s="19"/>
      <c r="G9" s="19"/>
      <c r="H9" s="19"/>
      <c r="I9" s="19"/>
      <c r="J9" s="19"/>
      <c r="K9" s="19"/>
      <c r="L9" s="19"/>
      <c r="M9" s="19"/>
      <c r="N9" s="19"/>
      <c r="O9" s="19"/>
      <c r="P9" s="19"/>
    </row>
    <row r="10" spans="1:16">
      <c r="A10" s="24" t="s">
        <v>213</v>
      </c>
      <c r="B10" s="25">
        <f ca="1">'EF ele_warmte'!B12</f>
        <v>0.21438871175642166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10730.081843725864</v>
      </c>
      <c r="C12" s="23">
        <f ca="1">C10*C8</f>
        <v>0</v>
      </c>
      <c r="D12" s="23">
        <f>D8*D10</f>
        <v>23939.408094515526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5266</v>
      </c>
      <c r="C18" s="166" t="s">
        <v>110</v>
      </c>
      <c r="D18" s="228"/>
      <c r="E18" s="15"/>
    </row>
    <row r="19" spans="1:7">
      <c r="A19" s="171" t="s">
        <v>71</v>
      </c>
      <c r="B19" s="37">
        <f>aantalw2001_ander</f>
        <v>0</v>
      </c>
      <c r="C19" s="166" t="s">
        <v>110</v>
      </c>
      <c r="D19" s="229"/>
      <c r="E19" s="15"/>
    </row>
    <row r="20" spans="1:7">
      <c r="A20" s="171" t="s">
        <v>72</v>
      </c>
      <c r="B20" s="37">
        <f>aantalw2001_propaan</f>
        <v>87</v>
      </c>
      <c r="C20" s="167">
        <f>IF(ISERROR(B20/SUM($B$20,$B$21,$B$22)*100),0,B20/SUM($B$20,$B$21,$B$22)*100)</f>
        <v>5.2472858866103742</v>
      </c>
      <c r="D20" s="229"/>
      <c r="E20" s="15"/>
    </row>
    <row r="21" spans="1:7">
      <c r="A21" s="171" t="s">
        <v>73</v>
      </c>
      <c r="B21" s="37">
        <f>aantalw2001_elektriciteit</f>
        <v>1499</v>
      </c>
      <c r="C21" s="167">
        <f>IF(ISERROR(B21/SUM($B$20,$B$21,$B$22)*100),0,B21/SUM($B$20,$B$21,$B$22)*100)</f>
        <v>90.410132689987933</v>
      </c>
      <c r="D21" s="229"/>
      <c r="E21" s="15"/>
    </row>
    <row r="22" spans="1:7">
      <c r="A22" s="171" t="s">
        <v>74</v>
      </c>
      <c r="B22" s="37">
        <f>aantalw2001_hout</f>
        <v>72</v>
      </c>
      <c r="C22" s="167">
        <f>IF(ISERROR(B22/SUM($B$20,$B$21,$B$22)*100),0,B22/SUM($B$20,$B$21,$B$22)*100)</f>
        <v>4.3425814234016888</v>
      </c>
      <c r="D22" s="229"/>
      <c r="E22" s="15"/>
    </row>
    <row r="23" spans="1:7">
      <c r="A23" s="171" t="s">
        <v>75</v>
      </c>
      <c r="B23" s="37">
        <f>aantalw2001_niet_gespec</f>
        <v>190</v>
      </c>
      <c r="C23" s="166" t="s">
        <v>110</v>
      </c>
      <c r="D23" s="228"/>
      <c r="E23" s="15"/>
    </row>
    <row r="24" spans="1:7">
      <c r="A24" s="171" t="s">
        <v>76</v>
      </c>
      <c r="B24" s="37">
        <f>aantalw2001_steenkool</f>
        <v>69</v>
      </c>
      <c r="C24" s="166" t="s">
        <v>110</v>
      </c>
      <c r="D24" s="229"/>
      <c r="E24" s="15"/>
    </row>
    <row r="25" spans="1:7">
      <c r="A25" s="171" t="s">
        <v>77</v>
      </c>
      <c r="B25" s="37">
        <f>aantalw2001_stookolie</f>
        <v>1638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11288</v>
      </c>
      <c r="C28" s="36"/>
      <c r="D28" s="228"/>
    </row>
    <row r="29" spans="1:7" s="15" customFormat="1">
      <c r="A29" s="230" t="s">
        <v>781</v>
      </c>
      <c r="B29" s="37">
        <f>SUM(HH_hh_gas_aantal,HH_rest_gas_aantal)</f>
        <v>11671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11671</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11671</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49906.471335267248</v>
      </c>
      <c r="C5" s="17">
        <f>IF(ISERROR('Eigen informatie GS &amp; warmtenet'!B58),0,'Eigen informatie GS &amp; warmtenet'!B58)</f>
        <v>0</v>
      </c>
      <c r="D5" s="30">
        <f>SUM(D6:D12)</f>
        <v>64750.334901293805</v>
      </c>
      <c r="E5" s="17">
        <f>SUM(E6:E12)</f>
        <v>606.56936236157276</v>
      </c>
      <c r="F5" s="17">
        <f>SUM(F6:F12)</f>
        <v>8627.6991057865307</v>
      </c>
      <c r="G5" s="18"/>
      <c r="H5" s="17"/>
      <c r="I5" s="17"/>
      <c r="J5" s="17">
        <f>SUM(J6:J12)</f>
        <v>0.18043174182868688</v>
      </c>
      <c r="K5" s="17"/>
      <c r="L5" s="17"/>
      <c r="M5" s="17"/>
      <c r="N5" s="17">
        <f>SUM(N6:N12)</f>
        <v>7121.5467787889893</v>
      </c>
      <c r="O5" s="17">
        <f>B38*B39*B40</f>
        <v>6.2533333333333339</v>
      </c>
      <c r="P5" s="17">
        <f>B46*B47*B48/1000-B46*B47*B48/1000/B49</f>
        <v>38.133333333333333</v>
      </c>
      <c r="R5" s="32"/>
    </row>
    <row r="6" spans="1:18">
      <c r="A6" s="32" t="s">
        <v>53</v>
      </c>
      <c r="B6" s="37">
        <f>B26</f>
        <v>13893.5094844954</v>
      </c>
      <c r="C6" s="33"/>
      <c r="D6" s="37">
        <f>IF(ISERROR(TER_kantoor_gas_kWh/1000),0,TER_kantoor_gas_kWh/1000)*0.902</f>
        <v>24502.686304271672</v>
      </c>
      <c r="E6" s="33">
        <f>$C$26*'E Balans VL '!I12/100/3.6*1000000</f>
        <v>8.7079896539955695E-2</v>
      </c>
      <c r="F6" s="33">
        <f>$C$26*('E Balans VL '!L12+'E Balans VL '!N12)/100/3.6*1000000</f>
        <v>2087.8062538384993</v>
      </c>
      <c r="G6" s="34"/>
      <c r="H6" s="33"/>
      <c r="I6" s="33"/>
      <c r="J6" s="33">
        <f>$C$26*('E Balans VL '!D12+'E Balans VL '!E12)/100/3.6*1000000</f>
        <v>0</v>
      </c>
      <c r="K6" s="33"/>
      <c r="L6" s="33"/>
      <c r="M6" s="33"/>
      <c r="N6" s="33">
        <f>$C$26*'E Balans VL '!Y12/100/3.6*1000000</f>
        <v>13.287081883072505</v>
      </c>
      <c r="O6" s="33"/>
      <c r="P6" s="33"/>
      <c r="R6" s="32"/>
    </row>
    <row r="7" spans="1:18">
      <c r="A7" s="32" t="s">
        <v>52</v>
      </c>
      <c r="B7" s="37">
        <f t="shared" ref="B7:B12" si="0">B27</f>
        <v>11948.8768474843</v>
      </c>
      <c r="C7" s="33"/>
      <c r="D7" s="37">
        <f>IF(ISERROR(TER_horeca_gas_kWh/1000),0,TER_horeca_gas_kWh/1000)*0.902</f>
        <v>21127.017736094967</v>
      </c>
      <c r="E7" s="33">
        <f>$C$27*'E Balans VL '!I9/100/3.6*1000000</f>
        <v>171.10592615303744</v>
      </c>
      <c r="F7" s="33">
        <f>$C$27*('E Balans VL '!L9+'E Balans VL '!N9)/100/3.6*1000000</f>
        <v>1513.1218980325671</v>
      </c>
      <c r="G7" s="34"/>
      <c r="H7" s="33"/>
      <c r="I7" s="33"/>
      <c r="J7" s="33">
        <f>$C$27*('E Balans VL '!D9+'E Balans VL '!E9)/100/3.6*1000000</f>
        <v>0</v>
      </c>
      <c r="K7" s="33"/>
      <c r="L7" s="33"/>
      <c r="M7" s="33"/>
      <c r="N7" s="33">
        <f>$C$27*'E Balans VL '!Y9/100/3.6*1000000</f>
        <v>3.4350386435317195</v>
      </c>
      <c r="O7" s="33"/>
      <c r="P7" s="33"/>
      <c r="R7" s="32"/>
    </row>
    <row r="8" spans="1:18">
      <c r="A8" s="6" t="s">
        <v>51</v>
      </c>
      <c r="B8" s="37">
        <f t="shared" si="0"/>
        <v>10059.0684912332</v>
      </c>
      <c r="C8" s="33"/>
      <c r="D8" s="37">
        <f>IF(ISERROR(TER_handel_gas_kWh/1000),0,TER_handel_gas_kWh/1000)*0.902</f>
        <v>4914.3137119725898</v>
      </c>
      <c r="E8" s="33">
        <f>$C$28*'E Balans VL '!I13/100/3.6*1000000</f>
        <v>364.84117374827503</v>
      </c>
      <c r="F8" s="33">
        <f>$C$28*('E Balans VL '!L13+'E Balans VL '!N13)/100/3.6*1000000</f>
        <v>1937.4784459556979</v>
      </c>
      <c r="G8" s="34"/>
      <c r="H8" s="33"/>
      <c r="I8" s="33"/>
      <c r="J8" s="33">
        <f>$C$28*('E Balans VL '!D13+'E Balans VL '!E13)/100/3.6*1000000</f>
        <v>0</v>
      </c>
      <c r="K8" s="33"/>
      <c r="L8" s="33"/>
      <c r="M8" s="33"/>
      <c r="N8" s="33">
        <f>$C$28*'E Balans VL '!Y13/100/3.6*1000000</f>
        <v>13.934124348794725</v>
      </c>
      <c r="O8" s="33"/>
      <c r="P8" s="33"/>
      <c r="R8" s="32"/>
    </row>
    <row r="9" spans="1:18">
      <c r="A9" s="32" t="s">
        <v>50</v>
      </c>
      <c r="B9" s="37">
        <f t="shared" si="0"/>
        <v>1394.9246281675701</v>
      </c>
      <c r="C9" s="33"/>
      <c r="D9" s="37">
        <f>IF(ISERROR(TER_gezond_gas_kWh/1000),0,TER_gezond_gas_kWh/1000)*0.902</f>
        <v>2785.0239669132411</v>
      </c>
      <c r="E9" s="33">
        <f>$C$29*'E Balans VL '!I10/100/3.6*1000000</f>
        <v>8.7336054115866438E-2</v>
      </c>
      <c r="F9" s="33">
        <f>$C$29*('E Balans VL '!L10+'E Balans VL '!N10)/100/3.6*1000000</f>
        <v>207.22030065530899</v>
      </c>
      <c r="G9" s="34"/>
      <c r="H9" s="33"/>
      <c r="I9" s="33"/>
      <c r="J9" s="33">
        <f>$C$29*('E Balans VL '!D10+'E Balans VL '!E10)/100/3.6*1000000</f>
        <v>0</v>
      </c>
      <c r="K9" s="33"/>
      <c r="L9" s="33"/>
      <c r="M9" s="33"/>
      <c r="N9" s="33">
        <f>$C$29*'E Balans VL '!Y10/100/3.6*1000000</f>
        <v>21.576828747217075</v>
      </c>
      <c r="O9" s="33"/>
      <c r="P9" s="33"/>
      <c r="R9" s="32"/>
    </row>
    <row r="10" spans="1:18">
      <c r="A10" s="32" t="s">
        <v>49</v>
      </c>
      <c r="B10" s="37">
        <f t="shared" si="0"/>
        <v>7883.8246546714499</v>
      </c>
      <c r="C10" s="33"/>
      <c r="D10" s="37">
        <f>IF(ISERROR(TER_ander_gas_kWh/1000),0,TER_ander_gas_kWh/1000)*0.902</f>
        <v>3907.5619169161114</v>
      </c>
      <c r="E10" s="33">
        <f>$C$30*'E Balans VL '!I14/100/3.6*1000000</f>
        <v>9.3972372680775749</v>
      </c>
      <c r="F10" s="33">
        <f>$C$30*('E Balans VL '!L14+'E Balans VL '!N14)/100/3.6*1000000</f>
        <v>2062.7590169778227</v>
      </c>
      <c r="G10" s="34"/>
      <c r="H10" s="33"/>
      <c r="I10" s="33"/>
      <c r="J10" s="33">
        <f>$C$30*('E Balans VL '!D14+'E Balans VL '!E14)/100/3.6*1000000</f>
        <v>0.17112692951358363</v>
      </c>
      <c r="K10" s="33"/>
      <c r="L10" s="33"/>
      <c r="M10" s="33"/>
      <c r="N10" s="33">
        <f>$C$30*'E Balans VL '!Y14/100/3.6*1000000</f>
        <v>6694.7509822731599</v>
      </c>
      <c r="O10" s="33"/>
      <c r="P10" s="33"/>
      <c r="R10" s="32"/>
    </row>
    <row r="11" spans="1:18">
      <c r="A11" s="32" t="s">
        <v>54</v>
      </c>
      <c r="B11" s="37">
        <f t="shared" si="0"/>
        <v>883.72527475588106</v>
      </c>
      <c r="C11" s="33"/>
      <c r="D11" s="37">
        <f>IF(ISERROR(TER_onderwijs_gas_kWh/1000),0,TER_onderwijs_gas_kWh/1000)*0.902</f>
        <v>2442.066479764736</v>
      </c>
      <c r="E11" s="33">
        <f>$C$31*'E Balans VL '!I11/100/3.6*1000000</f>
        <v>13.333991021162966</v>
      </c>
      <c r="F11" s="33">
        <f>$C$31*('E Balans VL '!L11+'E Balans VL '!N11)/100/3.6*1000000</f>
        <v>154.84278606849833</v>
      </c>
      <c r="G11" s="34"/>
      <c r="H11" s="33"/>
      <c r="I11" s="33"/>
      <c r="J11" s="33">
        <f>$C$31*('E Balans VL '!D11+'E Balans VL '!E11)/100/3.6*1000000</f>
        <v>0</v>
      </c>
      <c r="K11" s="33"/>
      <c r="L11" s="33"/>
      <c r="M11" s="33"/>
      <c r="N11" s="33">
        <f>$C$31*'E Balans VL '!Y11/100/3.6*1000000</f>
        <v>2.4868701065169043</v>
      </c>
      <c r="O11" s="33"/>
      <c r="P11" s="33"/>
      <c r="R11" s="32"/>
    </row>
    <row r="12" spans="1:18">
      <c r="A12" s="32" t="s">
        <v>259</v>
      </c>
      <c r="B12" s="37">
        <f t="shared" si="0"/>
        <v>3842.5419544594401</v>
      </c>
      <c r="C12" s="33"/>
      <c r="D12" s="37">
        <f>IF(ISERROR(TER_rest_gas_kWh/1000),0,TER_rest_gas_kWh/1000)*0.902</f>
        <v>5071.6647853604873</v>
      </c>
      <c r="E12" s="33">
        <f>$C$32*'E Balans VL '!I8/100/3.6*1000000</f>
        <v>47.716618220363905</v>
      </c>
      <c r="F12" s="33">
        <f>$C$32*('E Balans VL '!L8+'E Balans VL '!N8)/100/3.6*1000000</f>
        <v>664.470404258136</v>
      </c>
      <c r="G12" s="34"/>
      <c r="H12" s="33"/>
      <c r="I12" s="33"/>
      <c r="J12" s="33">
        <f>$C$32*('E Balans VL '!D8+'E Balans VL '!E8)/100/3.6*1000000</f>
        <v>9.3048123151032447E-3</v>
      </c>
      <c r="K12" s="33"/>
      <c r="L12" s="33"/>
      <c r="M12" s="33"/>
      <c r="N12" s="33">
        <f>$C$32*'E Balans VL '!Y8/100/3.6*1000000</f>
        <v>372.07585278669643</v>
      </c>
      <c r="O12" s="33"/>
      <c r="P12" s="33"/>
      <c r="R12" s="32"/>
    </row>
    <row r="13" spans="1:18">
      <c r="A13" s="16" t="s">
        <v>487</v>
      </c>
      <c r="B13" s="247">
        <f ca="1">'lokale energieproductie'!N39+'lokale energieproductie'!N32</f>
        <v>225</v>
      </c>
      <c r="C13" s="247">
        <f ca="1">'lokale energieproductie'!O39+'lokale energieproductie'!O32</f>
        <v>321.42857142857144</v>
      </c>
      <c r="D13" s="308">
        <f ca="1">('lokale energieproductie'!P32+'lokale energieproductie'!P39)*(-1)</f>
        <v>-642.85714285714289</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50131.471335267248</v>
      </c>
      <c r="C16" s="21">
        <f t="shared" ca="1" si="1"/>
        <v>321.42857142857144</v>
      </c>
      <c r="D16" s="21">
        <f t="shared" ca="1" si="1"/>
        <v>64107.47775843666</v>
      </c>
      <c r="E16" s="21">
        <f t="shared" si="1"/>
        <v>606.56936236157276</v>
      </c>
      <c r="F16" s="21">
        <f t="shared" ca="1" si="1"/>
        <v>8627.6991057865307</v>
      </c>
      <c r="G16" s="21">
        <f t="shared" si="1"/>
        <v>0</v>
      </c>
      <c r="H16" s="21">
        <f t="shared" si="1"/>
        <v>0</v>
      </c>
      <c r="I16" s="21">
        <f t="shared" si="1"/>
        <v>0</v>
      </c>
      <c r="J16" s="21">
        <f t="shared" si="1"/>
        <v>0.18043174182868688</v>
      </c>
      <c r="K16" s="21">
        <f t="shared" si="1"/>
        <v>0</v>
      </c>
      <c r="L16" s="21">
        <f t="shared" ca="1" si="1"/>
        <v>0</v>
      </c>
      <c r="M16" s="21">
        <f t="shared" si="1"/>
        <v>0</v>
      </c>
      <c r="N16" s="21">
        <f t="shared" ca="1" si="1"/>
        <v>7121.5467787889893</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0.21438871175642166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10747.621558021925</v>
      </c>
      <c r="C20" s="23">
        <f t="shared" ref="C20:P20" ca="1" si="2">C16*C18</f>
        <v>76.386554621848745</v>
      </c>
      <c r="D20" s="23">
        <f t="shared" ca="1" si="2"/>
        <v>12949.710507204207</v>
      </c>
      <c r="E20" s="23">
        <f t="shared" si="2"/>
        <v>137.69124525607702</v>
      </c>
      <c r="F20" s="23">
        <f t="shared" ca="1" si="2"/>
        <v>2303.5956612450036</v>
      </c>
      <c r="G20" s="23">
        <f t="shared" si="2"/>
        <v>0</v>
      </c>
      <c r="H20" s="23">
        <f t="shared" si="2"/>
        <v>0</v>
      </c>
      <c r="I20" s="23">
        <f t="shared" si="2"/>
        <v>0</v>
      </c>
      <c r="J20" s="23">
        <f t="shared" si="2"/>
        <v>6.3872836607355155E-2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13893.5094844954</v>
      </c>
      <c r="C26" s="39">
        <f>IF(ISERROR(B26*3.6/1000000/'E Balans VL '!Z12*100),0,B26*3.6/1000000/'E Balans VL '!Z12*100)</f>
        <v>0.29368678140542304</v>
      </c>
      <c r="D26" s="237" t="s">
        <v>744</v>
      </c>
      <c r="F26" s="6"/>
    </row>
    <row r="27" spans="1:18">
      <c r="A27" s="231" t="s">
        <v>52</v>
      </c>
      <c r="B27" s="33">
        <f>IF(ISERROR(TER_horeca_ele_kWh/1000),0,TER_horeca_ele_kWh/1000)</f>
        <v>11948.8768474843</v>
      </c>
      <c r="C27" s="39">
        <f>IF(ISERROR(B27*3.6/1000000/'E Balans VL '!Z9*100),0,B27*3.6/1000000/'E Balans VL '!Z9*100)</f>
        <v>0.94192550831342314</v>
      </c>
      <c r="D27" s="237" t="s">
        <v>744</v>
      </c>
      <c r="F27" s="6"/>
    </row>
    <row r="28" spans="1:18">
      <c r="A28" s="171" t="s">
        <v>51</v>
      </c>
      <c r="B28" s="33">
        <f>IF(ISERROR(TER_handel_ele_kWh/1000),0,TER_handel_ele_kWh/1000)</f>
        <v>10059.0684912332</v>
      </c>
      <c r="C28" s="39">
        <f>IF(ISERROR(B28*3.6/1000000/'E Balans VL '!Z13*100),0,B28*3.6/1000000/'E Balans VL '!Z13*100)</f>
        <v>0.29195481080660973</v>
      </c>
      <c r="D28" s="237" t="s">
        <v>744</v>
      </c>
      <c r="F28" s="6"/>
    </row>
    <row r="29" spans="1:18">
      <c r="A29" s="231" t="s">
        <v>50</v>
      </c>
      <c r="B29" s="33">
        <f>IF(ISERROR(TER_gezond_ele_kWh/1000),0,TER_gezond_ele_kWh/1000)</f>
        <v>1394.9246281675701</v>
      </c>
      <c r="C29" s="39">
        <f>IF(ISERROR(B29*3.6/1000000/'E Balans VL '!Z10*100),0,B29*3.6/1000000/'E Balans VL '!Z10*100)</f>
        <v>0.14690846861305015</v>
      </c>
      <c r="D29" s="237" t="s">
        <v>744</v>
      </c>
      <c r="F29" s="6"/>
    </row>
    <row r="30" spans="1:18">
      <c r="A30" s="231" t="s">
        <v>49</v>
      </c>
      <c r="B30" s="33">
        <f>IF(ISERROR(TER_ander_ele_kWh/1000),0,TER_ander_ele_kWh/1000)</f>
        <v>7883.8246546714499</v>
      </c>
      <c r="C30" s="39">
        <f>IF(ISERROR(B30*3.6/1000000/'E Balans VL '!Z14*100),0,B30*3.6/1000000/'E Balans VL '!Z14*100)</f>
        <v>0.5815126188867632</v>
      </c>
      <c r="D30" s="237" t="s">
        <v>744</v>
      </c>
      <c r="F30" s="6"/>
    </row>
    <row r="31" spans="1:18">
      <c r="A31" s="231" t="s">
        <v>54</v>
      </c>
      <c r="B31" s="33">
        <f>IF(ISERROR(TER_onderwijs_ele_kWh/1000),0,TER_onderwijs_ele_kWh/1000)</f>
        <v>883.72527475588106</v>
      </c>
      <c r="C31" s="39">
        <f>IF(ISERROR(B31*3.6/1000000/'E Balans VL '!Z11*100),0,B31*3.6/1000000/'E Balans VL '!Z11*100)</f>
        <v>0.21947038185165818</v>
      </c>
      <c r="D31" s="237" t="s">
        <v>744</v>
      </c>
    </row>
    <row r="32" spans="1:18">
      <c r="A32" s="231" t="s">
        <v>259</v>
      </c>
      <c r="B32" s="33">
        <f>IF(ISERROR(TER_rest_ele_kWh/1000),0,TER_rest_ele_kWh/1000)</f>
        <v>3842.5419544594401</v>
      </c>
      <c r="C32" s="39">
        <f>IF(ISERROR(B32*3.6/1000000/'E Balans VL '!Z8*100),0,B32*3.6/1000000/'E Balans VL '!Z8*100)</f>
        <v>3.1619019829231453E-2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3412.4182245765237</v>
      </c>
      <c r="C5" s="17">
        <f>IF(ISERROR('Eigen informatie GS &amp; warmtenet'!B59),0,'Eigen informatie GS &amp; warmtenet'!B59)</f>
        <v>0</v>
      </c>
      <c r="D5" s="30">
        <f>SUM(D6:D15)</f>
        <v>4752.3856721602842</v>
      </c>
      <c r="E5" s="17">
        <f>SUM(E6:E15)</f>
        <v>584.20469501993307</v>
      </c>
      <c r="F5" s="17">
        <f>SUM(F6:F15)</f>
        <v>1688.5051363678958</v>
      </c>
      <c r="G5" s="18"/>
      <c r="H5" s="17"/>
      <c r="I5" s="17"/>
      <c r="J5" s="17">
        <f>SUM(J6:J15)</f>
        <v>0.8596132655489801</v>
      </c>
      <c r="K5" s="17"/>
      <c r="L5" s="17"/>
      <c r="M5" s="17"/>
      <c r="N5" s="17">
        <f>SUM(N6:N15)</f>
        <v>258.55482920775682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122.31460210050301</v>
      </c>
      <c r="C8" s="33"/>
      <c r="D8" s="37">
        <f>IF( ISERROR(IND_metaal_Gas_kWH/1000),0,IND_metaal_Gas_kWH/1000)*0.902</f>
        <v>13.356015054902521</v>
      </c>
      <c r="E8" s="33">
        <f>C30*'E Balans VL '!I18/100/3.6*1000000</f>
        <v>1.1245646337479724</v>
      </c>
      <c r="F8" s="33">
        <f>C30*'E Balans VL '!L18/100/3.6*1000000+C30*'E Balans VL '!N18/100/3.6*1000000</f>
        <v>11.469037411709891</v>
      </c>
      <c r="G8" s="34"/>
      <c r="H8" s="33"/>
      <c r="I8" s="33"/>
      <c r="J8" s="40">
        <f>C30*'E Balans VL '!D18/100/3.6*1000000+C30*'E Balans VL '!E18/100/3.6*1000000</f>
        <v>0</v>
      </c>
      <c r="K8" s="33"/>
      <c r="L8" s="33"/>
      <c r="M8" s="33"/>
      <c r="N8" s="33">
        <f>C30*'E Balans VL '!Y18/100/3.6*1000000</f>
        <v>1.7450199323556952</v>
      </c>
      <c r="O8" s="33"/>
      <c r="P8" s="33"/>
      <c r="R8" s="32"/>
    </row>
    <row r="9" spans="1:18">
      <c r="A9" s="6" t="s">
        <v>32</v>
      </c>
      <c r="B9" s="37">
        <f t="shared" si="0"/>
        <v>1941.6094199716499</v>
      </c>
      <c r="C9" s="33"/>
      <c r="D9" s="37">
        <f>IF( ISERROR(IND_andere_gas_kWh/1000),0,IND_andere_gas_kWh/1000)*0.902</f>
        <v>2905.4449212902432</v>
      </c>
      <c r="E9" s="33">
        <f>C31*'E Balans VL '!I19/100/3.6*1000000</f>
        <v>567.57023213479181</v>
      </c>
      <c r="F9" s="33">
        <f>C31*'E Balans VL '!L19/100/3.6*1000000+C31*'E Balans VL '!N19/100/3.6*1000000</f>
        <v>1560.2301352761758</v>
      </c>
      <c r="G9" s="34"/>
      <c r="H9" s="33"/>
      <c r="I9" s="33"/>
      <c r="J9" s="40">
        <f>C31*'E Balans VL '!D19/100/3.6*1000000+C31*'E Balans VL '!E19/100/3.6*1000000</f>
        <v>0</v>
      </c>
      <c r="K9" s="33"/>
      <c r="L9" s="33"/>
      <c r="M9" s="33"/>
      <c r="N9" s="33">
        <f>C31*'E Balans VL '!Y19/100/3.6*1000000</f>
        <v>152.29720586910403</v>
      </c>
      <c r="O9" s="33"/>
      <c r="P9" s="33"/>
      <c r="R9" s="32"/>
    </row>
    <row r="10" spans="1:18">
      <c r="A10" s="6" t="s">
        <v>40</v>
      </c>
      <c r="B10" s="37">
        <f t="shared" si="0"/>
        <v>1069.49818741729</v>
      </c>
      <c r="C10" s="33"/>
      <c r="D10" s="37">
        <f>IF( ISERROR(IND_voed_gas_kWh/1000),0,IND_voed_gas_kWh/1000)*0.902</f>
        <v>1488.1045905648739</v>
      </c>
      <c r="E10" s="33">
        <f>C32*'E Balans VL '!I20/100/3.6*1000000</f>
        <v>2.2625399982470764</v>
      </c>
      <c r="F10" s="33">
        <f>C32*'E Balans VL '!L20/100/3.6*1000000+C32*'E Balans VL '!N20/100/3.6*1000000</f>
        <v>67.999787216353823</v>
      </c>
      <c r="G10" s="34"/>
      <c r="H10" s="33"/>
      <c r="I10" s="33"/>
      <c r="J10" s="40">
        <f>C32*'E Balans VL '!D20/100/3.6*1000000+C32*'E Balans VL '!E20/100/3.6*1000000</f>
        <v>0</v>
      </c>
      <c r="K10" s="33"/>
      <c r="L10" s="33"/>
      <c r="M10" s="33"/>
      <c r="N10" s="33">
        <f>C32*'E Balans VL '!Y20/100/3.6*1000000</f>
        <v>73.805928997790616</v>
      </c>
      <c r="O10" s="33"/>
      <c r="P10" s="33"/>
      <c r="R10" s="32"/>
    </row>
    <row r="11" spans="1:18">
      <c r="A11" s="6" t="s">
        <v>39</v>
      </c>
      <c r="B11" s="37">
        <f t="shared" si="0"/>
        <v>7.1269185292170993</v>
      </c>
      <c r="C11" s="33"/>
      <c r="D11" s="37">
        <f>IF( ISERROR(IND_textiel_gas_kWh/1000),0,IND_textiel_gas_kWh/1000)*0.902</f>
        <v>0</v>
      </c>
      <c r="E11" s="33">
        <f>C33*'E Balans VL '!I21/100/3.6*1000000</f>
        <v>2.1166333573272481E-2</v>
      </c>
      <c r="F11" s="33">
        <f>C33*'E Balans VL '!L21/100/3.6*1000000+C33*'E Balans VL '!N21/100/3.6*1000000</f>
        <v>0.72001443470331883</v>
      </c>
      <c r="G11" s="34"/>
      <c r="H11" s="33"/>
      <c r="I11" s="33"/>
      <c r="J11" s="40">
        <f>C33*'E Balans VL '!D21/100/3.6*1000000+C33*'E Balans VL '!E21/100/3.6*1000000</f>
        <v>0</v>
      </c>
      <c r="K11" s="33"/>
      <c r="L11" s="33"/>
      <c r="M11" s="33"/>
      <c r="N11" s="33">
        <f>C33*'E Balans VL '!Y21/100/3.6*1000000</f>
        <v>0.3930723014080697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33.186060691646404</v>
      </c>
      <c r="C13" s="33"/>
      <c r="D13" s="37">
        <f>IF( ISERROR(IND_papier_gas_kWh/1000),0,IND_papier_gas_kWh/1000)*0.902</f>
        <v>81.932629251404009</v>
      </c>
      <c r="E13" s="33">
        <f>C35*'E Balans VL '!I23/100/3.6*1000000</f>
        <v>4.7083430528283919E-2</v>
      </c>
      <c r="F13" s="33">
        <f>C35*'E Balans VL '!L23/100/3.6*1000000+C35*'E Balans VL '!N23/100/3.6*1000000</f>
        <v>0.81019652911689832</v>
      </c>
      <c r="G13" s="34"/>
      <c r="H13" s="33"/>
      <c r="I13" s="33"/>
      <c r="J13" s="40">
        <f>C35*'E Balans VL '!D23/100/3.6*1000000+C35*'E Balans VL '!E23/100/3.6*1000000</f>
        <v>5.1325358556871545E-3</v>
      </c>
      <c r="K13" s="33"/>
      <c r="L13" s="33"/>
      <c r="M13" s="33"/>
      <c r="N13" s="33">
        <f>C35*'E Balans VL '!Y23/100/3.6*1000000</f>
        <v>13.559343232996557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238.68303586621698</v>
      </c>
      <c r="C15" s="33"/>
      <c r="D15" s="37">
        <f>IF( ISERROR(IND_rest_gas_kWh/1000),0,IND_rest_gas_kWh/1000)*0.902</f>
        <v>263.54751599886049</v>
      </c>
      <c r="E15" s="33">
        <f>C37*'E Balans VL '!I15/100/3.6*1000000</f>
        <v>13.179108489044641</v>
      </c>
      <c r="F15" s="33">
        <f>C37*'E Balans VL '!L15/100/3.6*1000000+C37*'E Balans VL '!N15/100/3.6*1000000</f>
        <v>47.275965499836317</v>
      </c>
      <c r="G15" s="34"/>
      <c r="H15" s="33"/>
      <c r="I15" s="33"/>
      <c r="J15" s="40">
        <f>C37*'E Balans VL '!D15/100/3.6*1000000+C37*'E Balans VL '!E15/100/3.6*1000000</f>
        <v>0.85448072969329292</v>
      </c>
      <c r="K15" s="33"/>
      <c r="L15" s="33"/>
      <c r="M15" s="33"/>
      <c r="N15" s="33">
        <f>C37*'E Balans VL '!Y15/100/3.6*1000000</f>
        <v>16.754258874101886</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3412.4182245765237</v>
      </c>
      <c r="C18" s="21">
        <f>C5+C16</f>
        <v>0</v>
      </c>
      <c r="D18" s="21">
        <f>MAX((D5+D16),0)</f>
        <v>4752.3856721602842</v>
      </c>
      <c r="E18" s="21">
        <f>MAX((E5+E16),0)</f>
        <v>584.20469501993307</v>
      </c>
      <c r="F18" s="21">
        <f>MAX((F5+F16),0)</f>
        <v>1688.5051363678958</v>
      </c>
      <c r="G18" s="21"/>
      <c r="H18" s="21"/>
      <c r="I18" s="21"/>
      <c r="J18" s="21">
        <f>MAX((J5+J16),0)</f>
        <v>0.8596132655489801</v>
      </c>
      <c r="K18" s="21"/>
      <c r="L18" s="21">
        <f>MAX((L5+L16),0)</f>
        <v>0</v>
      </c>
      <c r="M18" s="21"/>
      <c r="N18" s="21">
        <f>MAX((N5+N16),0)</f>
        <v>258.55482920775682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0.21438871175642166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731.58394714109647</v>
      </c>
      <c r="C22" s="23">
        <f ca="1">C18*C20</f>
        <v>0</v>
      </c>
      <c r="D22" s="23">
        <f>D18*D20</f>
        <v>959.98190577637752</v>
      </c>
      <c r="E22" s="23">
        <f>E18*E20</f>
        <v>132.6144657695248</v>
      </c>
      <c r="F22" s="23">
        <f>F18*F20</f>
        <v>450.83087141022821</v>
      </c>
      <c r="G22" s="23"/>
      <c r="H22" s="23"/>
      <c r="I22" s="23"/>
      <c r="J22" s="23">
        <f>J18*J20</f>
        <v>0.30430309600433891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122.31460210050301</v>
      </c>
      <c r="C30" s="39">
        <f>IF(ISERROR(B30*3.6/1000000/'E Balans VL '!Z18*100),0,B30*3.6/1000000/'E Balans VL '!Z18*100)</f>
        <v>6.9318821361885477E-3</v>
      </c>
      <c r="D30" s="237" t="s">
        <v>744</v>
      </c>
    </row>
    <row r="31" spans="1:18">
      <c r="A31" s="6" t="s">
        <v>32</v>
      </c>
      <c r="B31" s="37">
        <f>IF( ISERROR(IND_ander_ele_kWh/1000),0,IND_ander_ele_kWh/1000)</f>
        <v>1941.6094199716499</v>
      </c>
      <c r="C31" s="39">
        <f>IF(ISERROR(B31*3.6/1000000/'E Balans VL '!Z19*100),0,B31*3.6/1000000/'E Balans VL '!Z19*100)</f>
        <v>8.8063318569001375E-2</v>
      </c>
      <c r="D31" s="237" t="s">
        <v>744</v>
      </c>
    </row>
    <row r="32" spans="1:18">
      <c r="A32" s="171" t="s">
        <v>40</v>
      </c>
      <c r="B32" s="37">
        <f>IF( ISERROR(IND_voed_ele_kWh/1000),0,IND_voed_ele_kWh/1000)</f>
        <v>1069.49818741729</v>
      </c>
      <c r="C32" s="39">
        <f>IF(ISERROR(B32*3.6/1000000/'E Balans VL '!Z20*100),0,B32*3.6/1000000/'E Balans VL '!Z20*100)</f>
        <v>3.3084434048643883E-2</v>
      </c>
      <c r="D32" s="237" t="s">
        <v>744</v>
      </c>
    </row>
    <row r="33" spans="1:5">
      <c r="A33" s="171" t="s">
        <v>39</v>
      </c>
      <c r="B33" s="37">
        <f>IF( ISERROR(IND_textiel_ele_kWh/1000),0,IND_textiel_ele_kWh/1000)</f>
        <v>7.1269185292170993</v>
      </c>
      <c r="C33" s="39">
        <f>IF(ISERROR(B33*3.6/1000000/'E Balans VL '!Z21*100),0,B33*3.6/1000000/'E Balans VL '!Z21*100)</f>
        <v>9.2927095647657779E-4</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33.186060691646404</v>
      </c>
      <c r="C35" s="39">
        <f>IF(ISERROR(B35*3.6/1000000/'E Balans VL '!Z22*100),0,B35*3.6/1000000/'E Balans VL '!Z22*100)</f>
        <v>5.9691369252581443E-3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238.68303586621698</v>
      </c>
      <c r="C37" s="39">
        <f>IF(ISERROR(B37*3.6/1000000/'E Balans VL '!Z15*100),0,B37*3.6/1000000/'E Balans VL '!Z15*100)</f>
        <v>1.8918561898859487E-3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1250.8310390837978</v>
      </c>
      <c r="C5" s="17">
        <f>'Eigen informatie GS &amp; warmtenet'!B60</f>
        <v>0</v>
      </c>
      <c r="D5" s="30">
        <f>IF(ISERROR(SUM(LB_lb_gas_kWh,LB_rest_gas_kWh)/1000),0,SUM(LB_lb_gas_kWh,LB_rest_gas_kWh)/1000)*0.902</f>
        <v>221.95007433068119</v>
      </c>
      <c r="E5" s="17">
        <f>B17*'E Balans VL '!I25/3.6*1000000/100</f>
        <v>36.765744717631584</v>
      </c>
      <c r="F5" s="17">
        <f>B17*('E Balans VL '!L25/3.6*1000000+'E Balans VL '!N25/3.6*1000000)/100</f>
        <v>5210.8945174614619</v>
      </c>
      <c r="G5" s="18"/>
      <c r="H5" s="17"/>
      <c r="I5" s="17"/>
      <c r="J5" s="17">
        <f>('E Balans VL '!D25+'E Balans VL '!E25)/3.6*1000000*landbouw!B17/100</f>
        <v>181.21855565919276</v>
      </c>
      <c r="K5" s="17"/>
      <c r="L5" s="17">
        <f>L6*(-1)</f>
        <v>0</v>
      </c>
      <c r="M5" s="17"/>
      <c r="N5" s="17">
        <f>N6*(-1)</f>
        <v>0</v>
      </c>
      <c r="O5" s="17"/>
      <c r="P5" s="17"/>
      <c r="R5" s="32"/>
    </row>
    <row r="6" spans="1:18">
      <c r="A6" s="16" t="s">
        <v>487</v>
      </c>
      <c r="B6" s="17" t="s">
        <v>210</v>
      </c>
      <c r="C6" s="17">
        <f>'lokale energieproductie'!O40+'lokale energieproductie'!O33</f>
        <v>35.357142857142861</v>
      </c>
      <c r="D6" s="308">
        <f>('lokale energieproductie'!P33+'lokale energieproductie'!P40)*(-1)</f>
        <v>-70.714285714285722</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1250.8310390837978</v>
      </c>
      <c r="C8" s="21">
        <f>C5+C6</f>
        <v>35.357142857142861</v>
      </c>
      <c r="D8" s="21">
        <f>MAX((D5+D6),0)</f>
        <v>151.23578861639547</v>
      </c>
      <c r="E8" s="21">
        <f>MAX((E5+E6),0)</f>
        <v>36.765744717631584</v>
      </c>
      <c r="F8" s="21">
        <f>MAX((F5+F6),0)</f>
        <v>5210.8945174614619</v>
      </c>
      <c r="G8" s="21"/>
      <c r="H8" s="21"/>
      <c r="I8" s="21"/>
      <c r="J8" s="21">
        <f>MAX((J5+J6),0)</f>
        <v>181.21855565919276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0.21438871175642166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268.16405509412169</v>
      </c>
      <c r="C12" s="23">
        <f ca="1">C8*C10</f>
        <v>8.4025210084033617</v>
      </c>
      <c r="D12" s="23">
        <f>D8*D10</f>
        <v>30.549629300511885</v>
      </c>
      <c r="E12" s="23">
        <f>E8*E10</f>
        <v>8.3458240509023707</v>
      </c>
      <c r="F12" s="23">
        <f>F8*F10</f>
        <v>1391.3088361622104</v>
      </c>
      <c r="G12" s="23"/>
      <c r="H12" s="23"/>
      <c r="I12" s="23"/>
      <c r="J12" s="23">
        <f>J8*J10</f>
        <v>64.151368703354237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0.17749684880869515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117.72379362743628</v>
      </c>
      <c r="C26" s="247">
        <f>B26*'GWP N2O_CH4'!B5</f>
        <v>2472.1996661761618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86.015313189442537</v>
      </c>
      <c r="C27" s="247">
        <f>B27*'GWP N2O_CH4'!B5</f>
        <v>1806.3215769782933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1.9141541256401389</v>
      </c>
      <c r="C28" s="247">
        <f>B28*'GWP N2O_CH4'!B4</f>
        <v>593.38777894844304</v>
      </c>
      <c r="D28" s="50"/>
    </row>
    <row r="29" spans="1:4">
      <c r="A29" s="41" t="s">
        <v>276</v>
      </c>
      <c r="B29" s="247">
        <f>B34*'ha_N2O bodem landbouw'!B4</f>
        <v>14.008195798561847</v>
      </c>
      <c r="C29" s="247">
        <f>B29*'GWP N2O_CH4'!B4</f>
        <v>4342.5406975541728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3.1966220068415049E-3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1.20667469970586E-4</v>
      </c>
      <c r="C5" s="437" t="s">
        <v>210</v>
      </c>
      <c r="D5" s="422">
        <f>SUM(D6:D11)</f>
        <v>3.1091770193384912E-4</v>
      </c>
      <c r="E5" s="422">
        <f>SUM(E6:E11)</f>
        <v>5.4977412583378127E-4</v>
      </c>
      <c r="F5" s="435" t="s">
        <v>210</v>
      </c>
      <c r="G5" s="422">
        <f>SUM(G6:G11)</f>
        <v>0.30134676877405825</v>
      </c>
      <c r="H5" s="422">
        <f>SUM(H6:H11)</f>
        <v>5.304513593362116E-2</v>
      </c>
      <c r="I5" s="437" t="s">
        <v>210</v>
      </c>
      <c r="J5" s="437" t="s">
        <v>210</v>
      </c>
      <c r="K5" s="437" t="s">
        <v>210</v>
      </c>
      <c r="L5" s="437" t="s">
        <v>210</v>
      </c>
      <c r="M5" s="422">
        <f>SUM(M6:M11)</f>
        <v>1.9167961244764397E-2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9.6062639007683399E-5</v>
      </c>
      <c r="C6" s="423"/>
      <c r="D6" s="865">
        <f>vkm_GW_PW*SUMIFS(TableVerdeelsleutelVkm[CNG],TableVerdeelsleutelVkm[Voertuigtype],"Lichte voertuigen")*SUMIFS(TableECFTransport[EnergieConsumptieFactor (PJ per km)],TableECFTransport[Index],CONCATENATE($A6,"_CNG_CNG"))</f>
        <v>2.3806667492898392E-4</v>
      </c>
      <c r="E6" s="865">
        <f>vkm_GW_PW*SUMIFS(TableVerdeelsleutelVkm[LPG],TableVerdeelsleutelVkm[Voertuigtype],"Lichte voertuigen")*SUMIFS(TableECFTransport[EnergieConsumptieFactor (PJ per km)],TableECFTransport[Index],CONCATENATE($A6,"_LPG_LPG"))</f>
        <v>4.0870103231522062E-4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0.12523193144065697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4.0448522574977816E-2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8.5075706645334585E-3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8.9563564437999205E-2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1.4982355190834229E-6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5.2328010511830834E-3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6.9551934907831995E-6</v>
      </c>
      <c r="C8" s="423"/>
      <c r="D8" s="425">
        <f>vkm_NGW_PW*SUMIFS(TableVerdeelsleutelVkm[CNG],TableVerdeelsleutelVkm[Voertuigtype],"Lichte voertuigen")*SUMIFS(TableECFTransport[EnergieConsumptieFactor (PJ per km)],TableECFTransport[Index],CONCATENATE($A8,"_CNG_CNG"))</f>
        <v>2.9133708138909945E-5</v>
      </c>
      <c r="E8" s="425">
        <f>vkm_NGW_PW*SUMIFS(TableVerdeelsleutelVkm[LPG],TableVerdeelsleutelVkm[Voertuigtype],"Lichte voertuigen")*SUMIFS(TableECFTransport[EnergieConsumptieFactor (PJ per km)],TableECFTransport[Index],CONCATENATE($A8,"_LPG_LPG"))</f>
        <v>4.7497381083385662E-5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1.3689872530342602E-2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4.8410670235292169E-3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9.4236257259850027E-4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1.1005021574799342E-3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2.2677983931057561E-8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6.4297576124873853E-5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1.7649637472119399E-5</v>
      </c>
      <c r="C10" s="423"/>
      <c r="D10" s="425">
        <f>vkm_SW_PW*SUMIFS(TableVerdeelsleutelVkm[CNG],TableVerdeelsleutelVkm[Voertuigtype],"Lichte voertuigen")*SUMIFS(TableECFTransport[EnergieConsumptieFactor (PJ per km)],TableECFTransport[Index],CONCATENATE($A10,"_CNG_CNG"))</f>
        <v>4.3717318865955248E-5</v>
      </c>
      <c r="E10" s="425">
        <f>vkm_SW_PW*SUMIFS(TableVerdeelsleutelVkm[LPG],TableVerdeelsleutelVkm[Voertuigtype],"Lichte voertuigen")*SUMIFS(TableECFTransport[EnergieConsumptieFactor (PJ per km)],TableECFTransport[Index],CONCATENATE($A10,"_LPG_LPG"))</f>
        <v>9.3575712435174953E-5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2.5651782255228978E-2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7.7532037655221432E-3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1.7269771613923372E-3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4.6109115952350573E-2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8.2165608896456836E-7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2.6939522189321414E-3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33.518741658496111</v>
      </c>
      <c r="C14" s="21"/>
      <c r="D14" s="21">
        <f t="shared" ref="D14:M14" si="0">((D5)*10^9/3600)+D12</f>
        <v>86.366028314958101</v>
      </c>
      <c r="E14" s="21">
        <f t="shared" si="0"/>
        <v>152.71503495382814</v>
      </c>
      <c r="F14" s="21"/>
      <c r="G14" s="21">
        <f t="shared" si="0"/>
        <v>83707.435770571727</v>
      </c>
      <c r="H14" s="21">
        <f t="shared" si="0"/>
        <v>14734.759981561434</v>
      </c>
      <c r="I14" s="21"/>
      <c r="J14" s="21"/>
      <c r="K14" s="21"/>
      <c r="L14" s="21"/>
      <c r="M14" s="21">
        <f t="shared" si="0"/>
        <v>5324.433679101222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0.21438871175642166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7.1860398438612858</v>
      </c>
      <c r="C18" s="23"/>
      <c r="D18" s="23">
        <f t="shared" ref="D18:M18" si="1">D14*D16</f>
        <v>17.445937719621536</v>
      </c>
      <c r="E18" s="23">
        <f t="shared" si="1"/>
        <v>34.666312934518992</v>
      </c>
      <c r="F18" s="23"/>
      <c r="G18" s="23">
        <f t="shared" si="1"/>
        <v>22349.885350742654</v>
      </c>
      <c r="H18" s="23">
        <f t="shared" si="1"/>
        <v>3668.9552354087969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4.9028449499999996E-3</v>
      </c>
      <c r="C50" s="319">
        <f t="shared" ref="C50:P50" si="2">SUM(C51:C52)</f>
        <v>0</v>
      </c>
      <c r="D50" s="319">
        <f t="shared" si="2"/>
        <v>0</v>
      </c>
      <c r="E50" s="319">
        <f t="shared" si="2"/>
        <v>0</v>
      </c>
      <c r="F50" s="319">
        <f t="shared" si="2"/>
        <v>0</v>
      </c>
      <c r="G50" s="319">
        <f t="shared" si="2"/>
        <v>4.3970461230397389E-3</v>
      </c>
      <c r="H50" s="319">
        <f t="shared" si="2"/>
        <v>0</v>
      </c>
      <c r="I50" s="319">
        <f t="shared" si="2"/>
        <v>0</v>
      </c>
      <c r="J50" s="319">
        <f t="shared" si="2"/>
        <v>0</v>
      </c>
      <c r="K50" s="319">
        <f t="shared" si="2"/>
        <v>0</v>
      </c>
      <c r="L50" s="319">
        <f t="shared" si="2"/>
        <v>0</v>
      </c>
      <c r="M50" s="319">
        <f t="shared" si="2"/>
        <v>2.4971394408974029E-4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4.3970461230397389E-3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2.4971394408974029E-4</v>
      </c>
      <c r="N51" s="321"/>
      <c r="O51" s="321"/>
      <c r="P51" s="324"/>
    </row>
    <row r="52" spans="1:18">
      <c r="A52" s="4" t="s">
        <v>329</v>
      </c>
      <c r="B52" s="866">
        <f>vkm_tram*SUMIFS(TableECFTransport[EnergieConsumptieFactor (PJ per km)],TableECFTransport[Index],"Tram_gemiddeld_Electric_Electric")</f>
        <v>4.9028449499999996E-3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1361.9013749999997</v>
      </c>
      <c r="C54" s="21">
        <f t="shared" ref="C54:P54" si="3">(C50)*10^9/3600</f>
        <v>0</v>
      </c>
      <c r="D54" s="21">
        <f t="shared" si="3"/>
        <v>0</v>
      </c>
      <c r="E54" s="21">
        <f t="shared" si="3"/>
        <v>0</v>
      </c>
      <c r="F54" s="21">
        <f t="shared" si="3"/>
        <v>0</v>
      </c>
      <c r="G54" s="21">
        <f t="shared" si="3"/>
        <v>1221.401700844372</v>
      </c>
      <c r="H54" s="21">
        <f t="shared" si="3"/>
        <v>0</v>
      </c>
      <c r="I54" s="21">
        <f t="shared" si="3"/>
        <v>0</v>
      </c>
      <c r="J54" s="21">
        <f t="shared" si="3"/>
        <v>0</v>
      </c>
      <c r="K54" s="21">
        <f t="shared" si="3"/>
        <v>0</v>
      </c>
      <c r="L54" s="21">
        <f t="shared" si="3"/>
        <v>0</v>
      </c>
      <c r="M54" s="21">
        <f t="shared" si="3"/>
        <v>69.364984469372303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0.21438871175642166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291.97628132554928</v>
      </c>
      <c r="C58" s="23">
        <f t="shared" ref="C58:P58" ca="1" si="4">C54*C56</f>
        <v>0</v>
      </c>
      <c r="D58" s="23">
        <f t="shared" si="4"/>
        <v>0</v>
      </c>
      <c r="E58" s="23">
        <f t="shared" si="4"/>
        <v>0</v>
      </c>
      <c r="F58" s="23">
        <f t="shared" si="4"/>
        <v>0</v>
      </c>
      <c r="G58" s="23">
        <f t="shared" si="4"/>
        <v>326.11425412544736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53047.319335267246</v>
      </c>
      <c r="D10" s="979">
        <f ca="1">tertiair!C16</f>
        <v>321.42857142857144</v>
      </c>
      <c r="E10" s="979">
        <f ca="1">tertiair!D16</f>
        <v>64107.47775843666</v>
      </c>
      <c r="F10" s="979">
        <f>tertiair!E16</f>
        <v>606.56936236157276</v>
      </c>
      <c r="G10" s="979">
        <f ca="1">tertiair!F16</f>
        <v>8627.6991057865307</v>
      </c>
      <c r="H10" s="979">
        <f>tertiair!G16</f>
        <v>0</v>
      </c>
      <c r="I10" s="979">
        <f>tertiair!H16</f>
        <v>0</v>
      </c>
      <c r="J10" s="979">
        <f>tertiair!I16</f>
        <v>0</v>
      </c>
      <c r="K10" s="979">
        <f>tertiair!J16</f>
        <v>0.18043174182868688</v>
      </c>
      <c r="L10" s="979">
        <f>tertiair!K16</f>
        <v>0</v>
      </c>
      <c r="M10" s="979">
        <f ca="1">tertiair!L16</f>
        <v>0</v>
      </c>
      <c r="N10" s="979">
        <f>tertiair!M16</f>
        <v>0</v>
      </c>
      <c r="O10" s="979">
        <f ca="1">tertiair!N16</f>
        <v>7121.5467787889893</v>
      </c>
      <c r="P10" s="979">
        <f>tertiair!O16</f>
        <v>6.2533333333333339</v>
      </c>
      <c r="Q10" s="980">
        <f>tertiair!P16</f>
        <v>38.133333333333333</v>
      </c>
      <c r="R10" s="674">
        <f ca="1">SUM(C10:Q10)</f>
        <v>133876.60801047806</v>
      </c>
      <c r="S10" s="67"/>
    </row>
    <row r="11" spans="1:19" s="447" customFormat="1">
      <c r="A11" s="783" t="s">
        <v>224</v>
      </c>
      <c r="B11" s="788"/>
      <c r="C11" s="979">
        <f>huishoudens!B8</f>
        <v>50049.658658879751</v>
      </c>
      <c r="D11" s="979">
        <f>huishoudens!C8</f>
        <v>0</v>
      </c>
      <c r="E11" s="979">
        <f>huishoudens!D8</f>
        <v>118511.92125997784</v>
      </c>
      <c r="F11" s="979">
        <f>huishoudens!E8</f>
        <v>0</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0</v>
      </c>
      <c r="P11" s="979">
        <f>huishoudens!O8</f>
        <v>370.51000000000005</v>
      </c>
      <c r="Q11" s="980">
        <f>huishoudens!P8</f>
        <v>686.4</v>
      </c>
      <c r="R11" s="674">
        <f>SUM(C11:Q11)</f>
        <v>169618.48991885761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3412.4182245765237</v>
      </c>
      <c r="D13" s="979">
        <f>industrie!C18</f>
        <v>0</v>
      </c>
      <c r="E13" s="979">
        <f>industrie!D18</f>
        <v>4752.3856721602842</v>
      </c>
      <c r="F13" s="979">
        <f>industrie!E18</f>
        <v>584.20469501993307</v>
      </c>
      <c r="G13" s="979">
        <f>industrie!F18</f>
        <v>1688.5051363678958</v>
      </c>
      <c r="H13" s="979">
        <f>industrie!G18</f>
        <v>0</v>
      </c>
      <c r="I13" s="979">
        <f>industrie!H18</f>
        <v>0</v>
      </c>
      <c r="J13" s="979">
        <f>industrie!I18</f>
        <v>0</v>
      </c>
      <c r="K13" s="979">
        <f>industrie!J18</f>
        <v>0.8596132655489801</v>
      </c>
      <c r="L13" s="979">
        <f>industrie!K18</f>
        <v>0</v>
      </c>
      <c r="M13" s="979">
        <f>industrie!L18</f>
        <v>0</v>
      </c>
      <c r="N13" s="979">
        <f>industrie!M18</f>
        <v>0</v>
      </c>
      <c r="O13" s="979">
        <f>industrie!N18</f>
        <v>258.55482920775682</v>
      </c>
      <c r="P13" s="979">
        <f>industrie!O18</f>
        <v>0</v>
      </c>
      <c r="Q13" s="980">
        <f>industrie!P18</f>
        <v>0</v>
      </c>
      <c r="R13" s="674">
        <f>SUM(C13:Q13)</f>
        <v>10696.928170597943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106509.39621872352</v>
      </c>
      <c r="D16" s="706">
        <f t="shared" ref="D16:R16" ca="1" si="0">SUM(D9:D15)</f>
        <v>321.42857142857144</v>
      </c>
      <c r="E16" s="706">
        <f t="shared" ca="1" si="0"/>
        <v>187371.78469057477</v>
      </c>
      <c r="F16" s="706">
        <f t="shared" si="0"/>
        <v>1190.7740573815058</v>
      </c>
      <c r="G16" s="706">
        <f t="shared" ca="1" si="0"/>
        <v>10316.204242154427</v>
      </c>
      <c r="H16" s="706">
        <f t="shared" si="0"/>
        <v>0</v>
      </c>
      <c r="I16" s="706">
        <f t="shared" si="0"/>
        <v>0</v>
      </c>
      <c r="J16" s="706">
        <f t="shared" si="0"/>
        <v>0</v>
      </c>
      <c r="K16" s="706">
        <f t="shared" si="0"/>
        <v>1.040045007377667</v>
      </c>
      <c r="L16" s="706">
        <f t="shared" si="0"/>
        <v>0</v>
      </c>
      <c r="M16" s="706">
        <f t="shared" ca="1" si="0"/>
        <v>0</v>
      </c>
      <c r="N16" s="706">
        <f t="shared" si="0"/>
        <v>0</v>
      </c>
      <c r="O16" s="706">
        <f t="shared" ca="1" si="0"/>
        <v>7380.1016079967458</v>
      </c>
      <c r="P16" s="706">
        <f t="shared" si="0"/>
        <v>376.76333333333338</v>
      </c>
      <c r="Q16" s="706">
        <f t="shared" si="0"/>
        <v>724.5333333333333</v>
      </c>
      <c r="R16" s="706">
        <f t="shared" ca="1" si="0"/>
        <v>314192.0260999336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1361.9013749999997</v>
      </c>
      <c r="D19" s="979">
        <f>transport!C54</f>
        <v>0</v>
      </c>
      <c r="E19" s="979">
        <f>transport!D54</f>
        <v>0</v>
      </c>
      <c r="F19" s="979">
        <f>transport!E54</f>
        <v>0</v>
      </c>
      <c r="G19" s="979">
        <f>transport!F54</f>
        <v>0</v>
      </c>
      <c r="H19" s="979">
        <f>transport!G54</f>
        <v>1221.401700844372</v>
      </c>
      <c r="I19" s="979">
        <f>transport!H54</f>
        <v>0</v>
      </c>
      <c r="J19" s="979">
        <f>transport!I54</f>
        <v>0</v>
      </c>
      <c r="K19" s="979">
        <f>transport!J54</f>
        <v>0</v>
      </c>
      <c r="L19" s="979">
        <f>transport!K54</f>
        <v>0</v>
      </c>
      <c r="M19" s="979">
        <f>transport!L54</f>
        <v>0</v>
      </c>
      <c r="N19" s="979">
        <f>transport!M54</f>
        <v>69.364984469372303</v>
      </c>
      <c r="O19" s="979">
        <f>transport!N54</f>
        <v>0</v>
      </c>
      <c r="P19" s="979">
        <f>transport!O54</f>
        <v>0</v>
      </c>
      <c r="Q19" s="980">
        <f>transport!P54</f>
        <v>0</v>
      </c>
      <c r="R19" s="674">
        <f>SUM(C19:Q19)</f>
        <v>2652.6680603137443</v>
      </c>
      <c r="S19" s="67"/>
    </row>
    <row r="20" spans="1:19" s="447" customFormat="1">
      <c r="A20" s="783" t="s">
        <v>306</v>
      </c>
      <c r="B20" s="788"/>
      <c r="C20" s="979">
        <f>transport!B14</f>
        <v>33.518741658496111</v>
      </c>
      <c r="D20" s="979">
        <f>transport!C14</f>
        <v>0</v>
      </c>
      <c r="E20" s="979">
        <f>transport!D14</f>
        <v>86.366028314958101</v>
      </c>
      <c r="F20" s="979">
        <f>transport!E14</f>
        <v>152.71503495382814</v>
      </c>
      <c r="G20" s="979">
        <f>transport!F14</f>
        <v>0</v>
      </c>
      <c r="H20" s="979">
        <f>transport!G14</f>
        <v>83707.435770571727</v>
      </c>
      <c r="I20" s="979">
        <f>transport!H14</f>
        <v>14734.759981561434</v>
      </c>
      <c r="J20" s="979">
        <f>transport!I14</f>
        <v>0</v>
      </c>
      <c r="K20" s="979">
        <f>transport!J14</f>
        <v>0</v>
      </c>
      <c r="L20" s="979">
        <f>transport!K14</f>
        <v>0</v>
      </c>
      <c r="M20" s="979">
        <f>transport!L14</f>
        <v>0</v>
      </c>
      <c r="N20" s="979">
        <f>transport!M14</f>
        <v>5324.433679101222</v>
      </c>
      <c r="O20" s="979">
        <f>transport!N14</f>
        <v>0</v>
      </c>
      <c r="P20" s="979">
        <f>transport!O14</f>
        <v>0</v>
      </c>
      <c r="Q20" s="980">
        <f>transport!P14</f>
        <v>0</v>
      </c>
      <c r="R20" s="674">
        <f>SUM(C20:Q20)</f>
        <v>104039.22923616167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1395.4201166584958</v>
      </c>
      <c r="D22" s="786">
        <f t="shared" ref="D22:R22" si="1">SUM(D18:D21)</f>
        <v>0</v>
      </c>
      <c r="E22" s="786">
        <f t="shared" si="1"/>
        <v>86.366028314958101</v>
      </c>
      <c r="F22" s="786">
        <f t="shared" si="1"/>
        <v>152.71503495382814</v>
      </c>
      <c r="G22" s="786">
        <f t="shared" si="1"/>
        <v>0</v>
      </c>
      <c r="H22" s="786">
        <f t="shared" si="1"/>
        <v>84928.837471416104</v>
      </c>
      <c r="I22" s="786">
        <f t="shared" si="1"/>
        <v>14734.759981561434</v>
      </c>
      <c r="J22" s="786">
        <f t="shared" si="1"/>
        <v>0</v>
      </c>
      <c r="K22" s="786">
        <f t="shared" si="1"/>
        <v>0</v>
      </c>
      <c r="L22" s="786">
        <f t="shared" si="1"/>
        <v>0</v>
      </c>
      <c r="M22" s="786">
        <f t="shared" si="1"/>
        <v>0</v>
      </c>
      <c r="N22" s="786">
        <f t="shared" si="1"/>
        <v>5393.7986635705947</v>
      </c>
      <c r="O22" s="786">
        <f t="shared" si="1"/>
        <v>0</v>
      </c>
      <c r="P22" s="786">
        <f t="shared" si="1"/>
        <v>0</v>
      </c>
      <c r="Q22" s="786">
        <f t="shared" si="1"/>
        <v>0</v>
      </c>
      <c r="R22" s="786">
        <f t="shared" si="1"/>
        <v>106691.89729647542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1250.8310390837978</v>
      </c>
      <c r="D24" s="979">
        <f>+landbouw!C8</f>
        <v>35.357142857142861</v>
      </c>
      <c r="E24" s="979">
        <f>+landbouw!D8</f>
        <v>151.23578861639547</v>
      </c>
      <c r="F24" s="979">
        <f>+landbouw!E8</f>
        <v>36.765744717631584</v>
      </c>
      <c r="G24" s="979">
        <f>+landbouw!F8</f>
        <v>5210.8945174614619</v>
      </c>
      <c r="H24" s="979">
        <f>+landbouw!G8</f>
        <v>0</v>
      </c>
      <c r="I24" s="979">
        <f>+landbouw!H8</f>
        <v>0</v>
      </c>
      <c r="J24" s="979">
        <f>+landbouw!I8</f>
        <v>0</v>
      </c>
      <c r="K24" s="979">
        <f>+landbouw!J8</f>
        <v>181.21855565919276</v>
      </c>
      <c r="L24" s="979">
        <f>+landbouw!K8</f>
        <v>0</v>
      </c>
      <c r="M24" s="979">
        <f>+landbouw!L8</f>
        <v>0</v>
      </c>
      <c r="N24" s="979">
        <f>+landbouw!M8</f>
        <v>0</v>
      </c>
      <c r="O24" s="979">
        <f>+landbouw!N8</f>
        <v>0</v>
      </c>
      <c r="P24" s="979">
        <f>+landbouw!O8</f>
        <v>0</v>
      </c>
      <c r="Q24" s="980">
        <f>+landbouw!P8</f>
        <v>0</v>
      </c>
      <c r="R24" s="674">
        <f>SUM(C24:Q24)</f>
        <v>6866.3027883956229</v>
      </c>
      <c r="S24" s="67"/>
    </row>
    <row r="25" spans="1:19" s="447" customFormat="1" ht="15" thickBot="1">
      <c r="A25" s="805" t="s">
        <v>823</v>
      </c>
      <c r="B25" s="982"/>
      <c r="C25" s="983">
        <f>IF(Onbekend_ele_kWh="---",0,Onbekend_ele_kWh)/1000+IF(REST_rest_ele_kWh="---",0,REST_rest_ele_kWh)/1000</f>
        <v>10332.5632424099</v>
      </c>
      <c r="D25" s="983"/>
      <c r="E25" s="983">
        <f>IF(onbekend_gas_kWh="---",0,onbekend_gas_kWh)/1000+IF(REST_rest_gas_kWh="---",0,REST_rest_gas_kWh)/1000</f>
        <v>21822.711751770297</v>
      </c>
      <c r="F25" s="983"/>
      <c r="G25" s="983"/>
      <c r="H25" s="983"/>
      <c r="I25" s="983"/>
      <c r="J25" s="983"/>
      <c r="K25" s="983"/>
      <c r="L25" s="983"/>
      <c r="M25" s="983"/>
      <c r="N25" s="983"/>
      <c r="O25" s="983"/>
      <c r="P25" s="983"/>
      <c r="Q25" s="984"/>
      <c r="R25" s="674">
        <f>SUM(C25:Q25)</f>
        <v>32155.274994180196</v>
      </c>
      <c r="S25" s="67"/>
    </row>
    <row r="26" spans="1:19" s="447" customFormat="1" ht="15.75" thickBot="1">
      <c r="A26" s="679" t="s">
        <v>824</v>
      </c>
      <c r="B26" s="791"/>
      <c r="C26" s="786">
        <f>SUM(C24:C25)</f>
        <v>11583.394281493698</v>
      </c>
      <c r="D26" s="786">
        <f t="shared" ref="D26:R26" si="2">SUM(D24:D25)</f>
        <v>35.357142857142861</v>
      </c>
      <c r="E26" s="786">
        <f t="shared" si="2"/>
        <v>21973.947540386693</v>
      </c>
      <c r="F26" s="786">
        <f t="shared" si="2"/>
        <v>36.765744717631584</v>
      </c>
      <c r="G26" s="786">
        <f t="shared" si="2"/>
        <v>5210.8945174614619</v>
      </c>
      <c r="H26" s="786">
        <f t="shared" si="2"/>
        <v>0</v>
      </c>
      <c r="I26" s="786">
        <f t="shared" si="2"/>
        <v>0</v>
      </c>
      <c r="J26" s="786">
        <f t="shared" si="2"/>
        <v>0</v>
      </c>
      <c r="K26" s="786">
        <f t="shared" si="2"/>
        <v>181.21855565919276</v>
      </c>
      <c r="L26" s="786">
        <f t="shared" si="2"/>
        <v>0</v>
      </c>
      <c r="M26" s="786">
        <f t="shared" si="2"/>
        <v>0</v>
      </c>
      <c r="N26" s="786">
        <f t="shared" si="2"/>
        <v>0</v>
      </c>
      <c r="O26" s="786">
        <f t="shared" si="2"/>
        <v>0</v>
      </c>
      <c r="P26" s="786">
        <f t="shared" si="2"/>
        <v>0</v>
      </c>
      <c r="Q26" s="786">
        <f t="shared" si="2"/>
        <v>0</v>
      </c>
      <c r="R26" s="786">
        <f t="shared" si="2"/>
        <v>39021.57778257582</v>
      </c>
      <c r="S26" s="67"/>
    </row>
    <row r="27" spans="1:19" s="447" customFormat="1" ht="17.25" thickTop="1" thickBot="1">
      <c r="A27" s="680" t="s">
        <v>115</v>
      </c>
      <c r="B27" s="779"/>
      <c r="C27" s="681">
        <f ca="1">C22+C16+C26</f>
        <v>119488.21061687572</v>
      </c>
      <c r="D27" s="681">
        <f t="shared" ref="D27:R27" ca="1" si="3">D22+D16+D26</f>
        <v>356.78571428571433</v>
      </c>
      <c r="E27" s="681">
        <f t="shared" ca="1" si="3"/>
        <v>209432.09825927642</v>
      </c>
      <c r="F27" s="681">
        <f t="shared" si="3"/>
        <v>1380.2548370529655</v>
      </c>
      <c r="G27" s="681">
        <f t="shared" ca="1" si="3"/>
        <v>15527.098759615888</v>
      </c>
      <c r="H27" s="681">
        <f t="shared" si="3"/>
        <v>84928.837471416104</v>
      </c>
      <c r="I27" s="681">
        <f t="shared" si="3"/>
        <v>14734.759981561434</v>
      </c>
      <c r="J27" s="681">
        <f t="shared" si="3"/>
        <v>0</v>
      </c>
      <c r="K27" s="681">
        <f t="shared" si="3"/>
        <v>182.25860066657043</v>
      </c>
      <c r="L27" s="681">
        <f t="shared" si="3"/>
        <v>0</v>
      </c>
      <c r="M27" s="681">
        <f t="shared" ca="1" si="3"/>
        <v>0</v>
      </c>
      <c r="N27" s="681">
        <f t="shared" si="3"/>
        <v>5393.7986635705947</v>
      </c>
      <c r="O27" s="681">
        <f t="shared" ca="1" si="3"/>
        <v>7380.1016079967458</v>
      </c>
      <c r="P27" s="681">
        <f t="shared" si="3"/>
        <v>376.76333333333338</v>
      </c>
      <c r="Q27" s="681">
        <f t="shared" si="3"/>
        <v>724.5333333333333</v>
      </c>
      <c r="R27" s="681">
        <f t="shared" ca="1" si="3"/>
        <v>459905.50117898482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11372.746454419463</v>
      </c>
      <c r="D40" s="979">
        <f ca="1">tertiair!C20</f>
        <v>76.386554621848745</v>
      </c>
      <c r="E40" s="979">
        <f ca="1">tertiair!D20</f>
        <v>12949.710507204207</v>
      </c>
      <c r="F40" s="979">
        <f>tertiair!E20</f>
        <v>137.69124525607702</v>
      </c>
      <c r="G40" s="979">
        <f ca="1">tertiair!F20</f>
        <v>2303.5956612450036</v>
      </c>
      <c r="H40" s="979">
        <f>tertiair!G20</f>
        <v>0</v>
      </c>
      <c r="I40" s="979">
        <f>tertiair!H20</f>
        <v>0</v>
      </c>
      <c r="J40" s="979">
        <f>tertiair!I20</f>
        <v>0</v>
      </c>
      <c r="K40" s="979">
        <f>tertiair!J20</f>
        <v>6.3872836607355155E-2</v>
      </c>
      <c r="L40" s="979">
        <f>tertiair!K20</f>
        <v>0</v>
      </c>
      <c r="M40" s="979">
        <f ca="1">tertiair!L20</f>
        <v>0</v>
      </c>
      <c r="N40" s="979">
        <f>tertiair!M20</f>
        <v>0</v>
      </c>
      <c r="O40" s="979">
        <f ca="1">tertiair!N20</f>
        <v>0</v>
      </c>
      <c r="P40" s="979">
        <f>tertiair!O20</f>
        <v>0</v>
      </c>
      <c r="Q40" s="748">
        <f>tertiair!P20</f>
        <v>0</v>
      </c>
      <c r="R40" s="824">
        <f t="shared" ca="1" si="4"/>
        <v>26840.194295583206</v>
      </c>
    </row>
    <row r="41" spans="1:18">
      <c r="A41" s="796" t="s">
        <v>224</v>
      </c>
      <c r="B41" s="803"/>
      <c r="C41" s="979">
        <f ca="1">huishoudens!B12</f>
        <v>10730.081843725864</v>
      </c>
      <c r="D41" s="979">
        <f ca="1">huishoudens!C12</f>
        <v>0</v>
      </c>
      <c r="E41" s="979">
        <f>huishoudens!D12</f>
        <v>23939.408094515526</v>
      </c>
      <c r="F41" s="979">
        <f>huishoudens!E12</f>
        <v>0</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34669.489938241386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731.58394714109647</v>
      </c>
      <c r="D43" s="979">
        <f ca="1">industrie!C22</f>
        <v>0</v>
      </c>
      <c r="E43" s="979">
        <f>industrie!D22</f>
        <v>959.98190577637752</v>
      </c>
      <c r="F43" s="979">
        <f>industrie!E22</f>
        <v>132.6144657695248</v>
      </c>
      <c r="G43" s="979">
        <f>industrie!F22</f>
        <v>450.83087141022821</v>
      </c>
      <c r="H43" s="979">
        <f>industrie!G22</f>
        <v>0</v>
      </c>
      <c r="I43" s="979">
        <f>industrie!H22</f>
        <v>0</v>
      </c>
      <c r="J43" s="979">
        <f>industrie!I22</f>
        <v>0</v>
      </c>
      <c r="K43" s="979">
        <f>industrie!J22</f>
        <v>0.30430309600433891</v>
      </c>
      <c r="L43" s="979">
        <f>industrie!K22</f>
        <v>0</v>
      </c>
      <c r="M43" s="979">
        <f>industrie!L22</f>
        <v>0</v>
      </c>
      <c r="N43" s="979">
        <f>industrie!M22</f>
        <v>0</v>
      </c>
      <c r="O43" s="979">
        <f>industrie!N22</f>
        <v>0</v>
      </c>
      <c r="P43" s="979">
        <f>industrie!O22</f>
        <v>0</v>
      </c>
      <c r="Q43" s="748">
        <f>industrie!P22</f>
        <v>0</v>
      </c>
      <c r="R43" s="823">
        <f t="shared" ca="1" si="4"/>
        <v>2275.3154931932313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22834.412245286425</v>
      </c>
      <c r="D46" s="706">
        <f t="shared" ref="D46:Q46" ca="1" si="5">SUM(D39:D45)</f>
        <v>76.386554621848745</v>
      </c>
      <c r="E46" s="706">
        <f t="shared" ca="1" si="5"/>
        <v>37849.100507496107</v>
      </c>
      <c r="F46" s="706">
        <f t="shared" si="5"/>
        <v>270.30571102560179</v>
      </c>
      <c r="G46" s="706">
        <f t="shared" ca="1" si="5"/>
        <v>2754.4265326552318</v>
      </c>
      <c r="H46" s="706">
        <f t="shared" si="5"/>
        <v>0</v>
      </c>
      <c r="I46" s="706">
        <f t="shared" si="5"/>
        <v>0</v>
      </c>
      <c r="J46" s="706">
        <f t="shared" si="5"/>
        <v>0</v>
      </c>
      <c r="K46" s="706">
        <f t="shared" si="5"/>
        <v>0.36817593261169407</v>
      </c>
      <c r="L46" s="706">
        <f t="shared" si="5"/>
        <v>0</v>
      </c>
      <c r="M46" s="706">
        <f t="shared" ca="1" si="5"/>
        <v>0</v>
      </c>
      <c r="N46" s="706">
        <f t="shared" si="5"/>
        <v>0</v>
      </c>
      <c r="O46" s="706">
        <f t="shared" ca="1" si="5"/>
        <v>0</v>
      </c>
      <c r="P46" s="706">
        <f t="shared" si="5"/>
        <v>0</v>
      </c>
      <c r="Q46" s="706">
        <f t="shared" si="5"/>
        <v>0</v>
      </c>
      <c r="R46" s="706">
        <f ca="1">SUM(R39:R45)</f>
        <v>63784.999727017821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291.97628132554928</v>
      </c>
      <c r="D49" s="979">
        <f ca="1">transport!C58</f>
        <v>0</v>
      </c>
      <c r="E49" s="979">
        <f>transport!D58</f>
        <v>0</v>
      </c>
      <c r="F49" s="979">
        <f>transport!E58</f>
        <v>0</v>
      </c>
      <c r="G49" s="979">
        <f>transport!F58</f>
        <v>0</v>
      </c>
      <c r="H49" s="979">
        <f>transport!G58</f>
        <v>326.11425412544736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618.09053545099664</v>
      </c>
    </row>
    <row r="50" spans="1:18">
      <c r="A50" s="799" t="s">
        <v>306</v>
      </c>
      <c r="B50" s="809"/>
      <c r="C50" s="677">
        <f ca="1">transport!B18</f>
        <v>7.1860398438612858</v>
      </c>
      <c r="D50" s="677">
        <f>transport!C18</f>
        <v>0</v>
      </c>
      <c r="E50" s="677">
        <f>transport!D18</f>
        <v>17.445937719621536</v>
      </c>
      <c r="F50" s="677">
        <f>transport!E18</f>
        <v>34.666312934518992</v>
      </c>
      <c r="G50" s="677">
        <f>transport!F18</f>
        <v>0</v>
      </c>
      <c r="H50" s="677">
        <f>transport!G18</f>
        <v>22349.885350742654</v>
      </c>
      <c r="I50" s="677">
        <f>transport!H18</f>
        <v>3668.9552354087969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26078.138876649453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299.16232116941057</v>
      </c>
      <c r="D52" s="706">
        <f t="shared" ref="D52:Q52" ca="1" si="6">SUM(D48:D51)</f>
        <v>0</v>
      </c>
      <c r="E52" s="706">
        <f t="shared" si="6"/>
        <v>17.445937719621536</v>
      </c>
      <c r="F52" s="706">
        <f t="shared" si="6"/>
        <v>34.666312934518992</v>
      </c>
      <c r="G52" s="706">
        <f t="shared" si="6"/>
        <v>0</v>
      </c>
      <c r="H52" s="706">
        <f t="shared" si="6"/>
        <v>22675.999604868102</v>
      </c>
      <c r="I52" s="706">
        <f t="shared" si="6"/>
        <v>3668.9552354087969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26696.229412100449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268.16405509412169</v>
      </c>
      <c r="D54" s="677">
        <f ca="1">+landbouw!C12</f>
        <v>8.4025210084033617</v>
      </c>
      <c r="E54" s="677">
        <f>+landbouw!D12</f>
        <v>30.549629300511885</v>
      </c>
      <c r="F54" s="677">
        <f>+landbouw!E12</f>
        <v>8.3458240509023707</v>
      </c>
      <c r="G54" s="677">
        <f>+landbouw!F12</f>
        <v>1391.3088361622104</v>
      </c>
      <c r="H54" s="677">
        <f>+landbouw!G12</f>
        <v>0</v>
      </c>
      <c r="I54" s="677">
        <f>+landbouw!H12</f>
        <v>0</v>
      </c>
      <c r="J54" s="677">
        <f>+landbouw!I12</f>
        <v>0</v>
      </c>
      <c r="K54" s="677">
        <f>+landbouw!J12</f>
        <v>64.151368703354237</v>
      </c>
      <c r="L54" s="677">
        <f>+landbouw!K12</f>
        <v>0</v>
      </c>
      <c r="M54" s="677">
        <f>+landbouw!L12</f>
        <v>0</v>
      </c>
      <c r="N54" s="677">
        <f>+landbouw!M12</f>
        <v>0</v>
      </c>
      <c r="O54" s="677">
        <f>+landbouw!N12</f>
        <v>0</v>
      </c>
      <c r="P54" s="677">
        <f>+landbouw!O12</f>
        <v>0</v>
      </c>
      <c r="Q54" s="678">
        <f>+landbouw!P12</f>
        <v>0</v>
      </c>
      <c r="R54" s="705">
        <f ca="1">SUM(C54:Q54)</f>
        <v>1770.9222343195038</v>
      </c>
    </row>
    <row r="55" spans="1:18" ht="15" thickBot="1">
      <c r="A55" s="799" t="s">
        <v>823</v>
      </c>
      <c r="B55" s="809"/>
      <c r="C55" s="677">
        <f ca="1">C25*'EF ele_warmte'!B12</f>
        <v>2215.1849226820136</v>
      </c>
      <c r="D55" s="677"/>
      <c r="E55" s="677">
        <f>E25*EF_CO2_aardgas</f>
        <v>4408.1877738576004</v>
      </c>
      <c r="F55" s="677"/>
      <c r="G55" s="677"/>
      <c r="H55" s="677"/>
      <c r="I55" s="677"/>
      <c r="J55" s="677"/>
      <c r="K55" s="677"/>
      <c r="L55" s="677"/>
      <c r="M55" s="677"/>
      <c r="N55" s="677"/>
      <c r="O55" s="677"/>
      <c r="P55" s="677"/>
      <c r="Q55" s="678"/>
      <c r="R55" s="705">
        <f ca="1">SUM(C55:Q55)</f>
        <v>6623.3726965396145</v>
      </c>
    </row>
    <row r="56" spans="1:18" ht="15.75" thickBot="1">
      <c r="A56" s="797" t="s">
        <v>824</v>
      </c>
      <c r="B56" s="810"/>
      <c r="C56" s="706">
        <f ca="1">SUM(C54:C55)</f>
        <v>2483.3489777761351</v>
      </c>
      <c r="D56" s="706">
        <f t="shared" ref="D56:Q56" ca="1" si="7">SUM(D54:D55)</f>
        <v>8.4025210084033617</v>
      </c>
      <c r="E56" s="706">
        <f t="shared" si="7"/>
        <v>4438.7374031581121</v>
      </c>
      <c r="F56" s="706">
        <f t="shared" si="7"/>
        <v>8.3458240509023707</v>
      </c>
      <c r="G56" s="706">
        <f t="shared" si="7"/>
        <v>1391.3088361622104</v>
      </c>
      <c r="H56" s="706">
        <f t="shared" si="7"/>
        <v>0</v>
      </c>
      <c r="I56" s="706">
        <f t="shared" si="7"/>
        <v>0</v>
      </c>
      <c r="J56" s="706">
        <f t="shared" si="7"/>
        <v>0</v>
      </c>
      <c r="K56" s="706">
        <f t="shared" si="7"/>
        <v>64.151368703354237</v>
      </c>
      <c r="L56" s="706">
        <f t="shared" si="7"/>
        <v>0</v>
      </c>
      <c r="M56" s="706">
        <f t="shared" si="7"/>
        <v>0</v>
      </c>
      <c r="N56" s="706">
        <f t="shared" si="7"/>
        <v>0</v>
      </c>
      <c r="O56" s="706">
        <f t="shared" si="7"/>
        <v>0</v>
      </c>
      <c r="P56" s="706">
        <f t="shared" si="7"/>
        <v>0</v>
      </c>
      <c r="Q56" s="707">
        <f t="shared" si="7"/>
        <v>0</v>
      </c>
      <c r="R56" s="708">
        <f ca="1">SUM(R54:R55)</f>
        <v>8394.2949308591178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25616.92354423197</v>
      </c>
      <c r="D61" s="714">
        <f t="shared" ref="D61:Q61" ca="1" si="8">D46+D52+D56</f>
        <v>84.789075630252114</v>
      </c>
      <c r="E61" s="714">
        <f t="shared" ca="1" si="8"/>
        <v>42305.283848373838</v>
      </c>
      <c r="F61" s="714">
        <f t="shared" si="8"/>
        <v>313.31784801102316</v>
      </c>
      <c r="G61" s="714">
        <f t="shared" ca="1" si="8"/>
        <v>4145.7353688174426</v>
      </c>
      <c r="H61" s="714">
        <f t="shared" si="8"/>
        <v>22675.999604868102</v>
      </c>
      <c r="I61" s="714">
        <f t="shared" si="8"/>
        <v>3668.9552354087969</v>
      </c>
      <c r="J61" s="714">
        <f t="shared" si="8"/>
        <v>0</v>
      </c>
      <c r="K61" s="714">
        <f t="shared" si="8"/>
        <v>64.519544635965929</v>
      </c>
      <c r="L61" s="714">
        <f t="shared" si="8"/>
        <v>0</v>
      </c>
      <c r="M61" s="714">
        <f t="shared" ca="1" si="8"/>
        <v>0</v>
      </c>
      <c r="N61" s="714">
        <f t="shared" si="8"/>
        <v>0</v>
      </c>
      <c r="O61" s="714">
        <f t="shared" ca="1" si="8"/>
        <v>0</v>
      </c>
      <c r="P61" s="714">
        <f t="shared" si="8"/>
        <v>0</v>
      </c>
      <c r="Q61" s="714">
        <f t="shared" si="8"/>
        <v>0</v>
      </c>
      <c r="R61" s="714">
        <f ca="1">R46+R52+R56</f>
        <v>98875.524069977386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0.21438871175642166</v>
      </c>
      <c r="D63" s="755">
        <f t="shared" ca="1" si="9"/>
        <v>0.23764705882352941</v>
      </c>
      <c r="E63" s="990">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3593.3421042476944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249.75</v>
      </c>
      <c r="D76" s="1000">
        <f>'lokale energieproductie'!C8</f>
        <v>293.82352941176475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59.352352941176484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3593.3421042476944</v>
      </c>
      <c r="C78" s="729">
        <f>SUM(C72:C77)</f>
        <v>249.75</v>
      </c>
      <c r="D78" s="730">
        <f t="shared" ref="D78:H78" si="10">SUM(D76:D77)</f>
        <v>293.82352941176475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59.352352941176484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356.78571428571433</v>
      </c>
      <c r="D87" s="751">
        <f>'lokale energieproductie'!C17</f>
        <v>419.74789915966392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84.789075630252114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356.78571428571433</v>
      </c>
      <c r="D90" s="729">
        <f t="shared" ref="D90:H90" si="12">SUM(D87:D89)</f>
        <v>419.74789915966392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84.789075630252114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3593.3421042476944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249.75</v>
      </c>
      <c r="C8" s="544">
        <f>B49</f>
        <v>293.82352941176475</v>
      </c>
      <c r="D8" s="1010"/>
      <c r="E8" s="1010">
        <f>E49</f>
        <v>0</v>
      </c>
      <c r="F8" s="1011"/>
      <c r="G8" s="545"/>
      <c r="H8" s="1010">
        <f>I49</f>
        <v>0</v>
      </c>
      <c r="I8" s="1010">
        <f>G49+F49</f>
        <v>0</v>
      </c>
      <c r="J8" s="1010">
        <f>H49+D49+C49</f>
        <v>0</v>
      </c>
      <c r="K8" s="1010"/>
      <c r="L8" s="1010"/>
      <c r="M8" s="1010"/>
      <c r="N8" s="546"/>
      <c r="O8" s="547">
        <f>C8*$C$12+D8*$D$12+E8*$E$12+F8*$F$12+G8*$G$12+H8*$H$12+I8*$I$12+J8*$J$12</f>
        <v>59.352352941176484</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3843.0921042476944</v>
      </c>
      <c r="C10" s="557">
        <f t="shared" ref="C10:L10" si="0">SUM(C8:C9)</f>
        <v>293.82352941176475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59.352352941176484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356.78571428571433</v>
      </c>
      <c r="C17" s="569">
        <f>B50</f>
        <v>419.74789915966392</v>
      </c>
      <c r="D17" s="570"/>
      <c r="E17" s="570">
        <f>E50</f>
        <v>0</v>
      </c>
      <c r="F17" s="1016"/>
      <c r="G17" s="571"/>
      <c r="H17" s="569">
        <f>I50</f>
        <v>0</v>
      </c>
      <c r="I17" s="570">
        <f>G50+F50</f>
        <v>0</v>
      </c>
      <c r="J17" s="570">
        <f>H50+D50+C50</f>
        <v>0</v>
      </c>
      <c r="K17" s="570"/>
      <c r="L17" s="570"/>
      <c r="M17" s="570"/>
      <c r="N17" s="1017"/>
      <c r="O17" s="572">
        <f>C17*$C$22+E17*$E$22+H17*$H$22+I17*$I$22+J17*$J$22+D17*$D$22+F17*$F$22+G17*$G$22+K17*$K$22+L17*$L$22</f>
        <v>84.789075630252114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356.78571428571433</v>
      </c>
      <c r="C20" s="556">
        <f>SUM(C17:C19)</f>
        <v>419.74789915966392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84.789075630252114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38014</v>
      </c>
      <c r="C28" s="770">
        <v>8670</v>
      </c>
      <c r="D28" s="627" t="s">
        <v>887</v>
      </c>
      <c r="E28" s="626" t="s">
        <v>888</v>
      </c>
      <c r="F28" s="626" t="s">
        <v>889</v>
      </c>
      <c r="G28" s="626" t="s">
        <v>890</v>
      </c>
      <c r="H28" s="626" t="s">
        <v>891</v>
      </c>
      <c r="I28" s="626" t="s">
        <v>888</v>
      </c>
      <c r="J28" s="769">
        <v>41074</v>
      </c>
      <c r="K28" s="769">
        <v>41183</v>
      </c>
      <c r="L28" s="626" t="s">
        <v>892</v>
      </c>
      <c r="M28" s="626">
        <v>5.5</v>
      </c>
      <c r="N28" s="626">
        <v>24.75</v>
      </c>
      <c r="O28" s="626">
        <v>35.357142857142861</v>
      </c>
      <c r="P28" s="626">
        <v>70.714285714285722</v>
      </c>
      <c r="Q28" s="626">
        <v>0</v>
      </c>
      <c r="R28" s="626">
        <v>0</v>
      </c>
      <c r="S28" s="626">
        <v>0</v>
      </c>
      <c r="T28" s="626">
        <v>0</v>
      </c>
      <c r="U28" s="626">
        <v>0</v>
      </c>
      <c r="V28" s="626">
        <v>0</v>
      </c>
      <c r="W28" s="626">
        <v>0</v>
      </c>
      <c r="X28" s="626">
        <v>10</v>
      </c>
      <c r="Y28" s="626" t="s">
        <v>111</v>
      </c>
      <c r="Z28" s="628" t="s">
        <v>111</v>
      </c>
    </row>
    <row r="29" spans="1:26" s="580" customFormat="1" ht="25.5">
      <c r="A29" s="579"/>
      <c r="B29" s="770">
        <v>38014</v>
      </c>
      <c r="C29" s="770">
        <v>8670</v>
      </c>
      <c r="D29" s="627" t="s">
        <v>893</v>
      </c>
      <c r="E29" s="626" t="s">
        <v>894</v>
      </c>
      <c r="F29" s="626" t="s">
        <v>895</v>
      </c>
      <c r="G29" s="626" t="s">
        <v>890</v>
      </c>
      <c r="H29" s="626" t="s">
        <v>891</v>
      </c>
      <c r="I29" s="626" t="s">
        <v>896</v>
      </c>
      <c r="J29" s="769">
        <v>41093</v>
      </c>
      <c r="K29" s="769">
        <v>42019</v>
      </c>
      <c r="L29" s="626" t="s">
        <v>892</v>
      </c>
      <c r="M29" s="626">
        <v>50</v>
      </c>
      <c r="N29" s="626">
        <v>225</v>
      </c>
      <c r="O29" s="626">
        <v>321.42857142857144</v>
      </c>
      <c r="P29" s="626">
        <v>642.85714285714289</v>
      </c>
      <c r="Q29" s="626">
        <v>0</v>
      </c>
      <c r="R29" s="626">
        <v>0</v>
      </c>
      <c r="S29" s="626">
        <v>0</v>
      </c>
      <c r="T29" s="626">
        <v>0</v>
      </c>
      <c r="U29" s="626">
        <v>0</v>
      </c>
      <c r="V29" s="626">
        <v>0</v>
      </c>
      <c r="W29" s="626">
        <v>0</v>
      </c>
      <c r="X29" s="626">
        <v>1200</v>
      </c>
      <c r="Y29" s="626" t="s">
        <v>897</v>
      </c>
      <c r="Z29" s="628" t="s">
        <v>155</v>
      </c>
    </row>
    <row r="30" spans="1:26" s="564" customFormat="1">
      <c r="A30" s="582" t="s">
        <v>279</v>
      </c>
      <c r="B30" s="583"/>
      <c r="C30" s="583"/>
      <c r="D30" s="583"/>
      <c r="E30" s="583"/>
      <c r="F30" s="583"/>
      <c r="G30" s="583"/>
      <c r="H30" s="583"/>
      <c r="I30" s="583"/>
      <c r="J30" s="583"/>
      <c r="K30" s="583"/>
      <c r="L30" s="584"/>
      <c r="M30" s="584">
        <f>SUM(M28:M29)</f>
        <v>55.5</v>
      </c>
      <c r="N30" s="584">
        <f>SUM(N28:N29)</f>
        <v>249.75</v>
      </c>
      <c r="O30" s="584">
        <f>SUM(O28:O29)</f>
        <v>356.78571428571433</v>
      </c>
      <c r="P30" s="584">
        <f>SUM(P28:P29)</f>
        <v>713.57142857142867</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50</v>
      </c>
      <c r="N32" s="584">
        <f ca="1">SUMIF($Z$28:AD29,"tertiair",N28:N29)</f>
        <v>225</v>
      </c>
      <c r="O32" s="584">
        <f ca="1">SUMIF($Z$28:AE29,"tertiair",O28:O29)</f>
        <v>321.42857142857144</v>
      </c>
      <c r="P32" s="584">
        <f ca="1">SUMIF($Z$28:AF29,"tertiair",P28:P29)</f>
        <v>642.85714285714289</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5.5</v>
      </c>
      <c r="N33" s="589">
        <f>SUMIF($Z$28:$Z$29,"landbouw",N28:N29)</f>
        <v>24.75</v>
      </c>
      <c r="O33" s="589">
        <f>SUMIF($Z$28:$Z$29,"landbouw",O28:O29)</f>
        <v>35.357142857142861</v>
      </c>
      <c r="P33" s="589">
        <f>SUMIF($Z$28:$Z$29,"landbouw",P28:P29)</f>
        <v>70.714285714285722</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293.82352941176475</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419.74789915966392</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50049.658658879751</v>
      </c>
      <c r="C4" s="451">
        <f>huishoudens!C8</f>
        <v>0</v>
      </c>
      <c r="D4" s="451">
        <f>huishoudens!D8</f>
        <v>118511.92125997784</v>
      </c>
      <c r="E4" s="451">
        <f>huishoudens!E8</f>
        <v>0</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0</v>
      </c>
      <c r="O4" s="451">
        <f>huishoudens!O8</f>
        <v>370.51000000000005</v>
      </c>
      <c r="P4" s="452">
        <f>huishoudens!P8</f>
        <v>686.4</v>
      </c>
      <c r="Q4" s="453">
        <f>SUM(B4:P4)</f>
        <v>169618.48991885761</v>
      </c>
    </row>
    <row r="5" spans="1:17">
      <c r="A5" s="450" t="s">
        <v>155</v>
      </c>
      <c r="B5" s="451">
        <f ca="1">tertiair!B16</f>
        <v>50131.471335267248</v>
      </c>
      <c r="C5" s="451">
        <f ca="1">tertiair!C16</f>
        <v>321.42857142857144</v>
      </c>
      <c r="D5" s="451">
        <f ca="1">tertiair!D16</f>
        <v>64107.47775843666</v>
      </c>
      <c r="E5" s="451">
        <f>tertiair!E16</f>
        <v>606.56936236157276</v>
      </c>
      <c r="F5" s="451">
        <f ca="1">tertiair!F16</f>
        <v>8627.6991057865307</v>
      </c>
      <c r="G5" s="451">
        <f>tertiair!G16</f>
        <v>0</v>
      </c>
      <c r="H5" s="451">
        <f>tertiair!H16</f>
        <v>0</v>
      </c>
      <c r="I5" s="451">
        <f>tertiair!I16</f>
        <v>0</v>
      </c>
      <c r="J5" s="451">
        <f>tertiair!J16</f>
        <v>0.18043174182868688</v>
      </c>
      <c r="K5" s="451">
        <f>tertiair!K16</f>
        <v>0</v>
      </c>
      <c r="L5" s="451">
        <f ca="1">tertiair!L16</f>
        <v>0</v>
      </c>
      <c r="M5" s="451">
        <f>tertiair!M16</f>
        <v>0</v>
      </c>
      <c r="N5" s="451">
        <f ca="1">tertiair!N16</f>
        <v>7121.5467787889893</v>
      </c>
      <c r="O5" s="451">
        <f>tertiair!O16</f>
        <v>6.2533333333333339</v>
      </c>
      <c r="P5" s="452">
        <f>tertiair!P16</f>
        <v>38.133333333333333</v>
      </c>
      <c r="Q5" s="450">
        <f t="shared" ref="Q5:Q14" ca="1" si="0">SUM(B5:P5)</f>
        <v>130960.76001047807</v>
      </c>
    </row>
    <row r="6" spans="1:17">
      <c r="A6" s="450" t="s">
        <v>193</v>
      </c>
      <c r="B6" s="451">
        <f>'openbare verlichting'!B8</f>
        <v>2915.848</v>
      </c>
      <c r="C6" s="451"/>
      <c r="D6" s="451"/>
      <c r="E6" s="451"/>
      <c r="F6" s="451"/>
      <c r="G6" s="451"/>
      <c r="H6" s="451"/>
      <c r="I6" s="451"/>
      <c r="J6" s="451"/>
      <c r="K6" s="451"/>
      <c r="L6" s="451"/>
      <c r="M6" s="451"/>
      <c r="N6" s="451"/>
      <c r="O6" s="451"/>
      <c r="P6" s="452"/>
      <c r="Q6" s="450">
        <f t="shared" si="0"/>
        <v>2915.848</v>
      </c>
    </row>
    <row r="7" spans="1:17">
      <c r="A7" s="450" t="s">
        <v>111</v>
      </c>
      <c r="B7" s="451">
        <f>landbouw!B8</f>
        <v>1250.8310390837978</v>
      </c>
      <c r="C7" s="451">
        <f>landbouw!C8</f>
        <v>35.357142857142861</v>
      </c>
      <c r="D7" s="451">
        <f>landbouw!D8</f>
        <v>151.23578861639547</v>
      </c>
      <c r="E7" s="451">
        <f>landbouw!E8</f>
        <v>36.765744717631584</v>
      </c>
      <c r="F7" s="451">
        <f>landbouw!F8</f>
        <v>5210.8945174614619</v>
      </c>
      <c r="G7" s="451">
        <f>landbouw!G8</f>
        <v>0</v>
      </c>
      <c r="H7" s="451">
        <f>landbouw!H8</f>
        <v>0</v>
      </c>
      <c r="I7" s="451">
        <f>landbouw!I8</f>
        <v>0</v>
      </c>
      <c r="J7" s="451">
        <f>landbouw!J8</f>
        <v>181.21855565919276</v>
      </c>
      <c r="K7" s="451">
        <f>landbouw!K8</f>
        <v>0</v>
      </c>
      <c r="L7" s="451">
        <f>landbouw!L8</f>
        <v>0</v>
      </c>
      <c r="M7" s="451">
        <f>landbouw!M8</f>
        <v>0</v>
      </c>
      <c r="N7" s="451">
        <f>landbouw!N8</f>
        <v>0</v>
      </c>
      <c r="O7" s="451">
        <f>landbouw!O8</f>
        <v>0</v>
      </c>
      <c r="P7" s="452">
        <f>landbouw!P8</f>
        <v>0</v>
      </c>
      <c r="Q7" s="450">
        <f t="shared" si="0"/>
        <v>6866.3027883956229</v>
      </c>
    </row>
    <row r="8" spans="1:17">
      <c r="A8" s="450" t="s">
        <v>634</v>
      </c>
      <c r="B8" s="451">
        <f>industrie!B18</f>
        <v>3412.4182245765237</v>
      </c>
      <c r="C8" s="451">
        <f>industrie!C18</f>
        <v>0</v>
      </c>
      <c r="D8" s="451">
        <f>industrie!D18</f>
        <v>4752.3856721602842</v>
      </c>
      <c r="E8" s="451">
        <f>industrie!E18</f>
        <v>584.20469501993307</v>
      </c>
      <c r="F8" s="451">
        <f>industrie!F18</f>
        <v>1688.5051363678958</v>
      </c>
      <c r="G8" s="451">
        <f>industrie!G18</f>
        <v>0</v>
      </c>
      <c r="H8" s="451">
        <f>industrie!H18</f>
        <v>0</v>
      </c>
      <c r="I8" s="451">
        <f>industrie!I18</f>
        <v>0</v>
      </c>
      <c r="J8" s="451">
        <f>industrie!J18</f>
        <v>0.8596132655489801</v>
      </c>
      <c r="K8" s="451">
        <f>industrie!K18</f>
        <v>0</v>
      </c>
      <c r="L8" s="451">
        <f>industrie!L18</f>
        <v>0</v>
      </c>
      <c r="M8" s="451">
        <f>industrie!M18</f>
        <v>0</v>
      </c>
      <c r="N8" s="451">
        <f>industrie!N18</f>
        <v>258.55482920775682</v>
      </c>
      <c r="O8" s="451">
        <f>industrie!O18</f>
        <v>0</v>
      </c>
      <c r="P8" s="452">
        <f>industrie!P18</f>
        <v>0</v>
      </c>
      <c r="Q8" s="450">
        <f t="shared" si="0"/>
        <v>10696.928170597943</v>
      </c>
    </row>
    <row r="9" spans="1:17" s="456" customFormat="1">
      <c r="A9" s="454" t="s">
        <v>560</v>
      </c>
      <c r="B9" s="455">
        <f>transport!B14</f>
        <v>33.518741658496111</v>
      </c>
      <c r="C9" s="455">
        <f>transport!C14</f>
        <v>0</v>
      </c>
      <c r="D9" s="455">
        <f>transport!D14</f>
        <v>86.366028314958101</v>
      </c>
      <c r="E9" s="455">
        <f>transport!E14</f>
        <v>152.71503495382814</v>
      </c>
      <c r="F9" s="455">
        <f>transport!F14</f>
        <v>0</v>
      </c>
      <c r="G9" s="455">
        <f>transport!G14</f>
        <v>83707.435770571727</v>
      </c>
      <c r="H9" s="455">
        <f>transport!H14</f>
        <v>14734.759981561434</v>
      </c>
      <c r="I9" s="455">
        <f>transport!I14</f>
        <v>0</v>
      </c>
      <c r="J9" s="455">
        <f>transport!J14</f>
        <v>0</v>
      </c>
      <c r="K9" s="455">
        <f>transport!K14</f>
        <v>0</v>
      </c>
      <c r="L9" s="455">
        <f>transport!L14</f>
        <v>0</v>
      </c>
      <c r="M9" s="455">
        <f>transport!M14</f>
        <v>5324.433679101222</v>
      </c>
      <c r="N9" s="455">
        <f>transport!N14</f>
        <v>0</v>
      </c>
      <c r="O9" s="455">
        <f>transport!O14</f>
        <v>0</v>
      </c>
      <c r="P9" s="455">
        <f>transport!P14</f>
        <v>0</v>
      </c>
      <c r="Q9" s="454">
        <f>SUM(B9:P9)</f>
        <v>104039.22923616167</v>
      </c>
    </row>
    <row r="10" spans="1:17">
      <c r="A10" s="450" t="s">
        <v>550</v>
      </c>
      <c r="B10" s="451">
        <f>transport!B54</f>
        <v>1361.9013749999997</v>
      </c>
      <c r="C10" s="451">
        <f>transport!C54</f>
        <v>0</v>
      </c>
      <c r="D10" s="451">
        <f>transport!D54</f>
        <v>0</v>
      </c>
      <c r="E10" s="451">
        <f>transport!E54</f>
        <v>0</v>
      </c>
      <c r="F10" s="451">
        <f>transport!F54</f>
        <v>0</v>
      </c>
      <c r="G10" s="451">
        <f>transport!G54</f>
        <v>1221.401700844372</v>
      </c>
      <c r="H10" s="451">
        <f>transport!H54</f>
        <v>0</v>
      </c>
      <c r="I10" s="451">
        <f>transport!I54</f>
        <v>0</v>
      </c>
      <c r="J10" s="451">
        <f>transport!J54</f>
        <v>0</v>
      </c>
      <c r="K10" s="451">
        <f>transport!K54</f>
        <v>0</v>
      </c>
      <c r="L10" s="451">
        <f>transport!L54</f>
        <v>0</v>
      </c>
      <c r="M10" s="451">
        <f>transport!M54</f>
        <v>69.364984469372303</v>
      </c>
      <c r="N10" s="451">
        <f>transport!N54</f>
        <v>0</v>
      </c>
      <c r="O10" s="451">
        <f>transport!O54</f>
        <v>0</v>
      </c>
      <c r="P10" s="452">
        <f>transport!P54</f>
        <v>0</v>
      </c>
      <c r="Q10" s="450">
        <f t="shared" si="0"/>
        <v>2652.6680603137443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10332.5632424099</v>
      </c>
      <c r="C14" s="458"/>
      <c r="D14" s="458">
        <f>'SEAP template'!E25</f>
        <v>21822.711751770297</v>
      </c>
      <c r="E14" s="458"/>
      <c r="F14" s="458"/>
      <c r="G14" s="458"/>
      <c r="H14" s="458"/>
      <c r="I14" s="458"/>
      <c r="J14" s="458"/>
      <c r="K14" s="458"/>
      <c r="L14" s="458"/>
      <c r="M14" s="458"/>
      <c r="N14" s="458"/>
      <c r="O14" s="458"/>
      <c r="P14" s="459"/>
      <c r="Q14" s="450">
        <f t="shared" si="0"/>
        <v>32155.274994180196</v>
      </c>
    </row>
    <row r="15" spans="1:17" s="460" customFormat="1">
      <c r="A15" s="1005" t="s">
        <v>554</v>
      </c>
      <c r="B15" s="953">
        <f ca="1">SUM(B4:B14)</f>
        <v>119488.21061687572</v>
      </c>
      <c r="C15" s="953">
        <f t="shared" ref="C15:Q15" ca="1" si="1">SUM(C4:C14)</f>
        <v>356.78571428571433</v>
      </c>
      <c r="D15" s="953">
        <f t="shared" ca="1" si="1"/>
        <v>209432.09825927642</v>
      </c>
      <c r="E15" s="953">
        <f t="shared" si="1"/>
        <v>1380.2548370529655</v>
      </c>
      <c r="F15" s="953">
        <f t="shared" ca="1" si="1"/>
        <v>15527.098759615888</v>
      </c>
      <c r="G15" s="953">
        <f t="shared" si="1"/>
        <v>84928.837471416104</v>
      </c>
      <c r="H15" s="953">
        <f t="shared" si="1"/>
        <v>14734.759981561434</v>
      </c>
      <c r="I15" s="953">
        <f t="shared" si="1"/>
        <v>0</v>
      </c>
      <c r="J15" s="953">
        <f t="shared" si="1"/>
        <v>182.25860066657043</v>
      </c>
      <c r="K15" s="953">
        <f t="shared" si="1"/>
        <v>0</v>
      </c>
      <c r="L15" s="953">
        <f t="shared" ca="1" si="1"/>
        <v>0</v>
      </c>
      <c r="M15" s="953">
        <f t="shared" si="1"/>
        <v>5393.7986635705947</v>
      </c>
      <c r="N15" s="953">
        <f t="shared" ca="1" si="1"/>
        <v>7380.1016079967458</v>
      </c>
      <c r="O15" s="953">
        <f t="shared" si="1"/>
        <v>376.76333333333338</v>
      </c>
      <c r="P15" s="953">
        <f t="shared" si="1"/>
        <v>724.5333333333333</v>
      </c>
      <c r="Q15" s="953">
        <f t="shared" ca="1" si="1"/>
        <v>459905.50117898482</v>
      </c>
    </row>
    <row r="17" spans="1:17">
      <c r="A17" s="461" t="s">
        <v>555</v>
      </c>
      <c r="B17" s="760">
        <f ca="1">huishoudens!B10</f>
        <v>0.21438871175642166</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10730.081843725864</v>
      </c>
      <c r="C22" s="451">
        <f t="shared" ref="C22:C32" ca="1" si="3">C4*$C$17</f>
        <v>0</v>
      </c>
      <c r="D22" s="451">
        <f t="shared" ref="D22:D32" si="4">D4*$D$17</f>
        <v>23939.408094515526</v>
      </c>
      <c r="E22" s="451">
        <f t="shared" ref="E22:E32" si="5">E4*$E$17</f>
        <v>0</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34669.489938241386</v>
      </c>
    </row>
    <row r="23" spans="1:17">
      <c r="A23" s="450" t="s">
        <v>155</v>
      </c>
      <c r="B23" s="451">
        <f t="shared" ca="1" si="2"/>
        <v>10747.621558021925</v>
      </c>
      <c r="C23" s="451">
        <f t="shared" ca="1" si="3"/>
        <v>76.386554621848745</v>
      </c>
      <c r="D23" s="451">
        <f t="shared" ca="1" si="4"/>
        <v>12949.710507204207</v>
      </c>
      <c r="E23" s="451">
        <f t="shared" si="5"/>
        <v>137.69124525607702</v>
      </c>
      <c r="F23" s="451">
        <f t="shared" ca="1" si="6"/>
        <v>2303.5956612450036</v>
      </c>
      <c r="G23" s="451">
        <f t="shared" si="7"/>
        <v>0</v>
      </c>
      <c r="H23" s="451">
        <f t="shared" si="8"/>
        <v>0</v>
      </c>
      <c r="I23" s="451">
        <f t="shared" si="9"/>
        <v>0</v>
      </c>
      <c r="J23" s="451">
        <f t="shared" si="10"/>
        <v>6.3872836607355155E-2</v>
      </c>
      <c r="K23" s="451">
        <f t="shared" si="11"/>
        <v>0</v>
      </c>
      <c r="L23" s="451">
        <f t="shared" ca="1" si="12"/>
        <v>0</v>
      </c>
      <c r="M23" s="451">
        <f t="shared" si="13"/>
        <v>0</v>
      </c>
      <c r="N23" s="451">
        <f t="shared" ca="1" si="14"/>
        <v>0</v>
      </c>
      <c r="O23" s="451">
        <f t="shared" si="15"/>
        <v>0</v>
      </c>
      <c r="P23" s="452">
        <f t="shared" si="16"/>
        <v>0</v>
      </c>
      <c r="Q23" s="450">
        <f t="shared" ref="Q23:Q32" ca="1" si="17">SUM(B23:P23)</f>
        <v>26215.069399185668</v>
      </c>
    </row>
    <row r="24" spans="1:17">
      <c r="A24" s="450" t="s">
        <v>193</v>
      </c>
      <c r="B24" s="451">
        <f t="shared" ca="1" si="2"/>
        <v>625.12489639753858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625.12489639753858</v>
      </c>
    </row>
    <row r="25" spans="1:17">
      <c r="A25" s="450" t="s">
        <v>111</v>
      </c>
      <c r="B25" s="451">
        <f t="shared" ca="1" si="2"/>
        <v>268.16405509412169</v>
      </c>
      <c r="C25" s="451">
        <f t="shared" ca="1" si="3"/>
        <v>8.4025210084033617</v>
      </c>
      <c r="D25" s="451">
        <f t="shared" si="4"/>
        <v>30.549629300511885</v>
      </c>
      <c r="E25" s="451">
        <f t="shared" si="5"/>
        <v>8.3458240509023707</v>
      </c>
      <c r="F25" s="451">
        <f t="shared" si="6"/>
        <v>1391.3088361622104</v>
      </c>
      <c r="G25" s="451">
        <f t="shared" si="7"/>
        <v>0</v>
      </c>
      <c r="H25" s="451">
        <f t="shared" si="8"/>
        <v>0</v>
      </c>
      <c r="I25" s="451">
        <f t="shared" si="9"/>
        <v>0</v>
      </c>
      <c r="J25" s="451">
        <f t="shared" si="10"/>
        <v>64.151368703354237</v>
      </c>
      <c r="K25" s="451">
        <f t="shared" si="11"/>
        <v>0</v>
      </c>
      <c r="L25" s="451">
        <f t="shared" si="12"/>
        <v>0</v>
      </c>
      <c r="M25" s="451">
        <f t="shared" si="13"/>
        <v>0</v>
      </c>
      <c r="N25" s="451">
        <f t="shared" si="14"/>
        <v>0</v>
      </c>
      <c r="O25" s="451">
        <f t="shared" si="15"/>
        <v>0</v>
      </c>
      <c r="P25" s="452">
        <f t="shared" si="16"/>
        <v>0</v>
      </c>
      <c r="Q25" s="450">
        <f t="shared" ca="1" si="17"/>
        <v>1770.9222343195038</v>
      </c>
    </row>
    <row r="26" spans="1:17">
      <c r="A26" s="450" t="s">
        <v>634</v>
      </c>
      <c r="B26" s="451">
        <f t="shared" ca="1" si="2"/>
        <v>731.58394714109647</v>
      </c>
      <c r="C26" s="451">
        <f t="shared" ca="1" si="3"/>
        <v>0</v>
      </c>
      <c r="D26" s="451">
        <f t="shared" si="4"/>
        <v>959.98190577637752</v>
      </c>
      <c r="E26" s="451">
        <f t="shared" si="5"/>
        <v>132.6144657695248</v>
      </c>
      <c r="F26" s="451">
        <f t="shared" si="6"/>
        <v>450.83087141022821</v>
      </c>
      <c r="G26" s="451">
        <f t="shared" si="7"/>
        <v>0</v>
      </c>
      <c r="H26" s="451">
        <f t="shared" si="8"/>
        <v>0</v>
      </c>
      <c r="I26" s="451">
        <f t="shared" si="9"/>
        <v>0</v>
      </c>
      <c r="J26" s="451">
        <f t="shared" si="10"/>
        <v>0.30430309600433891</v>
      </c>
      <c r="K26" s="451">
        <f t="shared" si="11"/>
        <v>0</v>
      </c>
      <c r="L26" s="451">
        <f t="shared" si="12"/>
        <v>0</v>
      </c>
      <c r="M26" s="451">
        <f t="shared" si="13"/>
        <v>0</v>
      </c>
      <c r="N26" s="451">
        <f t="shared" si="14"/>
        <v>0</v>
      </c>
      <c r="O26" s="451">
        <f t="shared" si="15"/>
        <v>0</v>
      </c>
      <c r="P26" s="452">
        <f t="shared" si="16"/>
        <v>0</v>
      </c>
      <c r="Q26" s="450">
        <f t="shared" ca="1" si="17"/>
        <v>2275.3154931932313</v>
      </c>
    </row>
    <row r="27" spans="1:17" s="456" customFormat="1">
      <c r="A27" s="454" t="s">
        <v>560</v>
      </c>
      <c r="B27" s="754">
        <f t="shared" ca="1" si="2"/>
        <v>7.1860398438612858</v>
      </c>
      <c r="C27" s="455">
        <f t="shared" ca="1" si="3"/>
        <v>0</v>
      </c>
      <c r="D27" s="455">
        <f t="shared" si="4"/>
        <v>17.445937719621536</v>
      </c>
      <c r="E27" s="455">
        <f t="shared" si="5"/>
        <v>34.666312934518992</v>
      </c>
      <c r="F27" s="455">
        <f t="shared" si="6"/>
        <v>0</v>
      </c>
      <c r="G27" s="455">
        <f t="shared" si="7"/>
        <v>22349.885350742654</v>
      </c>
      <c r="H27" s="455">
        <f t="shared" si="8"/>
        <v>3668.9552354087969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26078.138876649453</v>
      </c>
    </row>
    <row r="28" spans="1:17">
      <c r="A28" s="450" t="s">
        <v>550</v>
      </c>
      <c r="B28" s="451">
        <f t="shared" ca="1" si="2"/>
        <v>291.97628132554928</v>
      </c>
      <c r="C28" s="451">
        <f t="shared" ca="1" si="3"/>
        <v>0</v>
      </c>
      <c r="D28" s="451">
        <f t="shared" si="4"/>
        <v>0</v>
      </c>
      <c r="E28" s="451">
        <f t="shared" si="5"/>
        <v>0</v>
      </c>
      <c r="F28" s="451">
        <f t="shared" si="6"/>
        <v>0</v>
      </c>
      <c r="G28" s="451">
        <f t="shared" si="7"/>
        <v>326.11425412544736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618.09053545099664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2215.1849226820136</v>
      </c>
      <c r="C32" s="451">
        <f t="shared" ca="1" si="3"/>
        <v>0</v>
      </c>
      <c r="D32" s="451">
        <f t="shared" si="4"/>
        <v>4408.1877738576004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6623.3726965396145</v>
      </c>
    </row>
    <row r="33" spans="1:17" s="460" customFormat="1">
      <c r="A33" s="1005" t="s">
        <v>554</v>
      </c>
      <c r="B33" s="953">
        <f ca="1">SUM(B22:B32)</f>
        <v>25616.92354423197</v>
      </c>
      <c r="C33" s="953">
        <f t="shared" ref="C33:Q33" ca="1" si="18">SUM(C22:C32)</f>
        <v>84.789075630252114</v>
      </c>
      <c r="D33" s="953">
        <f t="shared" ca="1" si="18"/>
        <v>42305.283848373838</v>
      </c>
      <c r="E33" s="953">
        <f t="shared" si="18"/>
        <v>313.31784801102316</v>
      </c>
      <c r="F33" s="953">
        <f t="shared" ca="1" si="18"/>
        <v>4145.7353688174426</v>
      </c>
      <c r="G33" s="953">
        <f t="shared" si="18"/>
        <v>22675.999604868102</v>
      </c>
      <c r="H33" s="953">
        <f t="shared" si="18"/>
        <v>3668.9552354087969</v>
      </c>
      <c r="I33" s="953">
        <f t="shared" si="18"/>
        <v>0</v>
      </c>
      <c r="J33" s="953">
        <f t="shared" si="18"/>
        <v>64.519544635965929</v>
      </c>
      <c r="K33" s="953">
        <f t="shared" si="18"/>
        <v>0</v>
      </c>
      <c r="L33" s="953">
        <f t="shared" ca="1" si="18"/>
        <v>0</v>
      </c>
      <c r="M33" s="953">
        <f t="shared" si="18"/>
        <v>0</v>
      </c>
      <c r="N33" s="953">
        <f t="shared" ca="1" si="18"/>
        <v>0</v>
      </c>
      <c r="O33" s="953">
        <f t="shared" si="18"/>
        <v>0</v>
      </c>
      <c r="P33" s="953">
        <f t="shared" si="18"/>
        <v>0</v>
      </c>
      <c r="Q33" s="953">
        <f t="shared" ca="1" si="18"/>
        <v>98875.5240699774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3593.3421042476944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249.75</v>
      </c>
      <c r="D8" s="1022">
        <f>'SEAP template'!D76</f>
        <v>293.82352941176475</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59.352352941176484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3593.3421042476944</v>
      </c>
      <c r="C10" s="1026">
        <f>SUM(C4:C9)</f>
        <v>249.75</v>
      </c>
      <c r="D10" s="1026">
        <f t="shared" ref="D10:H10" si="0">SUM(D8:D9)</f>
        <v>293.82352941176475</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59.352352941176484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0.21438871175642166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356.78571428571433</v>
      </c>
      <c r="D17" s="1023">
        <f>'SEAP template'!D87</f>
        <v>419.74789915966392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84.789075630252114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356.78571428571433</v>
      </c>
      <c r="D20" s="1026">
        <f t="shared" ref="D20:H20" si="2">SUM(D17:D19)</f>
        <v>419.74789915966392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84.789075630252114</v>
      </c>
    </row>
    <row r="22" spans="1:16">
      <c r="A22" s="461" t="s">
        <v>848</v>
      </c>
      <c r="B22" s="760" t="s">
        <v>842</v>
      </c>
      <c r="C22" s="760">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0.21438871175642166</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2020-06-20T15:45:31Z</dcterms:modified>
</cp:coreProperties>
</file>