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E8" i="48"/>
  <c r="E26" i="48" s="1"/>
  <c r="E33" i="48" s="1"/>
  <c r="F1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<sst xmlns="http://schemas.openxmlformats.org/spreadsheetml/2006/main" count="2398" uniqueCount="887">
  <si>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</si>
  <si>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</si>
  <si>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</si>
  <si>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</si>
  <si>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</si>
  <si>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</si>
  <si>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</si>
  <si>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</si>
  <si>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</si>
  <si>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</si>
  <si>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</si>
  <si>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</si>
  <si>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</si>
  <si>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</si>
  <si>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</si>
  <si>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</si>
  <si>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</si>
  <si>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</si>
  <si>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</si>
  <si>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</si>
  <si>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</si>
  <si>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</si>
  <si>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</si>
  <si>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</si>
  <si>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</si>
  <si>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</si>
  <si>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</si>
  <si>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</si>
  <si>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</si>
  <si>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</si>
  <si>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</si>
  <si>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</si>
  <si>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</si>
  <si>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</si>
  <si>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</si>
  <si>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</si>
  <si>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</si>
  <si>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</si>
  <si>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</si>
  <si>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</si>
  <si>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</si>
  <si>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</si>
  <si>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</si>
  <si>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</si>
  <si>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</si>
  <si>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</si>
  <si>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</si>
  <si>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</si>
  <si>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</si>
  <si>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</si>
  <si>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</si>
  <si>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</si>
  <si>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</si>
  <si>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</si>
  <si>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</si>
  <si>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</si>
  <si>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</si>
  <si>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</si>
  <si>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</si>
  <si>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</si>
  <si>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</si>
  <si>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</si>
  <si>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</si>
  <si>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</si>
  <si>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</si>
  <si>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</si>
  <si>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</si>
  <si>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</si>
  <si>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</si>
  <si>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</si>
  <si>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</si>
  <si>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</si>
  <si>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</si>
  <si>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</si>
  <si>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</si>
  <si>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</si>
  <si>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</si>
  <si>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</si>
  <si>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</si>
  <si>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</si>
  <si>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</si>
  <si>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</si>
  <si>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</si>
  <si>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</si>
  <si>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</si>
  <si>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</si>
  <si>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</si>
  <si>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</si>
  <si>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</si>
  <si>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</si>
  <si>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</si>
  <si>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</si>
  <si>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</si>
  <si>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</si>
  <si>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</si>
  <si>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</si>
  <si>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</si>
  <si>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</si>
  <si>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</si>
  <si>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</si>
  <si>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</si>
  <si>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</si>
  <si>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</si>
  <si>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</si>
  <si>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</si>
  <si>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</si>
  <si>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</si>
  <si>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</si>
  <si>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</si>
  <si>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</si>
  <si>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</si>
  <si>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</si>
  <si>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</si>
  <si>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</si>
  <si>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</si>
  <si>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</si>
  <si>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</si>
  <si>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</si>
  <si>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</si>
  <si>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</si>
  <si>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</si>
  <si>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</si>
  <si>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</si>
  <si>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</si>
  <si>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</si>
  <si>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</si>
  <si>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</si>
  <si>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</si>
  <si>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</si>
  <si>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</si>
  <si>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</si>
  <si>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</si>
  <si>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</si>
  <si>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</si>
  <si>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</si>
  <si>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</si>
  <si>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</si>
  <si>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</si>
  <si>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</si>
  <si>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</si>
  <si>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</si>
  <si>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</si>
  <si>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</si>
  <si>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</si>
  <si>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</si>
  <si>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</si>
  <si>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</si>
  <si>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</si>
  <si>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</si>
  <si>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</si>
  <si>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</si>
  <si>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</si>
  <si>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</si>
  <si>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</si>
  <si>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</si>
  <si>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</si>
  <si>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</si>
  <si>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</si>
  <si>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</si>
  <si>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</si>
  <si>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</si>
  <si>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</si>
  <si>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</si>
  <si>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</si>
  <si>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</si>
  <si>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</si>
  <si>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</si>
  <si>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</si>
  <si>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</si>
  <si>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</si>
  <si>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</si>
  <si>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</si>
  <si>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</si>
  <si>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</si>
  <si>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</si>
  <si>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</si>
  <si>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</si>
  <si>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</si>
  <si>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</si>
  <si>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</si>
  <si>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</si>
  <si>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</si>
  <si>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</si>
  <si>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</si>
  <si>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</si>
  <si>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</si>
  <si>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</si>
  <si>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</si>
  <si>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</si>
  <si>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</si>
  <si>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</si>
  <si>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</si>
  <si>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</si>
  <si>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</si>
  <si>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</si>
  <si>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</si>
  <si>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</si>
  <si>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</si>
  <si>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</si>
  <si>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</si>
  <si>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</si>
  <si>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</si>
  <si>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</si>
  <si>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</si>
  <si>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</si>
  <si>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</si>
  <si>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</si>
  <si>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</si>
  <si>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</si>
  <si>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</si>
  <si>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</si>
  <si>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</si>
  <si>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</si>
  <si>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</si>
  <si>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</si>
  <si>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</si>
  <si>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</si>
  <si>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</si>
  <si>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</si>
  <si>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</si>
  <si>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</si>
  <si>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</si>
  <si>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</si>
  <si>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</si>
  <si>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</si>
  <si>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</si>
  <si>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</si>
  <si>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</si>
  <si>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</si>
  <si>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</si>
  <si>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</si>
  <si>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</si>
  <si>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</si>
  <si>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</si>
  <si>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</si>
  <si>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</si>
  <si>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</si>
  <si>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</si>
  <si>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</si>
  <si>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</si>
  <si>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</si>
  <si>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</si>
  <si>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</si>
  <si>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</si>
  <si>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</si>
  <si>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</si>
  <si>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</si>
  <si>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</si>
  <si>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</si>
  <si>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</si>
  <si>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</si>
  <si>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</si>
  <si>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</si>
  <si>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</si>
  <si>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</si>
  <si>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</si>
  <si>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</si>
  <si>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</si>
  <si>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</si>
  <si>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</si>
  <si>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</si>
  <si>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</si>
  <si>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</si>
  <si>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</si>
  <si>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</si>
  <si>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</si>
  <si>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</si>
  <si>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</si>
  <si>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</si>
  <si>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</si>
  <si>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</si>
  <si>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</si>
  <si>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</si>
  <si>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</si>
  <si>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</si>
  <si>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</si>
  <si>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</si>
  <si>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</si>
  <si>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</si>
  <si>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</si>
  <si>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</si>
  <si>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</si>
  <si>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</si>
  <si>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</si>
  <si>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</si>
  <si>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</si>
  <si>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</si>
  <si>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</si>
  <si>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</si>
  <si>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</si>
  <si>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</si>
  <si>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</si>
  <si>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</si>
  <si>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</si>
  <si>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</si>
  <si>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</si>
  <si>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</si>
  <si>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</si>
  <si>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</si>
  <si>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</si>
  <si>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</si>
  <si>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</si>
  <si>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</si>
  <si>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</si>
  <si>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</si>
  <si>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</si>
  <si>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</si>
  <si>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</si>
  <si>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</si>
  <si>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</si>
  <si>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</si>
  <si>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</si>
  <si>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</si>
  <si>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</si>
  <si>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</si>
  <si>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</si>
  <si>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</si>
  <si>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</si>
  <si>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</si>
  <si>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</si>
  <si>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</si>
  <si>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</si>
  <si>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</si>
  <si>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</si>
  <si>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</si>
  <si>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</si>
  <si>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</si>
  <si>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</si>
  <si>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</si>
  <si>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</si>
  <si>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</si>
  <si>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</si>
  <si>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</si>
  <si>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</si>
  <si>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</si>
  <si>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</si>
  <si>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</si>
  <si>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</si>
  <si>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</si>
  <si>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</si>
  <si>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</si>
  <si>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</si>
  <si>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</si>
  <si>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</si>
  <si>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</si>
  <si>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</si>
  <si>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</si>
  <si>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</si>
  <si>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</si>
  <si>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</si>
  <si>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</si>
  <si>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</si>
  <si>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</si>
  <si>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</si>
  <si>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</si>
  <si>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</si>
  <si>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</si>
  <si>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</si>
  <si>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</si>
  <si>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</si>
  <si>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</si>
  <si>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</si>
  <si>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</si>
  <si>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</si>
  <si>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</si>
  <si>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</si>
  <si>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</si>
  <si>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</si>
  <si>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</si>
  <si>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</si>
  <si>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</si>
  <si>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</si>
  <si>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</si>
  <si>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</si>
  <si>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</si>
  <si>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</si>
  <si>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</si>
  <si>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</si>
  <si>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</si>
  <si>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</si>
  <si>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</si>
  <si>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</si>
  <si>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</si>
  <si>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</si>
  <si>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</si>
  <si>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</si>
  <si>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</si>
  <si>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</si>
  <si>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</si>
  <si>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</si>
  <si>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</si>
  <si>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</si>
  <si>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</si>
  <si>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</si>
  <si>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</si>
  <si>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</si>
  <si>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</si>
  <si>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</si>
  <si>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</si>
  <si>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</si>
  <si>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</si>
  <si>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</si>
  <si>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</si>
  <si>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</si>
  <si>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</si>
  <si>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</si>
  <si>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</si>
  <si>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</si>
  <si>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</si>
  <si>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</si>
  <si>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</si>
  <si>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</si>
  <si>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</si>
  <si>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</si>
  <si>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</si>
  <si>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</si>
  <si>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</si>
  <si>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</si>
  <si>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</si>
  <si>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</si>
  <si>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</si>
  <si>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</si>
  <si>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</si>
  <si>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</si>
  <si>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</si>
  <si>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</si>
  <si>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</si>
  <si>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</si>
  <si>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</si>
  <si>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</si>
  <si>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</si>
  <si>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</si>
  <si>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</si>
  <si>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</si>
  <si>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</si>
  <si>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</si>
  <si>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</si>
  <si>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</si>
  <si>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</si>
  <si>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</si>
  <si>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</si>
  <si>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</si>
  <si>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</si>
  <si>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</si>
  <si>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</si>
  <si>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</si>
  <si>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</si>
  <si>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</si>
  <si>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</si>
  <si>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</si>
  <si>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</si>
  <si>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</si>
  <si>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</si>
  <si>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</si>
  <si>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</si>
  <si>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</si>
  <si>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</si>
  <si>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</si>
  <si>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</si>
  <si>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</si>
  <si>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</si>
  <si>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</si>
  <si>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</si>
  <si>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</si>
  <si>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</si>
  <si>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</si>
  <si>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</si>
  <si>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</si>
  <si>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</si>
  <si>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</si>
  <si>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</si>
  <si>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</si>
  <si>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</si>
  <si>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</si>
  <si>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</si>
  <si>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</si>
  <si>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</si>
  <si>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</si>
  <si>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</si>
  <si>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</si>
  <si>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</si>
  <si>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</si>
  <si>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</si>
  <si>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</si>
  <si>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</si>
  <si>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</si>
  <si>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</si>
  <si>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</si>
  <si>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</si>
  <si>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</si>
  <si>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</si>
  <si>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</si>
  <si>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</si>
  <si>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</si>
  <si>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</si>
  <si>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</si>
  <si>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</si>
  <si>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</si>
  <si>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</si>
  <si>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</si>
  <si>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</si>
  <si>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</si>
  <si>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</si>
  <si>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</si>
  <si>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</si>
  <si>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</si>
  <si>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</si>
  <si>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</si>
  <si>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</si>
  <si>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</si>
  <si>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</si>
  <si>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</si>
  <si>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</si>
  <si>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</si>
  <si>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</si>
  <si>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</si>
  <si>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</si>
  <si>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</si>
  <si>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</si>
  <si>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</si>
  <si>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</si>
  <si>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</si>
  <si>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</si>
  <si>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</si>
  <si>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</si>
  <si>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</si>
  <si>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</si>
  <si>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</si>
  <si>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</si>
  <si>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</si>
  <si>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</si>
  <si>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</si>
  <si>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</si>
  <si>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</si>
  <si>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</si>
  <si>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</si>
  <si>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</si>
  <si>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</si>
  <si>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</si>
  <si>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</si>
  <si>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</si>
  <si>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</si>
  <si>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</si>
  <si>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</si>
  <si>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</si>
  <si>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</si>
  <si>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</si>
  <si>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</si>
  <si>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</si>
  <si>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</si>
  <si>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</si>
  <si>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</si>
  <si>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</si>
  <si>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</si>
  <si>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</si>
  <si>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</si>
  <si>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</si>
  <si>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</si>
  <si>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</si>
  <si>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</si>
  <si>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</si>
  <si>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</si>
  <si>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</si>
  <si>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</si>
  <si>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</si>
  <si>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</si>
  <si>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</si>
  <si>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</si>
  <si>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</si>
  <si>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</si>
  <si>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</si>
  <si>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</si>
  <si>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</si>
  <si>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</si>
  <si>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</si>
  <si>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</si>
  <si>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</si>
  <si>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</si>
  <si>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</si>
  <si>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</si>
  <si>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</si>
  <si>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</si>
  <si>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</si>
  <si>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</si>
  <si>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</si>
  <si>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</si>
  <si>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</si>
  <si>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</si>
  <si>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</si>
  <si>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</si>
  <si>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</si>
  <si>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</si>
  <si>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</si>
  <si>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</si>
  <si>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</si>
  <si>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</si>
  <si>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</si>
  <si>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</si>
  <si>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</si>
  <si>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</si>
  <si>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</si>
  <si>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</si>
  <si>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</si>
  <si>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</si>
  <si>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</si>
  <si>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</si>
  <si>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</si>
  <si>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</si>
  <si>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</si>
  <si>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</si>
  <si>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</si>
  <si>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</si>
  <si>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</si>
  <si>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</si>
  <si>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</si>
  <si>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</si>
  <si>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</si>
  <si>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</si>
  <si>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</si>
  <si>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</si>
  <si>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</si>
  <si>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</si>
  <si>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</si>
  <si>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</si>
  <si>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</si>
  <si>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</si>
  <si>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</si>
  <si>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</si>
  <si>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</si>
  <si>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</si>
  <si>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</si>
  <si>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</si>
  <si>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</si>
  <si>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</si>
  <si>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</si>
  <si>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</si>
  <si>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</si>
  <si>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</si>
  <si>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</si>
  <si>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</si>
  <si>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</si>
  <si>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</si>
  <si>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</si>
  <si>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</si>
  <si>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</si>
  <si>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</si>
  <si>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</si>
  <si>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</si>
  <si>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</si>
  <si>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</si>
  <si>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</si>
  <si>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</si>
  <si>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</si>
  <si>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</si>
  <si>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</si>
  <si>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</si>
  <si>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</si>
  <si>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</si>
  <si>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</si>
  <si>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</si>
  <si>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</si>
  <si>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</si>
  <si>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</si>
  <si>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</si>
  <si>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</si>
  <si>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</si>
  <si>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</si>
  <si>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</si>
  <si>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</si>
  <si>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</si>
  <si>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</si>
  <si>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</si>
  <si>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</si>
  <si>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</si>
  <si>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</si>
  <si>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</si>
  <si>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</si>
  <si>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</si>
  <si>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</si>
  <si>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</si>
  <si>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</si>
  <si>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</si>
  <si>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</si>
  <si>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</si>
  <si>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</si>
  <si>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</si>
  <si>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</si>
  <si>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</si>
  <si>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</si>
  <si>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</si>
  <si>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</si>
  <si>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</si>
  <si>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</si>
  <si>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</si>
  <si>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</si>
  <si>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</si>
  <si>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</si>
  <si>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</si>
  <si>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</si>
  <si>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</si>
  <si>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</si>
  <si>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</si>
  <si>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</si>
  <si>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</si>
  <si>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</si>
  <si>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</si>
  <si>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</si>
  <si>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</si>
  <si>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</si>
  <si>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</si>
  <si>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</si>
  <si>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</si>
  <si>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</si>
  <si>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</si>
  <si>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</si>
  <si>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</si>
  <si>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</si>
  <si>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</si>
  <si>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</si>
  <si>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</si>
  <si>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</si>
  <si>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</si>
  <si>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</si>
  <si>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</si>
  <si>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</si>
  <si>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</si>
  <si>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</si>
  <si>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</si>
  <si>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</si>
  <si>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</si>
  <si>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</si>
  <si>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</si>
  <si>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</si>
  <si>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</si>
  <si>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</si>
  <si>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</si>
  <si>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</si>
  <si>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</si>
  <si>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</si>
  <si>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</si>
  <si>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</si>
  <si>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</si>
  <si>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</si>
  <si>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</si>
  <si>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</si>
  <si>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</si>
  <si>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</si>
  <si>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</si>
  <si>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</si>
  <si>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</si>
  <si>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</si>
  <si>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</si>
  <si>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</si>
  <si>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</si>
  <si>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</si>
  <si>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</si>
  <si>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</si>
  <si>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</si>
  <si>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</si>
  <si>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</si>
  <si>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</si>
  <si>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</si>
  <si>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</si>
  <si>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</si>
  <si>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</si>
  <si>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</si>
  <si>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</si>
  <si>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</si>
  <si>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</si>
  <si>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</si>
  <si>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</si>
  <si>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</si>
  <si>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</si>
  <si>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</si>
  <si>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</si>
  <si>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</si>
  <si>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</si>
  <si>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</si>
  <si>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</si>
  <si>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</si>
  <si>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</si>
  <si>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</si>
  <si>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</si>
  <si>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</si>
  <si>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</si>
  <si>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</si>
  <si>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</si>
  <si>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</si>
  <si>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</si>
  <si>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</si>
  <si>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</si>
  <si>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</si>
  <si>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</si>
  <si>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</si>
  <si>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</si>
  <si>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</si>
  <si>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</si>
  <si>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</si>
  <si>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</si>
  <si>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</si>
  <si>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</si>
  <si>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</si>
  <si>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</si>
  <si>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</si>
  <si>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</si>
  <si>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</si>
  <si>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</si>
  <si>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</si>
  <si>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</si>
  <si>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</si>
  <si>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</si>
  <si>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</si>
  <si>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</si>
  <si>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</si>
  <si>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</si>
  <si>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</si>
  <si>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</si>
  <si>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</si>
  <si>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</si>
  <si>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</si>
  <si>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</si>
  <si>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</si>
  <si>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</si>
  <si>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</si>
  <si>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</si>
  <si>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</si>
  <si>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</si>
  <si>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</si>
  <si>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</si>
  <si>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</si>
  <si>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</si>
  <si>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</si>
  <si>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</si>
  <si>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</si>
  <si>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</si>
  <si>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</si>
  <si>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</si>
  <si>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</si>
  <si>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</si>
  <si>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</si>
  <si>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</si>
  <si>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</si>
  <si>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</si>
  <si>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</si>
  <si>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</si>
  <si>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</si>
  <si>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</si>
  <si>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</si>
  <si>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</si>
  <si>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</si>
  <si>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</si>
  <si>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</si>
  <si>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</si>
  <si>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</si>
  <si>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</si>
  <si>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</si>
  <si>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</si>
  <si>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</si>
  <si>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</si>
  <si>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</si>
  <si>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</si>
  <si>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</si>
  <si>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</si>
  <si>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</si>
  <si>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</si>
  <si>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</si>
  <si>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</si>
  <si>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</si>
  <si>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</si>
  <si>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</si>
  <si>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</si>
  <si>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</si>
  <si>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</si>
  <si>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</si>
  <si>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</si>
  <si>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</si>
  <si>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</si>
  <si>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</si>
  <si>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</si>
  <si>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</si>
  <si>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</si>
  <si>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</si>
  <si>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</si>
  <si>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38008</t>
  </si>
  <si>
    <t>DE_PANNE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</si>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</sst>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80565.514077622473</c:v>
                </c:pt>
                <c:pt idx="1">
                  <c:v>67767.407075225783</c:v>
                </c:pt>
                <c:pt idx="2">
                  <c:v>1542.9490000000001</c:v>
                </c:pt>
                <c:pt idx="3">
                  <c:v>3124.0995038623846</c:v>
                </c:pt>
                <c:pt idx="4">
                  <c:v>3491.5565116862035</c:v>
                </c:pt>
                <c:pt idx="5">
                  <c:v>85999.082166307213</c:v>
                </c:pt>
                <c:pt idx="6">
                  <c:v>959.17299048372672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80565.514077622473</c:v>
                </c:pt>
                <c:pt idx="1">
                  <c:v>67767.407075225783</c:v>
                </c:pt>
                <c:pt idx="2">
                  <c:v>1542.9490000000001</c:v>
                </c:pt>
                <c:pt idx="3">
                  <c:v>3124.0995038623846</c:v>
                </c:pt>
                <c:pt idx="4">
                  <c:v>3491.5565116862035</c:v>
                </c:pt>
                <c:pt idx="5">
                  <c:v>85999.082166307213</c:v>
                </c:pt>
                <c:pt idx="6">
                  <c:v>959.17299048372672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16526.002563778682</c:v>
                </c:pt>
                <c:pt idx="2">
                  <c:v>13953.442568179913</c:v>
                </c:pt>
                <c:pt idx="3">
                  <c:v>332.09807369332088</c:v>
                </c:pt>
                <c:pt idx="4">
                  <c:v>808.1602356743067</c:v>
                </c:pt>
                <c:pt idx="5">
                  <c:v>742.74197477032021</c:v>
                </c:pt>
                <c:pt idx="6">
                  <c:v>21593.43250287111</c:v>
                </c:pt>
                <c:pt idx="7">
                  <c:v>212.60853508307719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16526.002563778682</c:v>
                </c:pt>
                <c:pt idx="2">
                  <c:v>13953.442568179913</c:v>
                </c:pt>
                <c:pt idx="3">
                  <c:v>332.09807369332088</c:v>
                </c:pt>
                <c:pt idx="4">
                  <c:v>808.1602356743067</c:v>
                </c:pt>
                <c:pt idx="5">
                  <c:v>742.74197477032021</c:v>
                </c:pt>
                <c:pt idx="6">
                  <c:v>21593.43250287111</c:v>
                </c:pt>
                <c:pt idx="7">
                  <c:v>212.60853508307719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38008</v>
      </c>
      <c r="B6" s="390"/>
      <c r="C6" s="391"/>
    </row>
    <row r="7" spans="1:7" s="388" customFormat="1" ht="15.75" customHeight="1">
      <c r="A7" s="392" t="str">
        <f>txtMunicipality</f>
        <v>DE_PANNE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0.2152359369579428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0.2152359369579428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5490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1352.33</v>
      </c>
      <c r="C14" s="330"/>
      <c r="D14" s="330"/>
      <c r="E14" s="330"/>
      <c r="F14" s="330"/>
    </row>
    <row r="15" spans="1:6">
      <c r="A15" s="1293" t="s">
        <v>183</v>
      </c>
      <c r="B15" s="1294">
        <v>15</v>
      </c>
      <c r="C15" s="330"/>
      <c r="D15" s="330"/>
      <c r="E15" s="330"/>
      <c r="F15" s="330"/>
    </row>
    <row r="16" spans="1:6">
      <c r="A16" s="1293" t="s">
        <v>6</v>
      </c>
      <c r="B16" s="1294">
        <v>819</v>
      </c>
      <c r="C16" s="330"/>
      <c r="D16" s="330"/>
      <c r="E16" s="330"/>
      <c r="F16" s="330"/>
    </row>
    <row r="17" spans="1:6">
      <c r="A17" s="1293" t="s">
        <v>7</v>
      </c>
      <c r="B17" s="1294">
        <v>67</v>
      </c>
      <c r="C17" s="330"/>
      <c r="D17" s="330"/>
      <c r="E17" s="330"/>
      <c r="F17" s="330"/>
    </row>
    <row r="18" spans="1:6">
      <c r="A18" s="1293" t="s">
        <v>8</v>
      </c>
      <c r="B18" s="1294">
        <v>421</v>
      </c>
      <c r="C18" s="330"/>
      <c r="D18" s="330"/>
      <c r="E18" s="330"/>
      <c r="F18" s="330"/>
    </row>
    <row r="19" spans="1:6">
      <c r="A19" s="1293" t="s">
        <v>9</v>
      </c>
      <c r="B19" s="1294">
        <v>395</v>
      </c>
      <c r="C19" s="330"/>
      <c r="D19" s="330"/>
      <c r="E19" s="330"/>
      <c r="F19" s="330"/>
    </row>
    <row r="20" spans="1:6">
      <c r="A20" s="1293" t="s">
        <v>10</v>
      </c>
      <c r="B20" s="1294">
        <v>238</v>
      </c>
      <c r="C20" s="330"/>
      <c r="D20" s="330"/>
      <c r="E20" s="330"/>
      <c r="F20" s="330"/>
    </row>
    <row r="21" spans="1:6">
      <c r="A21" s="1293" t="s">
        <v>11</v>
      </c>
      <c r="B21" s="1294">
        <v>2357</v>
      </c>
      <c r="C21" s="330"/>
      <c r="D21" s="330"/>
      <c r="E21" s="330"/>
      <c r="F21" s="330"/>
    </row>
    <row r="22" spans="1:6">
      <c r="A22" s="1293" t="s">
        <v>12</v>
      </c>
      <c r="B22" s="1294">
        <v>372</v>
      </c>
      <c r="C22" s="330"/>
      <c r="D22" s="330"/>
      <c r="E22" s="330"/>
      <c r="F22" s="330"/>
    </row>
    <row r="23" spans="1:6">
      <c r="A23" s="1293" t="s">
        <v>13</v>
      </c>
      <c r="B23" s="1294">
        <v>22</v>
      </c>
      <c r="C23" s="330"/>
      <c r="D23" s="330"/>
      <c r="E23" s="330"/>
      <c r="F23" s="330"/>
    </row>
    <row r="24" spans="1:6">
      <c r="A24" s="1293" t="s">
        <v>14</v>
      </c>
      <c r="B24" s="1294">
        <v>5</v>
      </c>
      <c r="C24" s="330"/>
      <c r="D24" s="330"/>
      <c r="E24" s="330"/>
      <c r="F24" s="330"/>
    </row>
    <row r="25" spans="1:6">
      <c r="A25" s="1293" t="s">
        <v>15</v>
      </c>
      <c r="B25" s="1294">
        <v>640</v>
      </c>
      <c r="C25" s="330"/>
      <c r="D25" s="330"/>
      <c r="E25" s="330"/>
      <c r="F25" s="330"/>
    </row>
    <row r="26" spans="1:6">
      <c r="A26" s="1293" t="s">
        <v>16</v>
      </c>
      <c r="B26" s="1294">
        <v>44</v>
      </c>
      <c r="C26" s="330"/>
      <c r="D26" s="330"/>
      <c r="E26" s="330"/>
      <c r="F26" s="330"/>
    </row>
    <row r="27" spans="1:6">
      <c r="A27" s="1293" t="s">
        <v>17</v>
      </c>
      <c r="B27" s="1294">
        <v>0</v>
      </c>
      <c r="C27" s="330"/>
      <c r="D27" s="330"/>
      <c r="E27" s="330"/>
      <c r="F27" s="330"/>
    </row>
    <row r="28" spans="1:6" s="43" customFormat="1">
      <c r="A28" s="1295" t="s">
        <v>18</v>
      </c>
      <c r="B28" s="1296">
        <v>32100</v>
      </c>
      <c r="C28" s="336"/>
      <c r="D28" s="336"/>
      <c r="E28" s="336"/>
      <c r="F28" s="336"/>
    </row>
    <row r="29" spans="1:6">
      <c r="A29" s="1295" t="s">
        <v>734</v>
      </c>
      <c r="B29" s="1296">
        <v>175</v>
      </c>
      <c r="C29" s="336"/>
      <c r="D29" s="336"/>
      <c r="E29" s="336"/>
      <c r="F29" s="336"/>
    </row>
    <row r="30" spans="1:6">
      <c r="A30" s="1288" t="s">
        <v>735</v>
      </c>
      <c r="B30" s="1297">
        <v>105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6</v>
      </c>
      <c r="F36" s="1294">
        <v>19269.541360144802</v>
      </c>
    </row>
    <row r="37" spans="1:6">
      <c r="A37" s="1293" t="s">
        <v>24</v>
      </c>
      <c r="B37" s="1293" t="s">
        <v>27</v>
      </c>
      <c r="C37" s="1294">
        <v>0</v>
      </c>
      <c r="D37" s="1294">
        <v>0</v>
      </c>
      <c r="E37" s="1294">
        <v>0</v>
      </c>
      <c r="F37" s="1294">
        <v>0</v>
      </c>
    </row>
    <row r="38" spans="1:6">
      <c r="A38" s="1293" t="s">
        <v>24</v>
      </c>
      <c r="B38" s="1293" t="s">
        <v>28</v>
      </c>
      <c r="C38" s="1294">
        <v>2</v>
      </c>
      <c r="D38" s="1294">
        <v>532854.69481606002</v>
      </c>
      <c r="E38" s="1294">
        <v>0</v>
      </c>
      <c r="F38" s="1294">
        <v>0</v>
      </c>
    </row>
    <row r="39" spans="1:6">
      <c r="A39" s="1293" t="s">
        <v>29</v>
      </c>
      <c r="B39" s="1293" t="s">
        <v>30</v>
      </c>
      <c r="C39" s="1294">
        <v>5870</v>
      </c>
      <c r="D39" s="1294">
        <v>62961610.1141093</v>
      </c>
      <c r="E39" s="1294">
        <v>10452</v>
      </c>
      <c r="F39" s="1294">
        <v>22131175.9829784</v>
      </c>
    </row>
    <row r="40" spans="1:6">
      <c r="A40" s="1293" t="s">
        <v>29</v>
      </c>
      <c r="B40" s="1293" t="s">
        <v>28</v>
      </c>
      <c r="C40" s="1294">
        <v>2</v>
      </c>
      <c r="D40" s="1294">
        <v>10591.977632865801</v>
      </c>
      <c r="E40" s="1294">
        <v>2</v>
      </c>
      <c r="F40" s="1294">
        <v>1554.9795423124001</v>
      </c>
    </row>
    <row r="41" spans="1:6">
      <c r="A41" s="1293" t="s">
        <v>31</v>
      </c>
      <c r="B41" s="1293" t="s">
        <v>32</v>
      </c>
      <c r="C41" s="1294">
        <v>75</v>
      </c>
      <c r="D41" s="1294">
        <v>673775.94979499001</v>
      </c>
      <c r="E41" s="1294">
        <v>139</v>
      </c>
      <c r="F41" s="1294">
        <v>490834.23082277598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29613.040423650698</v>
      </c>
      <c r="E44" s="1294">
        <v>14</v>
      </c>
      <c r="F44" s="1294">
        <v>111036.83144790601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383330.90653925401</v>
      </c>
      <c r="E48" s="1294">
        <v>23</v>
      </c>
      <c r="F48" s="1294">
        <v>482079.27330117399</v>
      </c>
    </row>
    <row r="49" spans="1:6">
      <c r="A49" s="1293" t="s">
        <v>31</v>
      </c>
      <c r="B49" s="1293" t="s">
        <v>39</v>
      </c>
      <c r="C49" s="1294">
        <v>0</v>
      </c>
      <c r="D49" s="1294">
        <v>0</v>
      </c>
      <c r="E49" s="1294">
        <v>0</v>
      </c>
      <c r="F49" s="1294">
        <v>0</v>
      </c>
    </row>
    <row r="50" spans="1:6">
      <c r="A50" s="1293" t="s">
        <v>31</v>
      </c>
      <c r="B50" s="1293" t="s">
        <v>40</v>
      </c>
      <c r="C50" s="1294">
        <v>8</v>
      </c>
      <c r="D50" s="1294">
        <v>403002.93338782497</v>
      </c>
      <c r="E50" s="1294">
        <v>14</v>
      </c>
      <c r="F50" s="1294">
        <v>279179.94044500898</v>
      </c>
    </row>
    <row r="51" spans="1:6">
      <c r="A51" s="1293" t="s">
        <v>41</v>
      </c>
      <c r="B51" s="1293" t="s">
        <v>42</v>
      </c>
      <c r="C51" s="1294">
        <v>3</v>
      </c>
      <c r="D51" s="1294">
        <v>11049.0647839128</v>
      </c>
      <c r="E51" s="1294">
        <v>26</v>
      </c>
      <c r="F51" s="1294">
        <v>514923.43782931898</v>
      </c>
    </row>
    <row r="52" spans="1:6">
      <c r="A52" s="1293" t="s">
        <v>41</v>
      </c>
      <c r="B52" s="1293" t="s">
        <v>28</v>
      </c>
      <c r="C52" s="1294">
        <v>2</v>
      </c>
      <c r="D52" s="1294">
        <v>34835.5063160633</v>
      </c>
      <c r="E52" s="1294">
        <v>6</v>
      </c>
      <c r="F52" s="1294">
        <v>62339.865869088899</v>
      </c>
    </row>
    <row r="53" spans="1:6">
      <c r="A53" s="1293" t="s">
        <v>43</v>
      </c>
      <c r="B53" s="1293" t="s">
        <v>44</v>
      </c>
      <c r="C53" s="1294">
        <v>995</v>
      </c>
      <c r="D53" s="1294">
        <v>9462354.9059781991</v>
      </c>
      <c r="E53" s="1294">
        <v>2799</v>
      </c>
      <c r="F53" s="1294">
        <v>6217794.1344534401</v>
      </c>
    </row>
    <row r="54" spans="1:6">
      <c r="A54" s="1293" t="s">
        <v>45</v>
      </c>
      <c r="B54" s="1293" t="s">
        <v>46</v>
      </c>
      <c r="C54" s="1294">
        <v>0</v>
      </c>
      <c r="D54" s="1294">
        <v>0</v>
      </c>
      <c r="E54" s="1294">
        <v>1</v>
      </c>
      <c r="F54" s="1294">
        <v>1542949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1403293.4150837399</v>
      </c>
      <c r="E57" s="1294">
        <v>99</v>
      </c>
      <c r="F57" s="1294">
        <v>1710167.2382538</v>
      </c>
    </row>
    <row r="58" spans="1:6">
      <c r="A58" s="1293" t="s">
        <v>48</v>
      </c>
      <c r="B58" s="1293" t="s">
        <v>50</v>
      </c>
      <c r="C58" s="1294">
        <v>24</v>
      </c>
      <c r="D58" s="1294">
        <v>1964536.9597173501</v>
      </c>
      <c r="E58" s="1294">
        <v>42</v>
      </c>
      <c r="F58" s="1294">
        <v>640861.43481064495</v>
      </c>
    </row>
    <row r="59" spans="1:6">
      <c r="A59" s="1293" t="s">
        <v>48</v>
      </c>
      <c r="B59" s="1293" t="s">
        <v>51</v>
      </c>
      <c r="C59" s="1294">
        <v>181</v>
      </c>
      <c r="D59" s="1294">
        <v>3616610.5706700599</v>
      </c>
      <c r="E59" s="1294">
        <v>364</v>
      </c>
      <c r="F59" s="1294">
        <v>6282893.6272333497</v>
      </c>
    </row>
    <row r="60" spans="1:6">
      <c r="A60" s="1293" t="s">
        <v>48</v>
      </c>
      <c r="B60" s="1293" t="s">
        <v>52</v>
      </c>
      <c r="C60" s="1294">
        <v>182</v>
      </c>
      <c r="D60" s="1294">
        <v>10364756.233173801</v>
      </c>
      <c r="E60" s="1294">
        <v>237</v>
      </c>
      <c r="F60" s="1294">
        <v>6449438.8498528898</v>
      </c>
    </row>
    <row r="61" spans="1:6">
      <c r="A61" s="1293" t="s">
        <v>48</v>
      </c>
      <c r="B61" s="1293" t="s">
        <v>53</v>
      </c>
      <c r="C61" s="1294">
        <v>226</v>
      </c>
      <c r="D61" s="1294">
        <v>8382193.0791168902</v>
      </c>
      <c r="E61" s="1294">
        <v>925</v>
      </c>
      <c r="F61" s="1294">
        <v>6748978.9506907202</v>
      </c>
    </row>
    <row r="62" spans="1:6">
      <c r="A62" s="1293" t="s">
        <v>48</v>
      </c>
      <c r="B62" s="1293" t="s">
        <v>54</v>
      </c>
      <c r="C62" s="1294">
        <v>7</v>
      </c>
      <c r="D62" s="1294">
        <v>927850.825668348</v>
      </c>
      <c r="E62" s="1294">
        <v>7</v>
      </c>
      <c r="F62" s="1294">
        <v>123696.657313273</v>
      </c>
    </row>
    <row r="63" spans="1:6">
      <c r="A63" s="1293" t="s">
        <v>48</v>
      </c>
      <c r="B63" s="1293" t="s">
        <v>28</v>
      </c>
      <c r="C63" s="1294">
        <v>80</v>
      </c>
      <c r="D63" s="1294">
        <v>9477119.5975983106</v>
      </c>
      <c r="E63" s="1294">
        <v>80</v>
      </c>
      <c r="F63" s="1294">
        <v>6082955.0528037697</v>
      </c>
    </row>
    <row r="64" spans="1:6">
      <c r="A64" s="1293" t="s">
        <v>55</v>
      </c>
      <c r="B64" s="1293" t="s">
        <v>56</v>
      </c>
      <c r="C64" s="1294">
        <v>0</v>
      </c>
      <c r="D64" s="1294">
        <v>0</v>
      </c>
      <c r="E64" s="1294">
        <v>0</v>
      </c>
      <c r="F64" s="1294">
        <v>0</v>
      </c>
    </row>
    <row r="65" spans="1:6">
      <c r="A65" s="1293" t="s">
        <v>55</v>
      </c>
      <c r="B65" s="1293" t="s">
        <v>28</v>
      </c>
      <c r="C65" s="1294">
        <v>4</v>
      </c>
      <c r="D65" s="1294">
        <v>224867.77929313699</v>
      </c>
      <c r="E65" s="1294">
        <v>1</v>
      </c>
      <c r="F65" s="1294">
        <v>3013.9689182998</v>
      </c>
    </row>
    <row r="66" spans="1:6">
      <c r="A66" s="1293" t="s">
        <v>55</v>
      </c>
      <c r="B66" s="1293" t="s">
        <v>57</v>
      </c>
      <c r="C66" s="1294">
        <v>0</v>
      </c>
      <c r="D66" s="1294">
        <v>0</v>
      </c>
      <c r="E66" s="1294">
        <v>23</v>
      </c>
      <c r="F66" s="1294">
        <v>135269.93601174399</v>
      </c>
    </row>
    <row r="67" spans="1:6">
      <c r="A67" s="1295" t="s">
        <v>55</v>
      </c>
      <c r="B67" s="1295" t="s">
        <v>58</v>
      </c>
      <c r="C67" s="1294">
        <v>0</v>
      </c>
      <c r="D67" s="1294">
        <v>0</v>
      </c>
      <c r="E67" s="1294">
        <v>0</v>
      </c>
      <c r="F67" s="1294">
        <v>0</v>
      </c>
    </row>
    <row r="68" spans="1:6">
      <c r="A68" s="1288" t="s">
        <v>55</v>
      </c>
      <c r="B68" s="1288" t="s">
        <v>59</v>
      </c>
      <c r="C68" s="1297">
        <v>0</v>
      </c>
      <c r="D68" s="1297">
        <v>0</v>
      </c>
      <c r="E68" s="1297">
        <v>17</v>
      </c>
      <c r="F68" s="1297">
        <v>1369036.9121192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26147444</v>
      </c>
      <c r="E73" s="449"/>
      <c r="F73" s="330"/>
    </row>
    <row r="74" spans="1:6">
      <c r="A74" s="1293" t="s">
        <v>63</v>
      </c>
      <c r="B74" s="1293" t="s">
        <v>656</v>
      </c>
      <c r="C74" s="1307" t="s">
        <v>658</v>
      </c>
      <c r="D74" s="1308">
        <v>2474528</v>
      </c>
      <c r="E74" s="449"/>
      <c r="F74" s="330"/>
    </row>
    <row r="75" spans="1:6">
      <c r="A75" s="1293" t="s">
        <v>64</v>
      </c>
      <c r="B75" s="1293" t="s">
        <v>655</v>
      </c>
      <c r="C75" s="1307" t="s">
        <v>659</v>
      </c>
      <c r="D75" s="1308">
        <v>2929911</v>
      </c>
      <c r="E75" s="449"/>
      <c r="F75" s="330"/>
    </row>
    <row r="76" spans="1:6">
      <c r="A76" s="1293" t="s">
        <v>64</v>
      </c>
      <c r="B76" s="1293" t="s">
        <v>656</v>
      </c>
      <c r="C76" s="1307" t="s">
        <v>660</v>
      </c>
      <c r="D76" s="1308">
        <v>222100</v>
      </c>
      <c r="E76" s="449"/>
      <c r="F76" s="330"/>
    </row>
    <row r="77" spans="1:6">
      <c r="A77" s="1293" t="s">
        <v>65</v>
      </c>
      <c r="B77" s="1293" t="s">
        <v>655</v>
      </c>
      <c r="C77" s="1307" t="s">
        <v>661</v>
      </c>
      <c r="D77" s="1308">
        <v>30803477</v>
      </c>
      <c r="E77" s="449"/>
      <c r="F77" s="330"/>
    </row>
    <row r="78" spans="1:6">
      <c r="A78" s="1288" t="s">
        <v>65</v>
      </c>
      <c r="B78" s="1288" t="s">
        <v>656</v>
      </c>
      <c r="C78" s="1288" t="s">
        <v>662</v>
      </c>
      <c r="D78" s="1309">
        <v>14853032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44902</v>
      </c>
      <c r="C83" s="449"/>
      <c r="D83" s="330"/>
      <c r="E83" s="330"/>
      <c r="F83" s="330"/>
    </row>
    <row r="84" spans="1:6">
      <c r="A84" s="1288" t="s">
        <v>336</v>
      </c>
      <c r="B84" s="1309">
        <v>225400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1340.1868283503131</v>
      </c>
      <c r="C91" s="330"/>
      <c r="D91" s="330"/>
      <c r="E91" s="330"/>
      <c r="F91" s="330"/>
    </row>
    <row r="92" spans="1:6">
      <c r="A92" s="1288" t="s">
        <v>68</v>
      </c>
      <c r="B92" s="1289">
        <v>277.60068573870154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3072</v>
      </c>
      <c r="C97" s="330"/>
      <c r="D97" s="330"/>
      <c r="E97" s="330"/>
      <c r="F97" s="330"/>
    </row>
    <row r="98" spans="1:6">
      <c r="A98" s="1293" t="s">
        <v>71</v>
      </c>
      <c r="B98" s="1294">
        <v>3</v>
      </c>
      <c r="C98" s="330"/>
      <c r="D98" s="330"/>
      <c r="E98" s="330"/>
      <c r="F98" s="330"/>
    </row>
    <row r="99" spans="1:6">
      <c r="A99" s="1293" t="s">
        <v>72</v>
      </c>
      <c r="B99" s="1294">
        <v>28</v>
      </c>
      <c r="C99" s="330"/>
      <c r="D99" s="330"/>
      <c r="E99" s="330"/>
      <c r="F99" s="330"/>
    </row>
    <row r="100" spans="1:6">
      <c r="A100" s="1293" t="s">
        <v>73</v>
      </c>
      <c r="B100" s="1294">
        <v>564</v>
      </c>
      <c r="C100" s="330"/>
      <c r="D100" s="330"/>
      <c r="E100" s="330"/>
      <c r="F100" s="330"/>
    </row>
    <row r="101" spans="1:6">
      <c r="A101" s="1293" t="s">
        <v>74</v>
      </c>
      <c r="B101" s="1294">
        <v>30</v>
      </c>
      <c r="C101" s="330"/>
      <c r="D101" s="330"/>
      <c r="E101" s="330"/>
      <c r="F101" s="330"/>
    </row>
    <row r="102" spans="1:6">
      <c r="A102" s="1293" t="s">
        <v>75</v>
      </c>
      <c r="B102" s="1294">
        <v>111</v>
      </c>
      <c r="C102" s="330"/>
      <c r="D102" s="330"/>
      <c r="E102" s="330"/>
      <c r="F102" s="330"/>
    </row>
    <row r="103" spans="1:6">
      <c r="A103" s="1293" t="s">
        <v>76</v>
      </c>
      <c r="B103" s="1294">
        <v>65</v>
      </c>
      <c r="C103" s="330"/>
      <c r="D103" s="330"/>
      <c r="E103" s="330"/>
      <c r="F103" s="330"/>
    </row>
    <row r="104" spans="1:6">
      <c r="A104" s="1293" t="s">
        <v>77</v>
      </c>
      <c r="B104" s="1294">
        <v>657</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78</v>
      </c>
      <c r="C129" s="330"/>
      <c r="D129" s="330"/>
      <c r="E129" s="330"/>
      <c r="F129" s="330"/>
    </row>
    <row r="130" spans="1:6">
      <c r="A130" s="1293" t="s">
        <v>294</v>
      </c>
      <c r="B130" s="1294">
        <v>5</v>
      </c>
      <c r="C130" s="330"/>
      <c r="D130" s="330"/>
      <c r="E130" s="330"/>
      <c r="F130" s="330"/>
    </row>
    <row r="131" spans="1:6">
      <c r="A131" s="1293" t="s">
        <v>295</v>
      </c>
      <c r="B131" s="1294">
        <v>0</v>
      </c>
      <c r="C131" s="330"/>
      <c r="D131" s="330"/>
      <c r="E131" s="330"/>
      <c r="F131" s="330"/>
    </row>
    <row r="132" spans="1:6">
      <c r="A132" s="1288" t="s">
        <v>296</v>
      </c>
      <c r="B132" s="1289">
        <v>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62027.607610285435</v>
      </c>
      <c r="C3" s="43" t="s">
        <v>169</v>
      </c>
      <c r="D3" s="43"/>
      <c r="E3" s="154"/>
      <c r="F3" s="43"/>
      <c r="G3" s="43"/>
      <c r="H3" s="43"/>
      <c r="I3" s="43"/>
      <c r="J3" s="43"/>
      <c r="K3" s="96"/>
    </row>
    <row r="4" spans="1:11">
      <c r="A4" s="358" t="s">
        <v>170</v>
      </c>
      <c r="B4" s="49">
        <f>IF(ISERROR('SEAP template'!B78+'SEAP template'!C78),0,'SEAP template'!B78+'SEAP template'!C78)</f>
        <v>1617.7875140890146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0.2152359369579428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1542.9490000000001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1542.9490000000001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0.2152359369579428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332.09807369332088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22132.730962520713</v>
      </c>
      <c r="C5" s="17">
        <f>IF(ISERROR('Eigen informatie GS &amp; warmtenet'!B57),0,'Eigen informatie GS &amp; warmtenet'!B57)</f>
        <v>0</v>
      </c>
      <c r="D5" s="30">
        <f>(SUM(HH_hh_gas_kWh,HH_rest_gas_kWh)/1000)*0.902</f>
        <v>56800.926286751441</v>
      </c>
      <c r="E5" s="17">
        <f>B46*B57</f>
        <v>0</v>
      </c>
      <c r="F5" s="17">
        <f>B51*B62</f>
        <v>0</v>
      </c>
      <c r="G5" s="18"/>
      <c r="H5" s="17"/>
      <c r="I5" s="17"/>
      <c r="J5" s="17">
        <f>B50*B61+C50*C61</f>
        <v>0</v>
      </c>
      <c r="K5" s="17"/>
      <c r="L5" s="17"/>
      <c r="M5" s="17"/>
      <c r="N5" s="17">
        <f>B48*B59+C48*C59</f>
        <v>0</v>
      </c>
      <c r="O5" s="17">
        <f>B69*B70*B71</f>
        <v>139.13666666666668</v>
      </c>
      <c r="P5" s="17">
        <f>B77*B78*B79/1000-B77*B78*B79/1000/B80</f>
        <v>152.53333333333333</v>
      </c>
    </row>
    <row r="6" spans="1:16">
      <c r="A6" s="16" t="s">
        <v>620</v>
      </c>
      <c r="B6" s="762">
        <f>kWh_PV_kleiner_dan_10kW</f>
        <v>1340.1868283503131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23472.917790871026</v>
      </c>
      <c r="C8" s="21">
        <f>C5</f>
        <v>0</v>
      </c>
      <c r="D8" s="21">
        <f>D5</f>
        <v>56800.926286751441</v>
      </c>
      <c r="E8" s="21">
        <f>E5</f>
        <v>0</v>
      </c>
      <c r="F8" s="21">
        <f>F5</f>
        <v>0</v>
      </c>
      <c r="G8" s="21"/>
      <c r="H8" s="21"/>
      <c r="I8" s="21"/>
      <c r="J8" s="21">
        <f>J5</f>
        <v>0</v>
      </c>
      <c r="K8" s="21"/>
      <c r="L8" s="21">
        <f>L5</f>
        <v>0</v>
      </c>
      <c r="M8" s="21">
        <f>M5</f>
        <v>0</v>
      </c>
      <c r="N8" s="21">
        <f>N5</f>
        <v>0</v>
      </c>
      <c r="O8" s="21">
        <f>O5</f>
        <v>139.13666666666668</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0.2152359369579428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5052.2154538548903</v>
      </c>
      <c r="C12" s="23">
        <f ca="1">C10*C8</f>
        <v>0</v>
      </c>
      <c r="D12" s="23">
        <f>D8*D10</f>
        <v>11473.787109923791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5490</v>
      </c>
      <c r="C28" s="36"/>
      <c r="D28" s="228"/>
    </row>
    <row r="29" spans="1:7" s="15" customFormat="1">
      <c r="A29" s="230" t="s">
        <v>781</v>
      </c>
      <c r="B29" s="37">
        <f>SUM(HH_hh_gas_aantal,HH_rest_gas_aantal)</f>
        <v>5872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5872</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5872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28038.991810958451</v>
      </c>
      <c r="C5" s="17">
        <f>IF(ISERROR('Eigen informatie GS &amp; warmtenet'!B58),0,'Eigen informatie GS &amp; warmtenet'!B58)</f>
        <v>0</v>
      </c>
      <c r="D5" s="30">
        <f>SUM(D6:D12)</f>
        <v>32594.997334287706</v>
      </c>
      <c r="E5" s="17">
        <f>SUM(E6:E12)</f>
        <v>399.75996188034713</v>
      </c>
      <c r="F5" s="17">
        <f>SUM(F6:F12)</f>
        <v>4657.2680383719808</v>
      </c>
      <c r="G5" s="18"/>
      <c r="H5" s="17"/>
      <c r="I5" s="17"/>
      <c r="J5" s="17">
        <f>SUM(J6:J12)</f>
        <v>5.1851056244987342E-2</v>
      </c>
      <c r="K5" s="17"/>
      <c r="L5" s="17"/>
      <c r="M5" s="17"/>
      <c r="N5" s="17">
        <f>SUM(N6:N12)</f>
        <v>2068.5214120043756</v>
      </c>
      <c r="O5" s="17">
        <f>B38*B39*B40</f>
        <v>7.8166666666666664</v>
      </c>
      <c r="P5" s="17">
        <f>B46*B47*B48/1000-B46*B47*B48/1000/B49</f>
        <v>0</v>
      </c>
      <c r="R5" s="32"/>
    </row>
    <row r="6" spans="1:18">
      <c r="A6" s="32" t="s">
        <v>53</v>
      </c>
      <c r="B6" s="37">
        <f>B26</f>
        <v>6748.97895069072</v>
      </c>
      <c r="C6" s="33"/>
      <c r="D6" s="37">
        <f>IF(ISERROR(TER_kantoor_gas_kWh/1000),0,TER_kantoor_gas_kWh/1000)*0.902</f>
        <v>7560.7381573634357</v>
      </c>
      <c r="E6" s="33">
        <f>$C$26*'E Balans VL '!I12/100/3.6*1000000</f>
        <v>4.2300355387696442E-2</v>
      </c>
      <c r="F6" s="33">
        <f>$C$26*('E Balans VL '!L12+'E Balans VL '!N12)/100/3.6*1000000</f>
        <v>1014.1829518309237</v>
      </c>
      <c r="G6" s="34"/>
      <c r="H6" s="33"/>
      <c r="I6" s="33"/>
      <c r="J6" s="33">
        <f>$C$26*('E Balans VL '!D12+'E Balans VL '!E12)/100/3.6*1000000</f>
        <v>0</v>
      </c>
      <c r="K6" s="33"/>
      <c r="L6" s="33"/>
      <c r="M6" s="33"/>
      <c r="N6" s="33">
        <f>$C$26*'E Balans VL '!Y12/100/3.6*1000000</f>
        <v>6.454397720391178</v>
      </c>
      <c r="O6" s="33"/>
      <c r="P6" s="33"/>
      <c r="R6" s="32"/>
    </row>
    <row r="7" spans="1:18">
      <c r="A7" s="32" t="s">
        <v>52</v>
      </c>
      <c r="B7" s="37">
        <f t="shared" ref="B7:B12" si="0">B27</f>
        <v>6449.4388498528897</v>
      </c>
      <c r="C7" s="33"/>
      <c r="D7" s="37">
        <f>IF(ISERROR(TER_horeca_gas_kWh/1000),0,TER_horeca_gas_kWh/1000)*0.902</f>
        <v>9349.0101223227684</v>
      </c>
      <c r="E7" s="33">
        <f>$C$27*'E Balans VL '!I9/100/3.6*1000000</f>
        <v>92.354890058457357</v>
      </c>
      <c r="F7" s="33">
        <f>$C$27*('E Balans VL '!L9+'E Balans VL '!N9)/100/3.6*1000000</f>
        <v>816.71166907950692</v>
      </c>
      <c r="G7" s="34"/>
      <c r="H7" s="33"/>
      <c r="I7" s="33"/>
      <c r="J7" s="33">
        <f>$C$27*('E Balans VL '!D9+'E Balans VL '!E9)/100/3.6*1000000</f>
        <v>0</v>
      </c>
      <c r="K7" s="33"/>
      <c r="L7" s="33"/>
      <c r="M7" s="33"/>
      <c r="N7" s="33">
        <f>$C$27*'E Balans VL '!Y9/100/3.6*1000000</f>
        <v>1.8540714714122881</v>
      </c>
      <c r="O7" s="33"/>
      <c r="P7" s="33"/>
      <c r="R7" s="32"/>
    </row>
    <row r="8" spans="1:18">
      <c r="A8" s="6" t="s">
        <v>51</v>
      </c>
      <c r="B8" s="37">
        <f t="shared" si="0"/>
        <v>6282.8936272333494</v>
      </c>
      <c r="C8" s="33"/>
      <c r="D8" s="37">
        <f>IF(ISERROR(TER_handel_gas_kWh/1000),0,TER_handel_gas_kWh/1000)*0.902</f>
        <v>3262.1827347443941</v>
      </c>
      <c r="E8" s="33">
        <f>$C$28*'E Balans VL '!I13/100/3.6*1000000</f>
        <v>227.87977708802242</v>
      </c>
      <c r="F8" s="33">
        <f>$C$28*('E Balans VL '!L13+'E Balans VL '!N13)/100/3.6*1000000</f>
        <v>1210.1489309478466</v>
      </c>
      <c r="G8" s="34"/>
      <c r="H8" s="33"/>
      <c r="I8" s="33"/>
      <c r="J8" s="33">
        <f>$C$28*('E Balans VL '!D13+'E Balans VL '!E13)/100/3.6*1000000</f>
        <v>0</v>
      </c>
      <c r="K8" s="33"/>
      <c r="L8" s="33"/>
      <c r="M8" s="33"/>
      <c r="N8" s="33">
        <f>$C$28*'E Balans VL '!Y13/100/3.6*1000000</f>
        <v>8.7032533030686778</v>
      </c>
      <c r="O8" s="33"/>
      <c r="P8" s="33"/>
      <c r="R8" s="32"/>
    </row>
    <row r="9" spans="1:18">
      <c r="A9" s="32" t="s">
        <v>50</v>
      </c>
      <c r="B9" s="37">
        <f t="shared" si="0"/>
        <v>640.86143481064494</v>
      </c>
      <c r="C9" s="33"/>
      <c r="D9" s="37">
        <f>IF(ISERROR(TER_gezond_gas_kWh/1000),0,TER_gezond_gas_kWh/1000)*0.902</f>
        <v>1772.0123376650499</v>
      </c>
      <c r="E9" s="33">
        <f>$C$29*'E Balans VL '!I10/100/3.6*1000000</f>
        <v>4.0124253182710796E-2</v>
      </c>
      <c r="F9" s="33">
        <f>$C$29*('E Balans VL '!L10+'E Balans VL '!N10)/100/3.6*1000000</f>
        <v>95.201917378364286</v>
      </c>
      <c r="G9" s="34"/>
      <c r="H9" s="33"/>
      <c r="I9" s="33"/>
      <c r="J9" s="33">
        <f>$C$29*('E Balans VL '!D10+'E Balans VL '!E10)/100/3.6*1000000</f>
        <v>0</v>
      </c>
      <c r="K9" s="33"/>
      <c r="L9" s="33"/>
      <c r="M9" s="33"/>
      <c r="N9" s="33">
        <f>$C$29*'E Balans VL '!Y10/100/3.6*1000000</f>
        <v>9.9129065114936061</v>
      </c>
      <c r="O9" s="33"/>
      <c r="P9" s="33"/>
      <c r="R9" s="32"/>
    </row>
    <row r="10" spans="1:18">
      <c r="A10" s="32" t="s">
        <v>49</v>
      </c>
      <c r="B10" s="37">
        <f t="shared" si="0"/>
        <v>1710.1672382538</v>
      </c>
      <c r="C10" s="33"/>
      <c r="D10" s="37">
        <f>IF(ISERROR(TER_ander_gas_kWh/1000),0,TER_ander_gas_kWh/1000)*0.902</f>
        <v>1265.7706604055336</v>
      </c>
      <c r="E10" s="33">
        <f>$C$30*'E Balans VL '!I14/100/3.6*1000000</f>
        <v>2.0384582369473869</v>
      </c>
      <c r="F10" s="33">
        <f>$C$30*('E Balans VL '!L14+'E Balans VL '!N14)/100/3.6*1000000</f>
        <v>447.45577759112376</v>
      </c>
      <c r="G10" s="34"/>
      <c r="H10" s="33"/>
      <c r="I10" s="33"/>
      <c r="J10" s="33">
        <f>$C$30*('E Balans VL '!D14+'E Balans VL '!E14)/100/3.6*1000000</f>
        <v>3.7121027072017518E-2</v>
      </c>
      <c r="K10" s="33"/>
      <c r="L10" s="33"/>
      <c r="M10" s="33"/>
      <c r="N10" s="33">
        <f>$C$30*'E Balans VL '!Y14/100/3.6*1000000</f>
        <v>1452.2321715218482</v>
      </c>
      <c r="O10" s="33"/>
      <c r="P10" s="33"/>
      <c r="R10" s="32"/>
    </row>
    <row r="11" spans="1:18">
      <c r="A11" s="32" t="s">
        <v>54</v>
      </c>
      <c r="B11" s="37">
        <f t="shared" si="0"/>
        <v>123.69665731327299</v>
      </c>
      <c r="C11" s="33"/>
      <c r="D11" s="37">
        <f>IF(ISERROR(TER_onderwijs_gas_kWh/1000),0,TER_onderwijs_gas_kWh/1000)*0.902</f>
        <v>836.92144475284988</v>
      </c>
      <c r="E11" s="33">
        <f>$C$31*'E Balans VL '!I11/100/3.6*1000000</f>
        <v>1.8663833264457375</v>
      </c>
      <c r="F11" s="33">
        <f>$C$31*('E Balans VL '!L11+'E Balans VL '!N11)/100/3.6*1000000</f>
        <v>21.673630474174711</v>
      </c>
      <c r="G11" s="34"/>
      <c r="H11" s="33"/>
      <c r="I11" s="33"/>
      <c r="J11" s="33">
        <f>$C$31*('E Balans VL '!D11+'E Balans VL '!E11)/100/3.6*1000000</f>
        <v>0</v>
      </c>
      <c r="K11" s="33"/>
      <c r="L11" s="33"/>
      <c r="M11" s="33"/>
      <c r="N11" s="33">
        <f>$C$31*'E Balans VL '!Y11/100/3.6*1000000</f>
        <v>0.34809179745755264</v>
      </c>
      <c r="O11" s="33"/>
      <c r="P11" s="33"/>
      <c r="R11" s="32"/>
    </row>
    <row r="12" spans="1:18">
      <c r="A12" s="32" t="s">
        <v>259</v>
      </c>
      <c r="B12" s="37">
        <f t="shared" si="0"/>
        <v>6082.9550528037698</v>
      </c>
      <c r="C12" s="33"/>
      <c r="D12" s="37">
        <f>IF(ISERROR(TER_rest_gas_kWh/1000),0,TER_rest_gas_kWh/1000)*0.902</f>
        <v>8548.3618770336761</v>
      </c>
      <c r="E12" s="33">
        <f>$C$32*'E Balans VL '!I8/100/3.6*1000000</f>
        <v>75.538028561903857</v>
      </c>
      <c r="F12" s="33">
        <f>$C$32*('E Balans VL '!L8+'E Balans VL '!N8)/100/3.6*1000000</f>
        <v>1051.8931610700406</v>
      </c>
      <c r="G12" s="34"/>
      <c r="H12" s="33"/>
      <c r="I12" s="33"/>
      <c r="J12" s="33">
        <f>$C$32*('E Balans VL '!D8+'E Balans VL '!E8)/100/3.6*1000000</f>
        <v>1.4730029172969823E-2</v>
      </c>
      <c r="K12" s="33"/>
      <c r="L12" s="33"/>
      <c r="M12" s="33"/>
      <c r="N12" s="33">
        <f>$C$32*'E Balans VL '!Y8/100/3.6*1000000</f>
        <v>589.01651967870453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28038.991810958451</v>
      </c>
      <c r="C16" s="21">
        <f t="shared" ca="1" si="1"/>
        <v>0</v>
      </c>
      <c r="D16" s="21">
        <f t="shared" ca="1" si="1"/>
        <v>32594.997334287706</v>
      </c>
      <c r="E16" s="21">
        <f t="shared" si="1"/>
        <v>399.75996188034713</v>
      </c>
      <c r="F16" s="21">
        <f t="shared" ca="1" si="1"/>
        <v>4657.2680383719808</v>
      </c>
      <c r="G16" s="21">
        <f t="shared" si="1"/>
        <v>0</v>
      </c>
      <c r="H16" s="21">
        <f t="shared" si="1"/>
        <v>0</v>
      </c>
      <c r="I16" s="21">
        <f t="shared" si="1"/>
        <v>0</v>
      </c>
      <c r="J16" s="21">
        <f t="shared" si="1"/>
        <v>5.1851056244987342E-2</v>
      </c>
      <c r="K16" s="21">
        <f t="shared" si="1"/>
        <v>0</v>
      </c>
      <c r="L16" s="21">
        <f t="shared" ca="1" si="1"/>
        <v>0</v>
      </c>
      <c r="M16" s="21">
        <f t="shared" si="1"/>
        <v>0</v>
      </c>
      <c r="N16" s="21">
        <f t="shared" ca="1" si="1"/>
        <v>2068.5214120043756</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0.2152359369579428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6034.9986737877271</v>
      </c>
      <c r="C20" s="23">
        <f t="shared" ref="C20:P20" ca="1" si="2">C16*C18</f>
        <v>0</v>
      </c>
      <c r="D20" s="23">
        <f t="shared" ca="1" si="2"/>
        <v>6584.1894615261172</v>
      </c>
      <c r="E20" s="23">
        <f t="shared" si="2"/>
        <v>90.745511346838796</v>
      </c>
      <c r="F20" s="23">
        <f t="shared" ca="1" si="2"/>
        <v>1243.4905662453189</v>
      </c>
      <c r="G20" s="23">
        <f t="shared" si="2"/>
        <v>0</v>
      </c>
      <c r="H20" s="23">
        <f t="shared" si="2"/>
        <v>0</v>
      </c>
      <c r="I20" s="23">
        <f t="shared" si="2"/>
        <v>0</v>
      </c>
      <c r="J20" s="23">
        <f t="shared" si="2"/>
        <v>1.8355273910725518E-2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6748.97895069072</v>
      </c>
      <c r="C26" s="39">
        <f>IF(ISERROR(B26*3.6/1000000/'E Balans VL '!Z12*100),0,B26*3.6/1000000/'E Balans VL '!Z12*100)</f>
        <v>0.14266272377135777</v>
      </c>
      <c r="D26" s="237" t="s">
        <v>744</v>
      </c>
      <c r="F26" s="6"/>
    </row>
    <row r="27" spans="1:18">
      <c r="A27" s="231" t="s">
        <v>52</v>
      </c>
      <c r="B27" s="33">
        <f>IF(ISERROR(TER_horeca_ele_kWh/1000),0,TER_horeca_ele_kWh/1000)</f>
        <v>6449.4388498528897</v>
      </c>
      <c r="C27" s="39">
        <f>IF(ISERROR(B27*3.6/1000000/'E Balans VL '!Z9*100),0,B27*3.6/1000000/'E Balans VL '!Z9*100)</f>
        <v>0.50840686070532404</v>
      </c>
      <c r="D27" s="237" t="s">
        <v>744</v>
      </c>
      <c r="F27" s="6"/>
    </row>
    <row r="28" spans="1:18">
      <c r="A28" s="171" t="s">
        <v>51</v>
      </c>
      <c r="B28" s="33">
        <f>IF(ISERROR(TER_handel_ele_kWh/1000),0,TER_handel_ele_kWh/1000)</f>
        <v>6282.8936272333494</v>
      </c>
      <c r="C28" s="39">
        <f>IF(ISERROR(B28*3.6/1000000/'E Balans VL '!Z13*100),0,B28*3.6/1000000/'E Balans VL '!Z13*100)</f>
        <v>0.18235495879719238</v>
      </c>
      <c r="D28" s="237" t="s">
        <v>744</v>
      </c>
      <c r="F28" s="6"/>
    </row>
    <row r="29" spans="1:18">
      <c r="A29" s="231" t="s">
        <v>50</v>
      </c>
      <c r="B29" s="33">
        <f>IF(ISERROR(TER_gezond_ele_kWh/1000),0,TER_gezond_ele_kWh/1000)</f>
        <v>640.86143481064494</v>
      </c>
      <c r="C29" s="39">
        <f>IF(ISERROR(B29*3.6/1000000/'E Balans VL '!Z10*100),0,B29*3.6/1000000/'E Balans VL '!Z10*100)</f>
        <v>6.7493232308092899E-2</v>
      </c>
      <c r="D29" s="237" t="s">
        <v>744</v>
      </c>
      <c r="F29" s="6"/>
    </row>
    <row r="30" spans="1:18">
      <c r="A30" s="231" t="s">
        <v>49</v>
      </c>
      <c r="B30" s="33">
        <f>IF(ISERROR(TER_ander_ele_kWh/1000),0,TER_ander_ele_kWh/1000)</f>
        <v>1710.1672382538</v>
      </c>
      <c r="C30" s="39">
        <f>IF(ISERROR(B30*3.6/1000000/'E Balans VL '!Z14*100),0,B30*3.6/1000000/'E Balans VL '!Z14*100)</f>
        <v>0.12614230694007672</v>
      </c>
      <c r="D30" s="237" t="s">
        <v>744</v>
      </c>
      <c r="F30" s="6"/>
    </row>
    <row r="31" spans="1:18">
      <c r="A31" s="231" t="s">
        <v>54</v>
      </c>
      <c r="B31" s="33">
        <f>IF(ISERROR(TER_onderwijs_ele_kWh/1000),0,TER_onderwijs_ele_kWh/1000)</f>
        <v>123.69665731327299</v>
      </c>
      <c r="C31" s="39">
        <f>IF(ISERROR(B31*3.6/1000000/'E Balans VL '!Z11*100),0,B31*3.6/1000000/'E Balans VL '!Z11*100)</f>
        <v>3.0719674303552068E-2</v>
      </c>
      <c r="D31" s="237" t="s">
        <v>744</v>
      </c>
    </row>
    <row r="32" spans="1:18">
      <c r="A32" s="231" t="s">
        <v>259</v>
      </c>
      <c r="B32" s="33">
        <f>IF(ISERROR(TER_rest_ele_kWh/1000),0,TER_rest_ele_kWh/1000)</f>
        <v>6082.9550528037698</v>
      </c>
      <c r="C32" s="39">
        <f>IF(ISERROR(B32*3.6/1000000/'E Balans VL '!Z8*100),0,B32*3.6/1000000/'E Balans VL '!Z8*100)</f>
        <v>5.0054645782516539E-2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1363.1302760168649</v>
      </c>
      <c r="C5" s="17">
        <f>IF(ISERROR('Eigen informatie GS &amp; warmtenet'!B59),0,'Eigen informatie GS &amp; warmtenet'!B59)</f>
        <v>0</v>
      </c>
      <c r="D5" s="30">
        <f>SUM(D6:D15)</f>
        <v>1343.7299927914391</v>
      </c>
      <c r="E5" s="17">
        <f>SUM(E6:E15)</f>
        <v>171.71034784150936</v>
      </c>
      <c r="F5" s="17">
        <f>SUM(F6:F15)</f>
        <v>518.07003615239717</v>
      </c>
      <c r="G5" s="18"/>
      <c r="H5" s="17"/>
      <c r="I5" s="17"/>
      <c r="J5" s="17">
        <f>SUM(J6:J15)</f>
        <v>1.7258346313781889</v>
      </c>
      <c r="K5" s="17"/>
      <c r="L5" s="17"/>
      <c r="M5" s="17"/>
      <c r="N5" s="17">
        <f>SUM(N6:N15)</f>
        <v>93.190024252614876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111.03683144790601</v>
      </c>
      <c r="C8" s="33"/>
      <c r="D8" s="37">
        <f>IF( ISERROR(IND_metaal_Gas_kWH/1000),0,IND_metaal_Gas_kWH/1000)*0.902</f>
        <v>26.71096246213293</v>
      </c>
      <c r="E8" s="33">
        <f>C30*'E Balans VL '!I18/100/3.6*1000000</f>
        <v>1.0208764247718241</v>
      </c>
      <c r="F8" s="33">
        <f>C30*'E Balans VL '!L18/100/3.6*1000000+C30*'E Balans VL '!N18/100/3.6*1000000</f>
        <v>10.411557999488618</v>
      </c>
      <c r="G8" s="34"/>
      <c r="H8" s="33"/>
      <c r="I8" s="33"/>
      <c r="J8" s="40">
        <f>C30*'E Balans VL '!D18/100/3.6*1000000+C30*'E Balans VL '!E18/100/3.6*1000000</f>
        <v>0</v>
      </c>
      <c r="K8" s="33"/>
      <c r="L8" s="33"/>
      <c r="M8" s="33"/>
      <c r="N8" s="33">
        <f>C30*'E Balans VL '!Y18/100/3.6*1000000</f>
        <v>1.5841238966955593</v>
      </c>
      <c r="O8" s="33"/>
      <c r="P8" s="33"/>
      <c r="R8" s="32"/>
    </row>
    <row r="9" spans="1:18">
      <c r="A9" s="6" t="s">
        <v>32</v>
      </c>
      <c r="B9" s="37">
        <f t="shared" si="0"/>
        <v>490.83423082277596</v>
      </c>
      <c r="C9" s="33"/>
      <c r="D9" s="37">
        <f>IF( ISERROR(IND_andere_gas_kWh/1000),0,IND_andere_gas_kWh/1000)*0.902</f>
        <v>607.74590671508099</v>
      </c>
      <c r="E9" s="33">
        <f>C31*'E Balans VL '!I19/100/3.6*1000000</f>
        <v>143.48040108491679</v>
      </c>
      <c r="F9" s="33">
        <f>C31*'E Balans VL '!L19/100/3.6*1000000+C31*'E Balans VL '!N19/100/3.6*1000000</f>
        <v>394.42245720356027</v>
      </c>
      <c r="G9" s="34"/>
      <c r="H9" s="33"/>
      <c r="I9" s="33"/>
      <c r="J9" s="40">
        <f>C31*'E Balans VL '!D19/100/3.6*1000000+C31*'E Balans VL '!E19/100/3.6*1000000</f>
        <v>0</v>
      </c>
      <c r="K9" s="33"/>
      <c r="L9" s="33"/>
      <c r="M9" s="33"/>
      <c r="N9" s="33">
        <f>C31*'E Balans VL '!Y19/100/3.6*1000000</f>
        <v>38.500370429965841</v>
      </c>
      <c r="O9" s="33"/>
      <c r="P9" s="33"/>
      <c r="R9" s="32"/>
    </row>
    <row r="10" spans="1:18">
      <c r="A10" s="6" t="s">
        <v>40</v>
      </c>
      <c r="B10" s="37">
        <f t="shared" si="0"/>
        <v>279.17994044500898</v>
      </c>
      <c r="C10" s="33"/>
      <c r="D10" s="37">
        <f>IF( ISERROR(IND_voed_gas_kWh/1000),0,IND_voed_gas_kWh/1000)*0.902</f>
        <v>363.50864591581814</v>
      </c>
      <c r="E10" s="33">
        <f>C32*'E Balans VL '!I20/100/3.6*1000000</f>
        <v>0.59060949274766206</v>
      </c>
      <c r="F10" s="33">
        <f>C32*'E Balans VL '!L20/100/3.6*1000000+C32*'E Balans VL '!N20/100/3.6*1000000</f>
        <v>17.750545787440238</v>
      </c>
      <c r="G10" s="34"/>
      <c r="H10" s="33"/>
      <c r="I10" s="33"/>
      <c r="J10" s="40">
        <f>C32*'E Balans VL '!D20/100/3.6*1000000+C32*'E Balans VL '!E20/100/3.6*1000000</f>
        <v>0</v>
      </c>
      <c r="K10" s="33"/>
      <c r="L10" s="33"/>
      <c r="M10" s="33"/>
      <c r="N10" s="33">
        <f>C32*'E Balans VL '!Y20/100/3.6*1000000</f>
        <v>19.266170905675569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482.079273301174</v>
      </c>
      <c r="C15" s="33"/>
      <c r="D15" s="37">
        <f>IF( ISERROR(IND_rest_gas_kWh/1000),0,IND_rest_gas_kWh/1000)*0.902</f>
        <v>345.76447769840712</v>
      </c>
      <c r="E15" s="33">
        <f>C37*'E Balans VL '!I15/100/3.6*1000000</f>
        <v>26.618460839073087</v>
      </c>
      <c r="F15" s="33">
        <f>C37*'E Balans VL '!L15/100/3.6*1000000+C37*'E Balans VL '!N15/100/3.6*1000000</f>
        <v>95.485475161908042</v>
      </c>
      <c r="G15" s="34"/>
      <c r="H15" s="33"/>
      <c r="I15" s="33"/>
      <c r="J15" s="40">
        <f>C37*'E Balans VL '!D15/100/3.6*1000000+C37*'E Balans VL '!E15/100/3.6*1000000</f>
        <v>1.7258346313781889</v>
      </c>
      <c r="K15" s="33"/>
      <c r="L15" s="33"/>
      <c r="M15" s="33"/>
      <c r="N15" s="33">
        <f>C37*'E Balans VL '!Y15/100/3.6*1000000</f>
        <v>33.839359020277904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1363.1302760168649</v>
      </c>
      <c r="C18" s="21">
        <f>C5+C16</f>
        <v>0</v>
      </c>
      <c r="D18" s="21">
        <f>MAX((D5+D16),0)</f>
        <v>1343.7299927914391</v>
      </c>
      <c r="E18" s="21">
        <f>MAX((E5+E16),0)</f>
        <v>171.71034784150936</v>
      </c>
      <c r="F18" s="21">
        <f>MAX((F5+F16),0)</f>
        <v>518.07003615239717</v>
      </c>
      <c r="G18" s="21"/>
      <c r="H18" s="21"/>
      <c r="I18" s="21"/>
      <c r="J18" s="21">
        <f>MAX((J5+J16),0)</f>
        <v>1.7258346313781889</v>
      </c>
      <c r="K18" s="21"/>
      <c r="L18" s="21">
        <f>MAX((L5+L16),0)</f>
        <v>0</v>
      </c>
      <c r="M18" s="21"/>
      <c r="N18" s="21">
        <f>MAX((N5+N16),0)</f>
        <v>93.190024252614876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0.2152359369579428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293.39462215422907</v>
      </c>
      <c r="C22" s="23">
        <f ca="1">C18*C20</f>
        <v>0</v>
      </c>
      <c r="D22" s="23">
        <f>D18*D20</f>
        <v>271.4334585438707</v>
      </c>
      <c r="E22" s="23">
        <f>E18*E20</f>
        <v>38.978248960022626</v>
      </c>
      <c r="F22" s="23">
        <f>F18*F20</f>
        <v>138.32469965269004</v>
      </c>
      <c r="G22" s="23"/>
      <c r="H22" s="23"/>
      <c r="I22" s="23"/>
      <c r="J22" s="23">
        <f>J18*J20</f>
        <v>0.61094545950787882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111.03683144790601</v>
      </c>
      <c r="C30" s="39">
        <f>IF(ISERROR(B30*3.6/1000000/'E Balans VL '!Z18*100),0,B30*3.6/1000000/'E Balans VL '!Z18*100)</f>
        <v>6.2927419552105393E-3</v>
      </c>
      <c r="D30" s="237" t="s">
        <v>744</v>
      </c>
    </row>
    <row r="31" spans="1:18">
      <c r="A31" s="6" t="s">
        <v>32</v>
      </c>
      <c r="B31" s="37">
        <f>IF( ISERROR(IND_ander_ele_kWh/1000),0,IND_ander_ele_kWh/1000)</f>
        <v>490.83423082277596</v>
      </c>
      <c r="C31" s="39">
        <f>IF(ISERROR(B31*3.6/1000000/'E Balans VL '!Z19*100),0,B31*3.6/1000000/'E Balans VL '!Z19*100)</f>
        <v>2.2262196911955655E-2</v>
      </c>
      <c r="D31" s="237" t="s">
        <v>744</v>
      </c>
    </row>
    <row r="32" spans="1:18">
      <c r="A32" s="171" t="s">
        <v>40</v>
      </c>
      <c r="B32" s="37">
        <f>IF( ISERROR(IND_voed_ele_kWh/1000),0,IND_voed_ele_kWh/1000)</f>
        <v>279.17994044500898</v>
      </c>
      <c r="C32" s="39">
        <f>IF(ISERROR(B32*3.6/1000000/'E Balans VL '!Z20*100),0,B32*3.6/1000000/'E Balans VL '!Z20*100)</f>
        <v>8.6363029278827431E-3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482.079273301174</v>
      </c>
      <c r="C37" s="39">
        <f>IF(ISERROR(B37*3.6/1000000/'E Balans VL '!Z15*100),0,B37*3.6/1000000/'E Balans VL '!Z15*100)</f>
        <v>3.8210702905661902E-3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577.26330369840787</v>
      </c>
      <c r="C5" s="17">
        <f>'Eigen informatie GS &amp; warmtenet'!B60</f>
        <v>0</v>
      </c>
      <c r="D5" s="30">
        <f>IF(ISERROR(SUM(LB_lb_gas_kWh,LB_rest_gas_kWh)/1000),0,SUM(LB_lb_gas_kWh,LB_rest_gas_kWh)/1000)*0.902</f>
        <v>41.387883132178445</v>
      </c>
      <c r="E5" s="17">
        <f>B17*'E Balans VL '!I25/3.6*1000000/100</f>
        <v>16.96753166133292</v>
      </c>
      <c r="F5" s="17">
        <f>B17*('E Balans VL '!L25/3.6*1000000+'E Balans VL '!N25/3.6*1000000)/100</f>
        <v>2404.8477295359185</v>
      </c>
      <c r="G5" s="18"/>
      <c r="H5" s="17"/>
      <c r="I5" s="17"/>
      <c r="J5" s="17">
        <f>('E Balans VL '!D25+'E Balans VL '!E25)/3.6*1000000*landbouw!B17/100</f>
        <v>83.633055834546781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577.26330369840787</v>
      </c>
      <c r="C8" s="21">
        <f>C5+C6</f>
        <v>0</v>
      </c>
      <c r="D8" s="21">
        <f>MAX((D5+D6),0)</f>
        <v>41.387883132178445</v>
      </c>
      <c r="E8" s="21">
        <f>MAX((E5+E6),0)</f>
        <v>16.96753166133292</v>
      </c>
      <c r="F8" s="21">
        <f>MAX((F5+F6),0)</f>
        <v>2404.8477295359185</v>
      </c>
      <c r="G8" s="21"/>
      <c r="H8" s="21"/>
      <c r="I8" s="21"/>
      <c r="J8" s="21">
        <f>MAX((J5+J6),0)</f>
        <v>83.633055834546781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0.2152359369579428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124.24780804296431</v>
      </c>
      <c r="C12" s="23">
        <f ca="1">C8*C10</f>
        <v>0</v>
      </c>
      <c r="D12" s="23">
        <f>D8*D10</f>
        <v>8.3603523927000456</v>
      </c>
      <c r="E12" s="23">
        <f>E8*E10</f>
        <v>3.851629687122573</v>
      </c>
      <c r="F12" s="23">
        <f>F8*F10</f>
        <v>642.09434378609023</v>
      </c>
      <c r="G12" s="23"/>
      <c r="H12" s="23"/>
      <c r="I12" s="23"/>
      <c r="J12" s="23">
        <f>J8*J10</f>
        <v>29.60610176542956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8.1915473903186251E-2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181.79751420025997</v>
      </c>
      <c r="C26" s="247">
        <f>B26*'GWP N2O_CH4'!B5</f>
        <v>3817.7477982054593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48.738633163659493</v>
      </c>
      <c r="C27" s="247">
        <f>B27*'GWP N2O_CH4'!B5</f>
        <v>1023.5112964368493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1.9320111885923759</v>
      </c>
      <c r="C28" s="247">
        <f>B28*'GWP N2O_CH4'!B4</f>
        <v>598.92346846363648</v>
      </c>
      <c r="D28" s="50"/>
    </row>
    <row r="29" spans="1:4">
      <c r="A29" s="41" t="s">
        <v>276</v>
      </c>
      <c r="B29" s="247">
        <f>B34*'ha_N2O bodem landbouw'!B4</f>
        <v>8.7985840598730825</v>
      </c>
      <c r="C29" s="247">
        <f>B29*'GWP N2O_CH4'!B4</f>
        <v>2727.5610585606555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2.0078065611934624E-3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7.2094659434124796E-5</v>
      </c>
      <c r="C5" s="437" t="s">
        <v>210</v>
      </c>
      <c r="D5" s="422">
        <f>SUM(D6:D11)</f>
        <v>1.846541950846679E-4</v>
      </c>
      <c r="E5" s="422">
        <f>SUM(E6:E11)</f>
        <v>3.5465178174465598E-4</v>
      </c>
      <c r="F5" s="435" t="s">
        <v>210</v>
      </c>
      <c r="G5" s="422">
        <f>SUM(G6:G11)</f>
        <v>0.26080073683442639</v>
      </c>
      <c r="H5" s="422">
        <f>SUM(H6:H11)</f>
        <v>3.2004967116899742E-2</v>
      </c>
      <c r="I5" s="437" t="s">
        <v>210</v>
      </c>
      <c r="J5" s="437" t="s">
        <v>210</v>
      </c>
      <c r="K5" s="437" t="s">
        <v>210</v>
      </c>
      <c r="L5" s="437" t="s">
        <v>210</v>
      </c>
      <c r="M5" s="422">
        <f>SUM(M6:M11)</f>
        <v>1.6179591211116368E-2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3.1480709390491604E-5</v>
      </c>
      <c r="C6" s="423"/>
      <c r="D6" s="865">
        <f>vkm_GW_PW*SUMIFS(TableVerdeelsleutelVkm[CNG],TableVerdeelsleutelVkm[Voertuigtype],"Lichte voertuigen")*SUMIFS(TableECFTransport[EnergieConsumptieFactor (PJ per km)],TableECFTransport[Index],CONCATENATE($A6,"_CNG_CNG"))</f>
        <v>7.8016884466400516E-5</v>
      </c>
      <c r="E6" s="865">
        <f>vkm_GW_PW*SUMIFS(TableVerdeelsleutelVkm[LPG],TableVerdeelsleutelVkm[Voertuigtype],"Lichte voertuigen")*SUMIFS(TableECFTransport[EnergieConsumptieFactor (PJ per km)],TableECFTransport[Index],CONCATENATE($A6,"_LPG_LPG"))</f>
        <v>1.3393550873488179E-4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4.1039784882215921E-2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1.3255394580152739E-2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2.7880179274257485E-3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2.3247888345715364E-2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3.8889488467543198E-7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1.3582708028269711E-3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3.5275217237679004E-6</v>
      </c>
      <c r="C8" s="423"/>
      <c r="D8" s="425">
        <f>vkm_NGW_PW*SUMIFS(TableVerdeelsleutelVkm[CNG],TableVerdeelsleutelVkm[Voertuigtype],"Lichte voertuigen")*SUMIFS(TableECFTransport[EnergieConsumptieFactor (PJ per km)],TableECFTransport[Index],CONCATENATE($A8,"_CNG_CNG"))</f>
        <v>1.4775978337641612E-5</v>
      </c>
      <c r="E8" s="425">
        <f>vkm_NGW_PW*SUMIFS(TableVerdeelsleutelVkm[LPG],TableVerdeelsleutelVkm[Voertuigtype],"Lichte voertuigen")*SUMIFS(TableECFTransport[EnergieConsumptieFactor (PJ per km)],TableECFTransport[Index],CONCATENATE($A8,"_LPG_LPG"))</f>
        <v>2.4089630837122607E-5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6.9432033501858831E-3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2.4552831081328754E-3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4.7794564607183743E-4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2.6845790796603212E-3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5.5320964903515068E-8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1.5684833197689626E-4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3.7086428319865297E-5</v>
      </c>
      <c r="C10" s="423"/>
      <c r="D10" s="425">
        <f>vkm_SW_PW*SUMIFS(TableVerdeelsleutelVkm[CNG],TableVerdeelsleutelVkm[Voertuigtype],"Lichte voertuigen")*SUMIFS(TableECFTransport[EnergieConsumptieFactor (PJ per km)],TableECFTransport[Index],CONCATENATE($A10,"_CNG_CNG"))</f>
        <v>9.1861332280625764E-5</v>
      </c>
      <c r="E10" s="425">
        <f>vkm_SW_PW*SUMIFS(TableVerdeelsleutelVkm[LPG],TableVerdeelsleutelVkm[Voertuigtype],"Lichte voertuigen")*SUMIFS(TableECFTransport[EnergieConsumptieFactor (PJ per km)],TableECFTransport[Index],CONCATENATE($A10,"_LPG_LPG"))</f>
        <v>1.966266421726516E-4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5.3900992889408306E-2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1.6291475456850758E-2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3.6288232439445367E-3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0.13298428828724054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2.3697559137925829E-6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7.7696852588703775E-3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20.026294287256889</v>
      </c>
      <c r="C14" s="21"/>
      <c r="D14" s="21">
        <f t="shared" ref="D14:M14" si="0">((D5)*10^9/3600)+D12</f>
        <v>51.292831967963309</v>
      </c>
      <c r="E14" s="21">
        <f t="shared" si="0"/>
        <v>98.514383817959995</v>
      </c>
      <c r="F14" s="21"/>
      <c r="G14" s="21">
        <f t="shared" si="0"/>
        <v>72444.649120674003</v>
      </c>
      <c r="H14" s="21">
        <f t="shared" si="0"/>
        <v>8890.268643583262</v>
      </c>
      <c r="I14" s="21"/>
      <c r="J14" s="21"/>
      <c r="K14" s="21"/>
      <c r="L14" s="21"/>
      <c r="M14" s="21">
        <f t="shared" si="0"/>
        <v>4494.3308919767687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0.2152359369579428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4.3103782147132339</v>
      </c>
      <c r="C18" s="23"/>
      <c r="D18" s="23">
        <f t="shared" ref="D18:M18" si="1">D14*D16</f>
        <v>10.361152057528589</v>
      </c>
      <c r="E18" s="23">
        <f t="shared" si="1"/>
        <v>22.362765126676919</v>
      </c>
      <c r="F18" s="23"/>
      <c r="G18" s="23">
        <f t="shared" si="1"/>
        <v>19342.721315219958</v>
      </c>
      <c r="H18" s="23">
        <f t="shared" si="1"/>
        <v>2213.6768922522324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2.8603259999999998E-3</v>
      </c>
      <c r="C50" s="319">
        <f t="shared" ref="C50:P50" si="2">SUM(C51:C52)</f>
        <v>0</v>
      </c>
      <c r="D50" s="319">
        <f t="shared" si="2"/>
        <v>0</v>
      </c>
      <c r="E50" s="319">
        <f t="shared" si="2"/>
        <v>0</v>
      </c>
      <c r="F50" s="319">
        <f t="shared" si="2"/>
        <v>0</v>
      </c>
      <c r="G50" s="319">
        <f t="shared" si="2"/>
        <v>5.6084561679368235E-4</v>
      </c>
      <c r="H50" s="319">
        <f t="shared" si="2"/>
        <v>0</v>
      </c>
      <c r="I50" s="319">
        <f t="shared" si="2"/>
        <v>0</v>
      </c>
      <c r="J50" s="319">
        <f t="shared" si="2"/>
        <v>0</v>
      </c>
      <c r="K50" s="319">
        <f t="shared" si="2"/>
        <v>0</v>
      </c>
      <c r="L50" s="319">
        <f t="shared" si="2"/>
        <v>0</v>
      </c>
      <c r="M50" s="319">
        <f t="shared" si="2"/>
        <v>3.1851148947733647E-5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5.6084561679368235E-4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3.1851148947733647E-5</v>
      </c>
      <c r="N51" s="321"/>
      <c r="O51" s="321"/>
      <c r="P51" s="324"/>
    </row>
    <row r="52" spans="1:18">
      <c r="A52" s="4" t="s">
        <v>329</v>
      </c>
      <c r="B52" s="866">
        <f>vkm_tram*SUMIFS(TableECFTransport[EnergieConsumptieFactor (PJ per km)],TableECFTransport[Index],"Tram_gemiddeld_Electric_Electric")</f>
        <v>2.8603259999999998E-3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794.53499999999997</v>
      </c>
      <c r="C54" s="21">
        <f t="shared" ref="C54:P54" si="3">(C50)*10^9/3600</f>
        <v>0</v>
      </c>
      <c r="D54" s="21">
        <f t="shared" si="3"/>
        <v>0</v>
      </c>
      <c r="E54" s="21">
        <f t="shared" si="3"/>
        <v>0</v>
      </c>
      <c r="F54" s="21">
        <f t="shared" si="3"/>
        <v>0</v>
      </c>
      <c r="G54" s="21">
        <f t="shared" si="3"/>
        <v>155.79044910935622</v>
      </c>
      <c r="H54" s="21">
        <f t="shared" si="3"/>
        <v>0</v>
      </c>
      <c r="I54" s="21">
        <f t="shared" si="3"/>
        <v>0</v>
      </c>
      <c r="J54" s="21">
        <f t="shared" si="3"/>
        <v>0</v>
      </c>
      <c r="K54" s="21">
        <f t="shared" si="3"/>
        <v>0</v>
      </c>
      <c r="L54" s="21">
        <f t="shared" si="3"/>
        <v>0</v>
      </c>
      <c r="M54" s="21">
        <f t="shared" si="3"/>
        <v>8.8475413743704578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0.2152359369579428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171.01248517087907</v>
      </c>
      <c r="C58" s="23">
        <f t="shared" ref="C58:P58" ca="1" si="4">C54*C56</f>
        <v>0</v>
      </c>
      <c r="D58" s="23">
        <f t="shared" si="4"/>
        <v>0</v>
      </c>
      <c r="E58" s="23">
        <f t="shared" si="4"/>
        <v>0</v>
      </c>
      <c r="F58" s="23">
        <f t="shared" si="4"/>
        <v>0</v>
      </c>
      <c r="G58" s="23">
        <f t="shared" si="4"/>
        <v>41.596049912198112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29581.940810958451</v>
      </c>
      <c r="D10" s="979">
        <f ca="1">tertiair!C16</f>
        <v>0</v>
      </c>
      <c r="E10" s="979">
        <f ca="1">tertiair!D16</f>
        <v>32594.997334287706</v>
      </c>
      <c r="F10" s="979">
        <f>tertiair!E16</f>
        <v>399.75996188034713</v>
      </c>
      <c r="G10" s="979">
        <f ca="1">tertiair!F16</f>
        <v>4657.2680383719808</v>
      </c>
      <c r="H10" s="979">
        <f>tertiair!G16</f>
        <v>0</v>
      </c>
      <c r="I10" s="979">
        <f>tertiair!H16</f>
        <v>0</v>
      </c>
      <c r="J10" s="979">
        <f>tertiair!I16</f>
        <v>0</v>
      </c>
      <c r="K10" s="979">
        <f>tertiair!J16</f>
        <v>5.1851056244987342E-2</v>
      </c>
      <c r="L10" s="979">
        <f>tertiair!K16</f>
        <v>0</v>
      </c>
      <c r="M10" s="979">
        <f ca="1">tertiair!L16</f>
        <v>0</v>
      </c>
      <c r="N10" s="979">
        <f>tertiair!M16</f>
        <v>0</v>
      </c>
      <c r="O10" s="979">
        <f ca="1">tertiair!N16</f>
        <v>2068.5214120043756</v>
      </c>
      <c r="P10" s="979">
        <f>tertiair!O16</f>
        <v>7.8166666666666664</v>
      </c>
      <c r="Q10" s="980">
        <f>tertiair!P16</f>
        <v>0</v>
      </c>
      <c r="R10" s="674">
        <f ca="1">SUM(C10:Q10)</f>
        <v>69310.356075225776</v>
      </c>
      <c r="S10" s="67"/>
    </row>
    <row r="11" spans="1:19" s="447" customFormat="1">
      <c r="A11" s="783" t="s">
        <v>224</v>
      </c>
      <c r="B11" s="788"/>
      <c r="C11" s="979">
        <f>huishoudens!B8</f>
        <v>23472.917790871026</v>
      </c>
      <c r="D11" s="979">
        <f>huishoudens!C8</f>
        <v>0</v>
      </c>
      <c r="E11" s="979">
        <f>huishoudens!D8</f>
        <v>56800.926286751441</v>
      </c>
      <c r="F11" s="979">
        <f>huishoudens!E8</f>
        <v>0</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0</v>
      </c>
      <c r="P11" s="979">
        <f>huishoudens!O8</f>
        <v>139.13666666666668</v>
      </c>
      <c r="Q11" s="980">
        <f>huishoudens!P8</f>
        <v>152.53333333333333</v>
      </c>
      <c r="R11" s="674">
        <f>SUM(C11:Q11)</f>
        <v>80565.514077622473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1363.1302760168649</v>
      </c>
      <c r="D13" s="979">
        <f>industrie!C18</f>
        <v>0</v>
      </c>
      <c r="E13" s="979">
        <f>industrie!D18</f>
        <v>1343.7299927914391</v>
      </c>
      <c r="F13" s="979">
        <f>industrie!E18</f>
        <v>171.71034784150936</v>
      </c>
      <c r="G13" s="979">
        <f>industrie!F18</f>
        <v>518.07003615239717</v>
      </c>
      <c r="H13" s="979">
        <f>industrie!G18</f>
        <v>0</v>
      </c>
      <c r="I13" s="979">
        <f>industrie!H18</f>
        <v>0</v>
      </c>
      <c r="J13" s="979">
        <f>industrie!I18</f>
        <v>0</v>
      </c>
      <c r="K13" s="979">
        <f>industrie!J18</f>
        <v>1.7258346313781889</v>
      </c>
      <c r="L13" s="979">
        <f>industrie!K18</f>
        <v>0</v>
      </c>
      <c r="M13" s="979">
        <f>industrie!L18</f>
        <v>0</v>
      </c>
      <c r="N13" s="979">
        <f>industrie!M18</f>
        <v>0</v>
      </c>
      <c r="O13" s="979">
        <f>industrie!N18</f>
        <v>93.190024252614876</v>
      </c>
      <c r="P13" s="979">
        <f>industrie!O18</f>
        <v>0</v>
      </c>
      <c r="Q13" s="980">
        <f>industrie!P18</f>
        <v>0</v>
      </c>
      <c r="R13" s="674">
        <f>SUM(C13:Q13)</f>
        <v>3491.5565116862035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54417.988877846336</v>
      </c>
      <c r="D16" s="706">
        <f t="shared" ref="D16:R16" ca="1" si="0">SUM(D9:D15)</f>
        <v>0</v>
      </c>
      <c r="E16" s="706">
        <f t="shared" ca="1" si="0"/>
        <v>90739.653613830582</v>
      </c>
      <c r="F16" s="706">
        <f t="shared" si="0"/>
        <v>571.47030972185644</v>
      </c>
      <c r="G16" s="706">
        <f t="shared" ca="1" si="0"/>
        <v>5175.3380745243776</v>
      </c>
      <c r="H16" s="706">
        <f t="shared" si="0"/>
        <v>0</v>
      </c>
      <c r="I16" s="706">
        <f t="shared" si="0"/>
        <v>0</v>
      </c>
      <c r="J16" s="706">
        <f t="shared" si="0"/>
        <v>0</v>
      </c>
      <c r="K16" s="706">
        <f t="shared" si="0"/>
        <v>1.7776856876231764</v>
      </c>
      <c r="L16" s="706">
        <f t="shared" si="0"/>
        <v>0</v>
      </c>
      <c r="M16" s="706">
        <f t="shared" ca="1" si="0"/>
        <v>0</v>
      </c>
      <c r="N16" s="706">
        <f t="shared" si="0"/>
        <v>0</v>
      </c>
      <c r="O16" s="706">
        <f t="shared" ca="1" si="0"/>
        <v>2161.7114362569905</v>
      </c>
      <c r="P16" s="706">
        <f t="shared" si="0"/>
        <v>146.95333333333335</v>
      </c>
      <c r="Q16" s="706">
        <f t="shared" si="0"/>
        <v>152.53333333333333</v>
      </c>
      <c r="R16" s="706">
        <f t="shared" ca="1" si="0"/>
        <v>153367.42666453446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794.53499999999997</v>
      </c>
      <c r="D19" s="979">
        <f>transport!C54</f>
        <v>0</v>
      </c>
      <c r="E19" s="979">
        <f>transport!D54</f>
        <v>0</v>
      </c>
      <c r="F19" s="979">
        <f>transport!E54</f>
        <v>0</v>
      </c>
      <c r="G19" s="979">
        <f>transport!F54</f>
        <v>0</v>
      </c>
      <c r="H19" s="979">
        <f>transport!G54</f>
        <v>155.79044910935622</v>
      </c>
      <c r="I19" s="979">
        <f>transport!H54</f>
        <v>0</v>
      </c>
      <c r="J19" s="979">
        <f>transport!I54</f>
        <v>0</v>
      </c>
      <c r="K19" s="979">
        <f>transport!J54</f>
        <v>0</v>
      </c>
      <c r="L19" s="979">
        <f>transport!K54</f>
        <v>0</v>
      </c>
      <c r="M19" s="979">
        <f>transport!L54</f>
        <v>0</v>
      </c>
      <c r="N19" s="979">
        <f>transport!M54</f>
        <v>8.8475413743704578</v>
      </c>
      <c r="O19" s="979">
        <f>transport!N54</f>
        <v>0</v>
      </c>
      <c r="P19" s="979">
        <f>transport!O54</f>
        <v>0</v>
      </c>
      <c r="Q19" s="980">
        <f>transport!P54</f>
        <v>0</v>
      </c>
      <c r="R19" s="674">
        <f>SUM(C19:Q19)</f>
        <v>959.17299048372672</v>
      </c>
      <c r="S19" s="67"/>
    </row>
    <row r="20" spans="1:19" s="447" customFormat="1">
      <c r="A20" s="783" t="s">
        <v>306</v>
      </c>
      <c r="B20" s="788"/>
      <c r="C20" s="979">
        <f>transport!B14</f>
        <v>20.026294287256889</v>
      </c>
      <c r="D20" s="979">
        <f>transport!C14</f>
        <v>0</v>
      </c>
      <c r="E20" s="979">
        <f>transport!D14</f>
        <v>51.292831967963309</v>
      </c>
      <c r="F20" s="979">
        <f>transport!E14</f>
        <v>98.514383817959995</v>
      </c>
      <c r="G20" s="979">
        <f>transport!F14</f>
        <v>0</v>
      </c>
      <c r="H20" s="979">
        <f>transport!G14</f>
        <v>72444.649120674003</v>
      </c>
      <c r="I20" s="979">
        <f>transport!H14</f>
        <v>8890.268643583262</v>
      </c>
      <c r="J20" s="979">
        <f>transport!I14</f>
        <v>0</v>
      </c>
      <c r="K20" s="979">
        <f>transport!J14</f>
        <v>0</v>
      </c>
      <c r="L20" s="979">
        <f>transport!K14</f>
        <v>0</v>
      </c>
      <c r="M20" s="979">
        <f>transport!L14</f>
        <v>0</v>
      </c>
      <c r="N20" s="979">
        <f>transport!M14</f>
        <v>4494.3308919767687</v>
      </c>
      <c r="O20" s="979">
        <f>transport!N14</f>
        <v>0</v>
      </c>
      <c r="P20" s="979">
        <f>transport!O14</f>
        <v>0</v>
      </c>
      <c r="Q20" s="980">
        <f>transport!P14</f>
        <v>0</v>
      </c>
      <c r="R20" s="674">
        <f>SUM(C20:Q20)</f>
        <v>85999.082166307213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814.56129428725683</v>
      </c>
      <c r="D22" s="786">
        <f t="shared" ref="D22:R22" si="1">SUM(D18:D21)</f>
        <v>0</v>
      </c>
      <c r="E22" s="786">
        <f t="shared" si="1"/>
        <v>51.292831967963309</v>
      </c>
      <c r="F22" s="786">
        <f t="shared" si="1"/>
        <v>98.514383817959995</v>
      </c>
      <c r="G22" s="786">
        <f t="shared" si="1"/>
        <v>0</v>
      </c>
      <c r="H22" s="786">
        <f t="shared" si="1"/>
        <v>72600.439569783353</v>
      </c>
      <c r="I22" s="786">
        <f t="shared" si="1"/>
        <v>8890.268643583262</v>
      </c>
      <c r="J22" s="786">
        <f t="shared" si="1"/>
        <v>0</v>
      </c>
      <c r="K22" s="786">
        <f t="shared" si="1"/>
        <v>0</v>
      </c>
      <c r="L22" s="786">
        <f t="shared" si="1"/>
        <v>0</v>
      </c>
      <c r="M22" s="786">
        <f t="shared" si="1"/>
        <v>0</v>
      </c>
      <c r="N22" s="786">
        <f t="shared" si="1"/>
        <v>4503.1784333511396</v>
      </c>
      <c r="O22" s="786">
        <f t="shared" si="1"/>
        <v>0</v>
      </c>
      <c r="P22" s="786">
        <f t="shared" si="1"/>
        <v>0</v>
      </c>
      <c r="Q22" s="786">
        <f t="shared" si="1"/>
        <v>0</v>
      </c>
      <c r="R22" s="786">
        <f t="shared" si="1"/>
        <v>86958.25515679094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577.26330369840787</v>
      </c>
      <c r="D24" s="979">
        <f>+landbouw!C8</f>
        <v>0</v>
      </c>
      <c r="E24" s="979">
        <f>+landbouw!D8</f>
        <v>41.387883132178445</v>
      </c>
      <c r="F24" s="979">
        <f>+landbouw!E8</f>
        <v>16.96753166133292</v>
      </c>
      <c r="G24" s="979">
        <f>+landbouw!F8</f>
        <v>2404.8477295359185</v>
      </c>
      <c r="H24" s="979">
        <f>+landbouw!G8</f>
        <v>0</v>
      </c>
      <c r="I24" s="979">
        <f>+landbouw!H8</f>
        <v>0</v>
      </c>
      <c r="J24" s="979">
        <f>+landbouw!I8</f>
        <v>0</v>
      </c>
      <c r="K24" s="979">
        <f>+landbouw!J8</f>
        <v>83.633055834546781</v>
      </c>
      <c r="L24" s="979">
        <f>+landbouw!K8</f>
        <v>0</v>
      </c>
      <c r="M24" s="979">
        <f>+landbouw!L8</f>
        <v>0</v>
      </c>
      <c r="N24" s="979">
        <f>+landbouw!M8</f>
        <v>0</v>
      </c>
      <c r="O24" s="979">
        <f>+landbouw!N8</f>
        <v>0</v>
      </c>
      <c r="P24" s="979">
        <f>+landbouw!O8</f>
        <v>0</v>
      </c>
      <c r="Q24" s="980">
        <f>+landbouw!P8</f>
        <v>0</v>
      </c>
      <c r="R24" s="674">
        <f>SUM(C24:Q24)</f>
        <v>3124.0995038623846</v>
      </c>
      <c r="S24" s="67"/>
    </row>
    <row r="25" spans="1:19" s="447" customFormat="1" ht="15" thickBot="1">
      <c r="A25" s="805" t="s">
        <v>823</v>
      </c>
      <c r="B25" s="982"/>
      <c r="C25" s="983">
        <f>IF(Onbekend_ele_kWh="---",0,Onbekend_ele_kWh)/1000+IF(REST_rest_ele_kWh="---",0,REST_rest_ele_kWh)/1000</f>
        <v>6217.7941344534402</v>
      </c>
      <c r="D25" s="983"/>
      <c r="E25" s="983">
        <f>IF(onbekend_gas_kWh="---",0,onbekend_gas_kWh)/1000+IF(REST_rest_gas_kWh="---",0,REST_rest_gas_kWh)/1000</f>
        <v>9462.3549059781999</v>
      </c>
      <c r="F25" s="983"/>
      <c r="G25" s="983"/>
      <c r="H25" s="983"/>
      <c r="I25" s="983"/>
      <c r="J25" s="983"/>
      <c r="K25" s="983"/>
      <c r="L25" s="983"/>
      <c r="M25" s="983"/>
      <c r="N25" s="983"/>
      <c r="O25" s="983"/>
      <c r="P25" s="983"/>
      <c r="Q25" s="984"/>
      <c r="R25" s="674">
        <f>SUM(C25:Q25)</f>
        <v>15680.149040431639</v>
      </c>
      <c r="S25" s="67"/>
    </row>
    <row r="26" spans="1:19" s="447" customFormat="1" ht="15.75" thickBot="1">
      <c r="A26" s="679" t="s">
        <v>824</v>
      </c>
      <c r="B26" s="791"/>
      <c r="C26" s="786">
        <f>SUM(C24:C25)</f>
        <v>6795.0574381518481</v>
      </c>
      <c r="D26" s="786">
        <f t="shared" ref="D26:R26" si="2">SUM(D24:D25)</f>
        <v>0</v>
      </c>
      <c r="E26" s="786">
        <f t="shared" si="2"/>
        <v>9503.742789110378</v>
      </c>
      <c r="F26" s="786">
        <f t="shared" si="2"/>
        <v>16.96753166133292</v>
      </c>
      <c r="G26" s="786">
        <f t="shared" si="2"/>
        <v>2404.8477295359185</v>
      </c>
      <c r="H26" s="786">
        <f t="shared" si="2"/>
        <v>0</v>
      </c>
      <c r="I26" s="786">
        <f t="shared" si="2"/>
        <v>0</v>
      </c>
      <c r="J26" s="786">
        <f t="shared" si="2"/>
        <v>0</v>
      </c>
      <c r="K26" s="786">
        <f t="shared" si="2"/>
        <v>83.633055834546781</v>
      </c>
      <c r="L26" s="786">
        <f t="shared" si="2"/>
        <v>0</v>
      </c>
      <c r="M26" s="786">
        <f t="shared" si="2"/>
        <v>0</v>
      </c>
      <c r="N26" s="786">
        <f t="shared" si="2"/>
        <v>0</v>
      </c>
      <c r="O26" s="786">
        <f t="shared" si="2"/>
        <v>0</v>
      </c>
      <c r="P26" s="786">
        <f t="shared" si="2"/>
        <v>0</v>
      </c>
      <c r="Q26" s="786">
        <f t="shared" si="2"/>
        <v>0</v>
      </c>
      <c r="R26" s="786">
        <f t="shared" si="2"/>
        <v>18804.248544294023</v>
      </c>
      <c r="S26" s="67"/>
    </row>
    <row r="27" spans="1:19" s="447" customFormat="1" ht="17.25" thickTop="1" thickBot="1">
      <c r="A27" s="680" t="s">
        <v>115</v>
      </c>
      <c r="B27" s="779"/>
      <c r="C27" s="681">
        <f ca="1">C22+C16+C26</f>
        <v>62027.607610285435</v>
      </c>
      <c r="D27" s="681">
        <f t="shared" ref="D27:R27" ca="1" si="3">D22+D16+D26</f>
        <v>0</v>
      </c>
      <c r="E27" s="681">
        <f t="shared" ca="1" si="3"/>
        <v>100294.68923490892</v>
      </c>
      <c r="F27" s="681">
        <f t="shared" si="3"/>
        <v>686.95222520114942</v>
      </c>
      <c r="G27" s="681">
        <f t="shared" ca="1" si="3"/>
        <v>7580.1858040602965</v>
      </c>
      <c r="H27" s="681">
        <f t="shared" si="3"/>
        <v>72600.439569783353</v>
      </c>
      <c r="I27" s="681">
        <f t="shared" si="3"/>
        <v>8890.268643583262</v>
      </c>
      <c r="J27" s="681">
        <f t="shared" si="3"/>
        <v>0</v>
      </c>
      <c r="K27" s="681">
        <f t="shared" si="3"/>
        <v>85.410741522169957</v>
      </c>
      <c r="L27" s="681">
        <f t="shared" si="3"/>
        <v>0</v>
      </c>
      <c r="M27" s="681">
        <f t="shared" ca="1" si="3"/>
        <v>0</v>
      </c>
      <c r="N27" s="681">
        <f t="shared" si="3"/>
        <v>4503.1784333511396</v>
      </c>
      <c r="O27" s="681">
        <f t="shared" ca="1" si="3"/>
        <v>2161.7114362569905</v>
      </c>
      <c r="P27" s="681">
        <f t="shared" si="3"/>
        <v>146.95333333333335</v>
      </c>
      <c r="Q27" s="681">
        <f t="shared" si="3"/>
        <v>152.53333333333333</v>
      </c>
      <c r="R27" s="681">
        <f t="shared" ca="1" si="3"/>
        <v>259129.93036561942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6367.0967474810477</v>
      </c>
      <c r="D40" s="979">
        <f ca="1">tertiair!C20</f>
        <v>0</v>
      </c>
      <c r="E40" s="979">
        <f ca="1">tertiair!D20</f>
        <v>6584.1894615261172</v>
      </c>
      <c r="F40" s="979">
        <f>tertiair!E20</f>
        <v>90.745511346838796</v>
      </c>
      <c r="G40" s="979">
        <f ca="1">tertiair!F20</f>
        <v>1243.4905662453189</v>
      </c>
      <c r="H40" s="979">
        <f>tertiair!G20</f>
        <v>0</v>
      </c>
      <c r="I40" s="979">
        <f>tertiair!H20</f>
        <v>0</v>
      </c>
      <c r="J40" s="979">
        <f>tertiair!I20</f>
        <v>0</v>
      </c>
      <c r="K40" s="979">
        <f>tertiair!J20</f>
        <v>1.8355273910725518E-2</v>
      </c>
      <c r="L40" s="979">
        <f>tertiair!K20</f>
        <v>0</v>
      </c>
      <c r="M40" s="979">
        <f ca="1">tertiair!L20</f>
        <v>0</v>
      </c>
      <c r="N40" s="979">
        <f>tertiair!M20</f>
        <v>0</v>
      </c>
      <c r="O40" s="979">
        <f ca="1">tertiair!N20</f>
        <v>0</v>
      </c>
      <c r="P40" s="979">
        <f>tertiair!O20</f>
        <v>0</v>
      </c>
      <c r="Q40" s="748">
        <f>tertiair!P20</f>
        <v>0</v>
      </c>
      <c r="R40" s="824">
        <f t="shared" ca="1" si="4"/>
        <v>14285.540641873233</v>
      </c>
    </row>
    <row r="41" spans="1:18">
      <c r="A41" s="796" t="s">
        <v>224</v>
      </c>
      <c r="B41" s="803"/>
      <c r="C41" s="979">
        <f ca="1">huishoudens!B12</f>
        <v>5052.2154538548903</v>
      </c>
      <c r="D41" s="979">
        <f ca="1">huishoudens!C12</f>
        <v>0</v>
      </c>
      <c r="E41" s="979">
        <f>huishoudens!D12</f>
        <v>11473.787109923791</v>
      </c>
      <c r="F41" s="979">
        <f>huishoudens!E12</f>
        <v>0</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16526.002563778682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293.39462215422907</v>
      </c>
      <c r="D43" s="979">
        <f ca="1">industrie!C22</f>
        <v>0</v>
      </c>
      <c r="E43" s="979">
        <f>industrie!D22</f>
        <v>271.4334585438707</v>
      </c>
      <c r="F43" s="979">
        <f>industrie!E22</f>
        <v>38.978248960022626</v>
      </c>
      <c r="G43" s="979">
        <f>industrie!F22</f>
        <v>138.32469965269004</v>
      </c>
      <c r="H43" s="979">
        <f>industrie!G22</f>
        <v>0</v>
      </c>
      <c r="I43" s="979">
        <f>industrie!H22</f>
        <v>0</v>
      </c>
      <c r="J43" s="979">
        <f>industrie!I22</f>
        <v>0</v>
      </c>
      <c r="K43" s="979">
        <f>industrie!J22</f>
        <v>0.61094545950787882</v>
      </c>
      <c r="L43" s="979">
        <f>industrie!K22</f>
        <v>0</v>
      </c>
      <c r="M43" s="979">
        <f>industrie!L22</f>
        <v>0</v>
      </c>
      <c r="N43" s="979">
        <f>industrie!M22</f>
        <v>0</v>
      </c>
      <c r="O43" s="979">
        <f>industrie!N22</f>
        <v>0</v>
      </c>
      <c r="P43" s="979">
        <f>industrie!O22</f>
        <v>0</v>
      </c>
      <c r="Q43" s="748">
        <f>industrie!P22</f>
        <v>0</v>
      </c>
      <c r="R43" s="823">
        <f t="shared" ca="1" si="4"/>
        <v>742.74197477032021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11712.706823490167</v>
      </c>
      <c r="D46" s="706">
        <f t="shared" ref="D46:Q46" ca="1" si="5">SUM(D39:D45)</f>
        <v>0</v>
      </c>
      <c r="E46" s="706">
        <f t="shared" ca="1" si="5"/>
        <v>18329.410029993778</v>
      </c>
      <c r="F46" s="706">
        <f t="shared" si="5"/>
        <v>129.72376030686144</v>
      </c>
      <c r="G46" s="706">
        <f t="shared" ca="1" si="5"/>
        <v>1381.8152658980089</v>
      </c>
      <c r="H46" s="706">
        <f t="shared" si="5"/>
        <v>0</v>
      </c>
      <c r="I46" s="706">
        <f t="shared" si="5"/>
        <v>0</v>
      </c>
      <c r="J46" s="706">
        <f t="shared" si="5"/>
        <v>0</v>
      </c>
      <c r="K46" s="706">
        <f t="shared" si="5"/>
        <v>0.62930073341860437</v>
      </c>
      <c r="L46" s="706">
        <f t="shared" si="5"/>
        <v>0</v>
      </c>
      <c r="M46" s="706">
        <f t="shared" ca="1" si="5"/>
        <v>0</v>
      </c>
      <c r="N46" s="706">
        <f t="shared" si="5"/>
        <v>0</v>
      </c>
      <c r="O46" s="706">
        <f t="shared" ca="1" si="5"/>
        <v>0</v>
      </c>
      <c r="P46" s="706">
        <f t="shared" si="5"/>
        <v>0</v>
      </c>
      <c r="Q46" s="706">
        <f t="shared" si="5"/>
        <v>0</v>
      </c>
      <c r="R46" s="706">
        <f ca="1">SUM(R39:R45)</f>
        <v>31554.285180422234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171.01248517087907</v>
      </c>
      <c r="D49" s="979">
        <f ca="1">transport!C58</f>
        <v>0</v>
      </c>
      <c r="E49" s="979">
        <f>transport!D58</f>
        <v>0</v>
      </c>
      <c r="F49" s="979">
        <f>transport!E58</f>
        <v>0</v>
      </c>
      <c r="G49" s="979">
        <f>transport!F58</f>
        <v>0</v>
      </c>
      <c r="H49" s="979">
        <f>transport!G58</f>
        <v>41.596049912198112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212.60853508307719</v>
      </c>
    </row>
    <row r="50" spans="1:18">
      <c r="A50" s="799" t="s">
        <v>306</v>
      </c>
      <c r="B50" s="809"/>
      <c r="C50" s="677">
        <f ca="1">transport!B18</f>
        <v>4.3103782147132339</v>
      </c>
      <c r="D50" s="677">
        <f>transport!C18</f>
        <v>0</v>
      </c>
      <c r="E50" s="677">
        <f>transport!D18</f>
        <v>10.361152057528589</v>
      </c>
      <c r="F50" s="677">
        <f>transport!E18</f>
        <v>22.362765126676919</v>
      </c>
      <c r="G50" s="677">
        <f>transport!F18</f>
        <v>0</v>
      </c>
      <c r="H50" s="677">
        <f>transport!G18</f>
        <v>19342.721315219958</v>
      </c>
      <c r="I50" s="677">
        <f>transport!H18</f>
        <v>2213.6768922522324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21593.43250287111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175.32286338559231</v>
      </c>
      <c r="D52" s="706">
        <f t="shared" ref="D52:Q52" ca="1" si="6">SUM(D48:D51)</f>
        <v>0</v>
      </c>
      <c r="E52" s="706">
        <f t="shared" si="6"/>
        <v>10.361152057528589</v>
      </c>
      <c r="F52" s="706">
        <f t="shared" si="6"/>
        <v>22.362765126676919</v>
      </c>
      <c r="G52" s="706">
        <f t="shared" si="6"/>
        <v>0</v>
      </c>
      <c r="H52" s="706">
        <f t="shared" si="6"/>
        <v>19384.317365132156</v>
      </c>
      <c r="I52" s="706">
        <f t="shared" si="6"/>
        <v>2213.6768922522324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21806.041037954186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124.24780804296431</v>
      </c>
      <c r="D54" s="677">
        <f ca="1">+landbouw!C12</f>
        <v>0</v>
      </c>
      <c r="E54" s="677">
        <f>+landbouw!D12</f>
        <v>8.3603523927000456</v>
      </c>
      <c r="F54" s="677">
        <f>+landbouw!E12</f>
        <v>3.851629687122573</v>
      </c>
      <c r="G54" s="677">
        <f>+landbouw!F12</f>
        <v>642.09434378609023</v>
      </c>
      <c r="H54" s="677">
        <f>+landbouw!G12</f>
        <v>0</v>
      </c>
      <c r="I54" s="677">
        <f>+landbouw!H12</f>
        <v>0</v>
      </c>
      <c r="J54" s="677">
        <f>+landbouw!I12</f>
        <v>0</v>
      </c>
      <c r="K54" s="677">
        <f>+landbouw!J12</f>
        <v>29.60610176542956</v>
      </c>
      <c r="L54" s="677">
        <f>+landbouw!K12</f>
        <v>0</v>
      </c>
      <c r="M54" s="677">
        <f>+landbouw!L12</f>
        <v>0</v>
      </c>
      <c r="N54" s="677">
        <f>+landbouw!M12</f>
        <v>0</v>
      </c>
      <c r="O54" s="677">
        <f>+landbouw!N12</f>
        <v>0</v>
      </c>
      <c r="P54" s="677">
        <f>+landbouw!O12</f>
        <v>0</v>
      </c>
      <c r="Q54" s="678">
        <f>+landbouw!P12</f>
        <v>0</v>
      </c>
      <c r="R54" s="705">
        <f ca="1">SUM(C54:Q54)</f>
        <v>808.1602356743067</v>
      </c>
    </row>
    <row r="55" spans="1:18" ht="15" thickBot="1">
      <c r="A55" s="799" t="s">
        <v>823</v>
      </c>
      <c r="B55" s="809"/>
      <c r="C55" s="677">
        <f ca="1">C25*'EF ele_warmte'!B12</f>
        <v>1338.2927463406872</v>
      </c>
      <c r="D55" s="677"/>
      <c r="E55" s="677">
        <f>E25*EF_CO2_aardgas</f>
        <v>1911.3956910075965</v>
      </c>
      <c r="F55" s="677"/>
      <c r="G55" s="677"/>
      <c r="H55" s="677"/>
      <c r="I55" s="677"/>
      <c r="J55" s="677"/>
      <c r="K55" s="677"/>
      <c r="L55" s="677"/>
      <c r="M55" s="677"/>
      <c r="N55" s="677"/>
      <c r="O55" s="677"/>
      <c r="P55" s="677"/>
      <c r="Q55" s="678"/>
      <c r="R55" s="705">
        <f ca="1">SUM(C55:Q55)</f>
        <v>3249.6884373482835</v>
      </c>
    </row>
    <row r="56" spans="1:18" ht="15.75" thickBot="1">
      <c r="A56" s="797" t="s">
        <v>824</v>
      </c>
      <c r="B56" s="810"/>
      <c r="C56" s="706">
        <f ca="1">SUM(C54:C55)</f>
        <v>1462.5405543836516</v>
      </c>
      <c r="D56" s="706">
        <f t="shared" ref="D56:Q56" ca="1" si="7">SUM(D54:D55)</f>
        <v>0</v>
      </c>
      <c r="E56" s="706">
        <f t="shared" si="7"/>
        <v>1919.7560434002964</v>
      </c>
      <c r="F56" s="706">
        <f t="shared" si="7"/>
        <v>3.851629687122573</v>
      </c>
      <c r="G56" s="706">
        <f t="shared" si="7"/>
        <v>642.09434378609023</v>
      </c>
      <c r="H56" s="706">
        <f t="shared" si="7"/>
        <v>0</v>
      </c>
      <c r="I56" s="706">
        <f t="shared" si="7"/>
        <v>0</v>
      </c>
      <c r="J56" s="706">
        <f t="shared" si="7"/>
        <v>0</v>
      </c>
      <c r="K56" s="706">
        <f t="shared" si="7"/>
        <v>29.60610176542956</v>
      </c>
      <c r="L56" s="706">
        <f t="shared" si="7"/>
        <v>0</v>
      </c>
      <c r="M56" s="706">
        <f t="shared" si="7"/>
        <v>0</v>
      </c>
      <c r="N56" s="706">
        <f t="shared" si="7"/>
        <v>0</v>
      </c>
      <c r="O56" s="706">
        <f t="shared" si="7"/>
        <v>0</v>
      </c>
      <c r="P56" s="706">
        <f t="shared" si="7"/>
        <v>0</v>
      </c>
      <c r="Q56" s="707">
        <f t="shared" si="7"/>
        <v>0</v>
      </c>
      <c r="R56" s="708">
        <f ca="1">SUM(R54:R55)</f>
        <v>4057.8486730225904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13350.570241259411</v>
      </c>
      <c r="D61" s="714">
        <f t="shared" ref="D61:Q61" ca="1" si="8">D46+D52+D56</f>
        <v>0</v>
      </c>
      <c r="E61" s="714">
        <f t="shared" ca="1" si="8"/>
        <v>20259.527225451602</v>
      </c>
      <c r="F61" s="714">
        <f t="shared" si="8"/>
        <v>155.93815512066092</v>
      </c>
      <c r="G61" s="714">
        <f t="shared" ca="1" si="8"/>
        <v>2023.909609684099</v>
      </c>
      <c r="H61" s="714">
        <f t="shared" si="8"/>
        <v>19384.317365132156</v>
      </c>
      <c r="I61" s="714">
        <f t="shared" si="8"/>
        <v>2213.6768922522324</v>
      </c>
      <c r="J61" s="714">
        <f t="shared" si="8"/>
        <v>0</v>
      </c>
      <c r="K61" s="714">
        <f t="shared" si="8"/>
        <v>30.235402498848163</v>
      </c>
      <c r="L61" s="714">
        <f t="shared" si="8"/>
        <v>0</v>
      </c>
      <c r="M61" s="714">
        <f t="shared" ca="1" si="8"/>
        <v>0</v>
      </c>
      <c r="N61" s="714">
        <f t="shared" si="8"/>
        <v>0</v>
      </c>
      <c r="O61" s="714">
        <f t="shared" ca="1" si="8"/>
        <v>0</v>
      </c>
      <c r="P61" s="714">
        <f t="shared" si="8"/>
        <v>0</v>
      </c>
      <c r="Q61" s="714">
        <f t="shared" si="8"/>
        <v>0</v>
      </c>
      <c r="R61" s="714">
        <f ca="1">R46+R52+R56</f>
        <v>57418.174891399009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0.21523593695794282</v>
      </c>
      <c r="D63" s="755">
        <f t="shared" ca="1" si="9"/>
        <v>0</v>
      </c>
      <c r="E63" s="990">
        <f t="shared" ca="1" si="9"/>
        <v>0.20200000000000001</v>
      </c>
      <c r="F63" s="755">
        <f t="shared" si="9"/>
        <v>0.22700000000000001</v>
      </c>
      <c r="G63" s="755">
        <f t="shared" ca="1" si="9"/>
        <v>0.26699999999999996</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1617.7875140890146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1617.7875140890146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1617.7875140890146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1617.7875140890146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23472.917790871026</v>
      </c>
      <c r="C4" s="451">
        <f>huishoudens!C8</f>
        <v>0</v>
      </c>
      <c r="D4" s="451">
        <f>huishoudens!D8</f>
        <v>56800.926286751441</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139.13666666666668</v>
      </c>
      <c r="P4" s="452">
        <f>huishoudens!P8</f>
        <v>152.53333333333333</v>
      </c>
      <c r="Q4" s="453">
        <f>SUM(B4:P4)</f>
        <v>80565.514077622473</v>
      </c>
    </row>
    <row r="5" spans="1:17">
      <c r="A5" s="450" t="s">
        <v>155</v>
      </c>
      <c r="B5" s="451">
        <f ca="1">tertiair!B16</f>
        <v>28038.991810958451</v>
      </c>
      <c r="C5" s="451">
        <f ca="1">tertiair!C16</f>
        <v>0</v>
      </c>
      <c r="D5" s="451">
        <f ca="1">tertiair!D16</f>
        <v>32594.997334287706</v>
      </c>
      <c r="E5" s="451">
        <f>tertiair!E16</f>
        <v>399.75996188034713</v>
      </c>
      <c r="F5" s="451">
        <f ca="1">tertiair!F16</f>
        <v>4657.2680383719808</v>
      </c>
      <c r="G5" s="451">
        <f>tertiair!G16</f>
        <v>0</v>
      </c>
      <c r="H5" s="451">
        <f>tertiair!H16</f>
        <v>0</v>
      </c>
      <c r="I5" s="451">
        <f>tertiair!I16</f>
        <v>0</v>
      </c>
      <c r="J5" s="451">
        <f>tertiair!J16</f>
        <v>5.1851056244987342E-2</v>
      </c>
      <c r="K5" s="451">
        <f>tertiair!K16</f>
        <v>0</v>
      </c>
      <c r="L5" s="451">
        <f ca="1">tertiair!L16</f>
        <v>0</v>
      </c>
      <c r="M5" s="451">
        <f>tertiair!M16</f>
        <v>0</v>
      </c>
      <c r="N5" s="451">
        <f ca="1">tertiair!N16</f>
        <v>2068.5214120043756</v>
      </c>
      <c r="O5" s="451">
        <f>tertiair!O16</f>
        <v>7.8166666666666664</v>
      </c>
      <c r="P5" s="452">
        <f>tertiair!P16</f>
        <v>0</v>
      </c>
      <c r="Q5" s="450">
        <f t="shared" ref="Q5:Q14" ca="1" si="0">SUM(B5:P5)</f>
        <v>67767.407075225783</v>
      </c>
    </row>
    <row r="6" spans="1:17">
      <c r="A6" s="450" t="s">
        <v>193</v>
      </c>
      <c r="B6" s="451">
        <f>'openbare verlichting'!B8</f>
        <v>1542.9490000000001</v>
      </c>
      <c r="C6" s="451"/>
      <c r="D6" s="451"/>
      <c r="E6" s="451"/>
      <c r="F6" s="451"/>
      <c r="G6" s="451"/>
      <c r="H6" s="451"/>
      <c r="I6" s="451"/>
      <c r="J6" s="451"/>
      <c r="K6" s="451"/>
      <c r="L6" s="451"/>
      <c r="M6" s="451"/>
      <c r="N6" s="451"/>
      <c r="O6" s="451"/>
      <c r="P6" s="452"/>
      <c r="Q6" s="450">
        <f t="shared" si="0"/>
        <v>1542.9490000000001</v>
      </c>
    </row>
    <row r="7" spans="1:17">
      <c r="A7" s="450" t="s">
        <v>111</v>
      </c>
      <c r="B7" s="451">
        <f>landbouw!B8</f>
        <v>577.26330369840787</v>
      </c>
      <c r="C7" s="451">
        <f>landbouw!C8</f>
        <v>0</v>
      </c>
      <c r="D7" s="451">
        <f>landbouw!D8</f>
        <v>41.387883132178445</v>
      </c>
      <c r="E7" s="451">
        <f>landbouw!E8</f>
        <v>16.96753166133292</v>
      </c>
      <c r="F7" s="451">
        <f>landbouw!F8</f>
        <v>2404.8477295359185</v>
      </c>
      <c r="G7" s="451">
        <f>landbouw!G8</f>
        <v>0</v>
      </c>
      <c r="H7" s="451">
        <f>landbouw!H8</f>
        <v>0</v>
      </c>
      <c r="I7" s="451">
        <f>landbouw!I8</f>
        <v>0</v>
      </c>
      <c r="J7" s="451">
        <f>landbouw!J8</f>
        <v>83.633055834546781</v>
      </c>
      <c r="K7" s="451">
        <f>landbouw!K8</f>
        <v>0</v>
      </c>
      <c r="L7" s="451">
        <f>landbouw!L8</f>
        <v>0</v>
      </c>
      <c r="M7" s="451">
        <f>landbouw!M8</f>
        <v>0</v>
      </c>
      <c r="N7" s="451">
        <f>landbouw!N8</f>
        <v>0</v>
      </c>
      <c r="O7" s="451">
        <f>landbouw!O8</f>
        <v>0</v>
      </c>
      <c r="P7" s="452">
        <f>landbouw!P8</f>
        <v>0</v>
      </c>
      <c r="Q7" s="450">
        <f t="shared" si="0"/>
        <v>3124.0995038623846</v>
      </c>
    </row>
    <row r="8" spans="1:17">
      <c r="A8" s="450" t="s">
        <v>634</v>
      </c>
      <c r="B8" s="451">
        <f>industrie!B18</f>
        <v>1363.1302760168649</v>
      </c>
      <c r="C8" s="451">
        <f>industrie!C18</f>
        <v>0</v>
      </c>
      <c r="D8" s="451">
        <f>industrie!D18</f>
        <v>1343.7299927914391</v>
      </c>
      <c r="E8" s="451">
        <f>industrie!E18</f>
        <v>171.71034784150936</v>
      </c>
      <c r="F8" s="451">
        <f>industrie!F18</f>
        <v>518.07003615239717</v>
      </c>
      <c r="G8" s="451">
        <f>industrie!G18</f>
        <v>0</v>
      </c>
      <c r="H8" s="451">
        <f>industrie!H18</f>
        <v>0</v>
      </c>
      <c r="I8" s="451">
        <f>industrie!I18</f>
        <v>0</v>
      </c>
      <c r="J8" s="451">
        <f>industrie!J18</f>
        <v>1.7258346313781889</v>
      </c>
      <c r="K8" s="451">
        <f>industrie!K18</f>
        <v>0</v>
      </c>
      <c r="L8" s="451">
        <f>industrie!L18</f>
        <v>0</v>
      </c>
      <c r="M8" s="451">
        <f>industrie!M18</f>
        <v>0</v>
      </c>
      <c r="N8" s="451">
        <f>industrie!N18</f>
        <v>93.190024252614876</v>
      </c>
      <c r="O8" s="451">
        <f>industrie!O18</f>
        <v>0</v>
      </c>
      <c r="P8" s="452">
        <f>industrie!P18</f>
        <v>0</v>
      </c>
      <c r="Q8" s="450">
        <f t="shared" si="0"/>
        <v>3491.5565116862035</v>
      </c>
    </row>
    <row r="9" spans="1:17" s="456" customFormat="1">
      <c r="A9" s="454" t="s">
        <v>560</v>
      </c>
      <c r="B9" s="455">
        <f>transport!B14</f>
        <v>20.026294287256889</v>
      </c>
      <c r="C9" s="455">
        <f>transport!C14</f>
        <v>0</v>
      </c>
      <c r="D9" s="455">
        <f>transport!D14</f>
        <v>51.292831967963309</v>
      </c>
      <c r="E9" s="455">
        <f>transport!E14</f>
        <v>98.514383817959995</v>
      </c>
      <c r="F9" s="455">
        <f>transport!F14</f>
        <v>0</v>
      </c>
      <c r="G9" s="455">
        <f>transport!G14</f>
        <v>72444.649120674003</v>
      </c>
      <c r="H9" s="455">
        <f>transport!H14</f>
        <v>8890.268643583262</v>
      </c>
      <c r="I9" s="455">
        <f>transport!I14</f>
        <v>0</v>
      </c>
      <c r="J9" s="455">
        <f>transport!J14</f>
        <v>0</v>
      </c>
      <c r="K9" s="455">
        <f>transport!K14</f>
        <v>0</v>
      </c>
      <c r="L9" s="455">
        <f>transport!L14</f>
        <v>0</v>
      </c>
      <c r="M9" s="455">
        <f>transport!M14</f>
        <v>4494.3308919767687</v>
      </c>
      <c r="N9" s="455">
        <f>transport!N14</f>
        <v>0</v>
      </c>
      <c r="O9" s="455">
        <f>transport!O14</f>
        <v>0</v>
      </c>
      <c r="P9" s="455">
        <f>transport!P14</f>
        <v>0</v>
      </c>
      <c r="Q9" s="454">
        <f>SUM(B9:P9)</f>
        <v>85999.082166307213</v>
      </c>
    </row>
    <row r="10" spans="1:17">
      <c r="A10" s="450" t="s">
        <v>550</v>
      </c>
      <c r="B10" s="451">
        <f>transport!B54</f>
        <v>794.53499999999997</v>
      </c>
      <c r="C10" s="451">
        <f>transport!C54</f>
        <v>0</v>
      </c>
      <c r="D10" s="451">
        <f>transport!D54</f>
        <v>0</v>
      </c>
      <c r="E10" s="451">
        <f>transport!E54</f>
        <v>0</v>
      </c>
      <c r="F10" s="451">
        <f>transport!F54</f>
        <v>0</v>
      </c>
      <c r="G10" s="451">
        <f>transport!G54</f>
        <v>155.79044910935622</v>
      </c>
      <c r="H10" s="451">
        <f>transport!H54</f>
        <v>0</v>
      </c>
      <c r="I10" s="451">
        <f>transport!I54</f>
        <v>0</v>
      </c>
      <c r="J10" s="451">
        <f>transport!J54</f>
        <v>0</v>
      </c>
      <c r="K10" s="451">
        <f>transport!K54</f>
        <v>0</v>
      </c>
      <c r="L10" s="451">
        <f>transport!L54</f>
        <v>0</v>
      </c>
      <c r="M10" s="451">
        <f>transport!M54</f>
        <v>8.8475413743704578</v>
      </c>
      <c r="N10" s="451">
        <f>transport!N54</f>
        <v>0</v>
      </c>
      <c r="O10" s="451">
        <f>transport!O54</f>
        <v>0</v>
      </c>
      <c r="P10" s="452">
        <f>transport!P54</f>
        <v>0</v>
      </c>
      <c r="Q10" s="450">
        <f t="shared" si="0"/>
        <v>959.17299048372672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6217.7941344534402</v>
      </c>
      <c r="C14" s="458"/>
      <c r="D14" s="458">
        <f>'SEAP template'!E25</f>
        <v>9462.3549059781999</v>
      </c>
      <c r="E14" s="458"/>
      <c r="F14" s="458"/>
      <c r="G14" s="458"/>
      <c r="H14" s="458"/>
      <c r="I14" s="458"/>
      <c r="J14" s="458"/>
      <c r="K14" s="458"/>
      <c r="L14" s="458"/>
      <c r="M14" s="458"/>
      <c r="N14" s="458"/>
      <c r="O14" s="458"/>
      <c r="P14" s="459"/>
      <c r="Q14" s="450">
        <f t="shared" si="0"/>
        <v>15680.149040431639</v>
      </c>
    </row>
    <row r="15" spans="1:17" s="460" customFormat="1">
      <c r="A15" s="1005" t="s">
        <v>554</v>
      </c>
      <c r="B15" s="953">
        <f ca="1">SUM(B4:B14)</f>
        <v>62027.607610285449</v>
      </c>
      <c r="C15" s="953">
        <f t="shared" ref="C15:Q15" ca="1" si="1">SUM(C4:C14)</f>
        <v>0</v>
      </c>
      <c r="D15" s="953">
        <f t="shared" ca="1" si="1"/>
        <v>100294.68923490892</v>
      </c>
      <c r="E15" s="953">
        <f t="shared" si="1"/>
        <v>686.95222520114942</v>
      </c>
      <c r="F15" s="953">
        <f t="shared" ca="1" si="1"/>
        <v>7580.1858040602956</v>
      </c>
      <c r="G15" s="953">
        <f t="shared" si="1"/>
        <v>72600.439569783353</v>
      </c>
      <c r="H15" s="953">
        <f t="shared" si="1"/>
        <v>8890.268643583262</v>
      </c>
      <c r="I15" s="953">
        <f t="shared" si="1"/>
        <v>0</v>
      </c>
      <c r="J15" s="953">
        <f t="shared" si="1"/>
        <v>85.410741522169957</v>
      </c>
      <c r="K15" s="953">
        <f t="shared" si="1"/>
        <v>0</v>
      </c>
      <c r="L15" s="953">
        <f t="shared" ca="1" si="1"/>
        <v>0</v>
      </c>
      <c r="M15" s="953">
        <f t="shared" si="1"/>
        <v>4503.1784333511396</v>
      </c>
      <c r="N15" s="953">
        <f t="shared" ca="1" si="1"/>
        <v>2161.7114362569905</v>
      </c>
      <c r="O15" s="953">
        <f t="shared" si="1"/>
        <v>146.95333333333335</v>
      </c>
      <c r="P15" s="953">
        <f t="shared" si="1"/>
        <v>152.53333333333333</v>
      </c>
      <c r="Q15" s="953">
        <f t="shared" ca="1" si="1"/>
        <v>259129.93036561942</v>
      </c>
    </row>
    <row r="17" spans="1:17">
      <c r="A17" s="461" t="s">
        <v>555</v>
      </c>
      <c r="B17" s="760">
        <f ca="1">huishoudens!B10</f>
        <v>0.2152359369579428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5052.2154538548903</v>
      </c>
      <c r="C22" s="451">
        <f t="shared" ref="C22:C32" ca="1" si="3">C4*$C$17</f>
        <v>0</v>
      </c>
      <c r="D22" s="451">
        <f t="shared" ref="D22:D32" si="4">D4*$D$17</f>
        <v>11473.787109923791</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16526.002563778682</v>
      </c>
    </row>
    <row r="23" spans="1:17">
      <c r="A23" s="450" t="s">
        <v>155</v>
      </c>
      <c r="B23" s="451">
        <f t="shared" ca="1" si="2"/>
        <v>6034.9986737877271</v>
      </c>
      <c r="C23" s="451">
        <f t="shared" ca="1" si="3"/>
        <v>0</v>
      </c>
      <c r="D23" s="451">
        <f t="shared" ca="1" si="4"/>
        <v>6584.1894615261172</v>
      </c>
      <c r="E23" s="451">
        <f t="shared" si="5"/>
        <v>90.745511346838796</v>
      </c>
      <c r="F23" s="451">
        <f t="shared" ca="1" si="6"/>
        <v>1243.4905662453189</v>
      </c>
      <c r="G23" s="451">
        <f t="shared" si="7"/>
        <v>0</v>
      </c>
      <c r="H23" s="451">
        <f t="shared" si="8"/>
        <v>0</v>
      </c>
      <c r="I23" s="451">
        <f t="shared" si="9"/>
        <v>0</v>
      </c>
      <c r="J23" s="451">
        <f t="shared" si="10"/>
        <v>1.8355273910725518E-2</v>
      </c>
      <c r="K23" s="451">
        <f t="shared" si="11"/>
        <v>0</v>
      </c>
      <c r="L23" s="451">
        <f t="shared" ca="1" si="12"/>
        <v>0</v>
      </c>
      <c r="M23" s="451">
        <f t="shared" si="13"/>
        <v>0</v>
      </c>
      <c r="N23" s="451">
        <f t="shared" ca="1" si="14"/>
        <v>0</v>
      </c>
      <c r="O23" s="451">
        <f t="shared" si="15"/>
        <v>0</v>
      </c>
      <c r="P23" s="452">
        <f t="shared" si="16"/>
        <v>0</v>
      </c>
      <c r="Q23" s="450">
        <f t="shared" ref="Q23:Q32" ca="1" si="17">SUM(B23:P23)</f>
        <v>13953.442568179913</v>
      </c>
    </row>
    <row r="24" spans="1:17">
      <c r="A24" s="450" t="s">
        <v>193</v>
      </c>
      <c r="B24" s="451">
        <f t="shared" ca="1" si="2"/>
        <v>332.09807369332088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332.09807369332088</v>
      </c>
    </row>
    <row r="25" spans="1:17">
      <c r="A25" s="450" t="s">
        <v>111</v>
      </c>
      <c r="B25" s="451">
        <f t="shared" ca="1" si="2"/>
        <v>124.24780804296431</v>
      </c>
      <c r="C25" s="451">
        <f t="shared" ca="1" si="3"/>
        <v>0</v>
      </c>
      <c r="D25" s="451">
        <f t="shared" si="4"/>
        <v>8.3603523927000456</v>
      </c>
      <c r="E25" s="451">
        <f t="shared" si="5"/>
        <v>3.851629687122573</v>
      </c>
      <c r="F25" s="451">
        <f t="shared" si="6"/>
        <v>642.09434378609023</v>
      </c>
      <c r="G25" s="451">
        <f t="shared" si="7"/>
        <v>0</v>
      </c>
      <c r="H25" s="451">
        <f t="shared" si="8"/>
        <v>0</v>
      </c>
      <c r="I25" s="451">
        <f t="shared" si="9"/>
        <v>0</v>
      </c>
      <c r="J25" s="451">
        <f t="shared" si="10"/>
        <v>29.60610176542956</v>
      </c>
      <c r="K25" s="451">
        <f t="shared" si="11"/>
        <v>0</v>
      </c>
      <c r="L25" s="451">
        <f t="shared" si="12"/>
        <v>0</v>
      </c>
      <c r="M25" s="451">
        <f t="shared" si="13"/>
        <v>0</v>
      </c>
      <c r="N25" s="451">
        <f t="shared" si="14"/>
        <v>0</v>
      </c>
      <c r="O25" s="451">
        <f t="shared" si="15"/>
        <v>0</v>
      </c>
      <c r="P25" s="452">
        <f t="shared" si="16"/>
        <v>0</v>
      </c>
      <c r="Q25" s="450">
        <f t="shared" ca="1" si="17"/>
        <v>808.1602356743067</v>
      </c>
    </row>
    <row r="26" spans="1:17">
      <c r="A26" s="450" t="s">
        <v>634</v>
      </c>
      <c r="B26" s="451">
        <f t="shared" ca="1" si="2"/>
        <v>293.39462215422907</v>
      </c>
      <c r="C26" s="451">
        <f t="shared" ca="1" si="3"/>
        <v>0</v>
      </c>
      <c r="D26" s="451">
        <f t="shared" si="4"/>
        <v>271.4334585438707</v>
      </c>
      <c r="E26" s="451">
        <f t="shared" si="5"/>
        <v>38.978248960022626</v>
      </c>
      <c r="F26" s="451">
        <f t="shared" si="6"/>
        <v>138.32469965269004</v>
      </c>
      <c r="G26" s="451">
        <f t="shared" si="7"/>
        <v>0</v>
      </c>
      <c r="H26" s="451">
        <f t="shared" si="8"/>
        <v>0</v>
      </c>
      <c r="I26" s="451">
        <f t="shared" si="9"/>
        <v>0</v>
      </c>
      <c r="J26" s="451">
        <f t="shared" si="10"/>
        <v>0.61094545950787882</v>
      </c>
      <c r="K26" s="451">
        <f t="shared" si="11"/>
        <v>0</v>
      </c>
      <c r="L26" s="451">
        <f t="shared" si="12"/>
        <v>0</v>
      </c>
      <c r="M26" s="451">
        <f t="shared" si="13"/>
        <v>0</v>
      </c>
      <c r="N26" s="451">
        <f t="shared" si="14"/>
        <v>0</v>
      </c>
      <c r="O26" s="451">
        <f t="shared" si="15"/>
        <v>0</v>
      </c>
      <c r="P26" s="452">
        <f t="shared" si="16"/>
        <v>0</v>
      </c>
      <c r="Q26" s="450">
        <f t="shared" ca="1" si="17"/>
        <v>742.74197477032021</v>
      </c>
    </row>
    <row r="27" spans="1:17" s="456" customFormat="1">
      <c r="A27" s="454" t="s">
        <v>560</v>
      </c>
      <c r="B27" s="754">
        <f t="shared" ca="1" si="2"/>
        <v>4.3103782147132339</v>
      </c>
      <c r="C27" s="455">
        <f t="shared" ca="1" si="3"/>
        <v>0</v>
      </c>
      <c r="D27" s="455">
        <f t="shared" si="4"/>
        <v>10.361152057528589</v>
      </c>
      <c r="E27" s="455">
        <f t="shared" si="5"/>
        <v>22.362765126676919</v>
      </c>
      <c r="F27" s="455">
        <f t="shared" si="6"/>
        <v>0</v>
      </c>
      <c r="G27" s="455">
        <f t="shared" si="7"/>
        <v>19342.721315219958</v>
      </c>
      <c r="H27" s="455">
        <f t="shared" si="8"/>
        <v>2213.6768922522324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21593.43250287111</v>
      </c>
    </row>
    <row r="28" spans="1:17">
      <c r="A28" s="450" t="s">
        <v>550</v>
      </c>
      <c r="B28" s="451">
        <f t="shared" ca="1" si="2"/>
        <v>171.01248517087907</v>
      </c>
      <c r="C28" s="451">
        <f t="shared" ca="1" si="3"/>
        <v>0</v>
      </c>
      <c r="D28" s="451">
        <f t="shared" si="4"/>
        <v>0</v>
      </c>
      <c r="E28" s="451">
        <f t="shared" si="5"/>
        <v>0</v>
      </c>
      <c r="F28" s="451">
        <f t="shared" si="6"/>
        <v>0</v>
      </c>
      <c r="G28" s="451">
        <f t="shared" si="7"/>
        <v>41.596049912198112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212.60853508307719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1338.2927463406872</v>
      </c>
      <c r="C32" s="451">
        <f t="shared" ca="1" si="3"/>
        <v>0</v>
      </c>
      <c r="D32" s="451">
        <f t="shared" si="4"/>
        <v>1911.3956910075965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3249.6884373482835</v>
      </c>
    </row>
    <row r="33" spans="1:17" s="460" customFormat="1">
      <c r="A33" s="1005" t="s">
        <v>554</v>
      </c>
      <c r="B33" s="953">
        <f ca="1">SUM(B22:B32)</f>
        <v>13350.570241259411</v>
      </c>
      <c r="C33" s="953">
        <f t="shared" ref="C33:Q33" ca="1" si="18">SUM(C22:C32)</f>
        <v>0</v>
      </c>
      <c r="D33" s="953">
        <f t="shared" ca="1" si="18"/>
        <v>20259.527225451606</v>
      </c>
      <c r="E33" s="953">
        <f t="shared" si="18"/>
        <v>155.93815512066092</v>
      </c>
      <c r="F33" s="953">
        <f t="shared" ca="1" si="18"/>
        <v>2023.909609684099</v>
      </c>
      <c r="G33" s="953">
        <f t="shared" si="18"/>
        <v>19384.317365132156</v>
      </c>
      <c r="H33" s="953">
        <f t="shared" si="18"/>
        <v>2213.6768922522324</v>
      </c>
      <c r="I33" s="953">
        <f t="shared" si="18"/>
        <v>0</v>
      </c>
      <c r="J33" s="953">
        <f t="shared" si="18"/>
        <v>30.235402498848163</v>
      </c>
      <c r="K33" s="953">
        <f t="shared" si="18"/>
        <v>0</v>
      </c>
      <c r="L33" s="953">
        <f t="shared" ca="1" si="18"/>
        <v>0</v>
      </c>
      <c r="M33" s="953">
        <f t="shared" si="18"/>
        <v>0</v>
      </c>
      <c r="N33" s="953">
        <f t="shared" ca="1" si="18"/>
        <v>0</v>
      </c>
      <c r="O33" s="953">
        <f t="shared" si="18"/>
        <v>0</v>
      </c>
      <c r="P33" s="953">
        <f t="shared" si="18"/>
        <v>0</v>
      </c>
      <c r="Q33" s="953">
        <f t="shared" ca="1" si="18"/>
        <v>57418.174891399009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1617.7875140890146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1617.7875140890146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0.2152359369579428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0.2152359369579428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2020-06-20T15:45:28Z</dcterms:modified>
</cp:coreProperties>
</file>