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4" i="18"/>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V41" i="18"/>
  <c r="J9" i="18" s="1"/>
  <c r="J77" i="14" s="1"/>
  <c r="J9" i="61" s="1"/>
  <c r="U41" i="18"/>
  <c r="T41" i="18"/>
  <c r="I9" i="18" s="1"/>
  <c r="S41" i="18"/>
  <c r="E9" i="18" s="1"/>
  <c r="R41" i="18"/>
  <c r="Q41" i="18"/>
  <c r="P41" i="18"/>
  <c r="C9" i="18" s="1"/>
  <c r="O41" i="18"/>
  <c r="N41" i="18"/>
  <c r="B9" i="18" s="1"/>
  <c r="M41" i="18"/>
  <c r="W37" i="18"/>
  <c r="V37" i="18"/>
  <c r="U37" i="18"/>
  <c r="T37" i="18"/>
  <c r="S37" i="18"/>
  <c r="R37" i="18"/>
  <c r="Q37" i="18"/>
  <c r="N6" i="17" s="1"/>
  <c r="P37" i="18"/>
  <c r="O37" i="18"/>
  <c r="N37" i="18"/>
  <c r="M37" i="18"/>
  <c r="W36" i="18"/>
  <c r="V36" i="18"/>
  <c r="U36" i="18"/>
  <c r="T36" i="18"/>
  <c r="S36" i="18"/>
  <c r="F13" i="15" s="1"/>
  <c r="R36" i="18"/>
  <c r="Q36" i="18"/>
  <c r="P36" i="18"/>
  <c r="O36" i="18"/>
  <c r="N36" i="18"/>
  <c r="M36" i="18"/>
  <c r="W35" i="18"/>
  <c r="V35" i="18"/>
  <c r="U35" i="18"/>
  <c r="T35" i="18"/>
  <c r="S35" i="18"/>
  <c r="R35" i="18"/>
  <c r="Q35" i="18"/>
  <c r="P35" i="18"/>
  <c r="O35" i="18"/>
  <c r="N35" i="18"/>
  <c r="M35" i="18"/>
  <c r="W34" i="18"/>
  <c r="V34" i="18"/>
  <c r="U34" i="18"/>
  <c r="T34" i="18"/>
  <c r="S34" i="18"/>
  <c r="R34" i="18"/>
  <c r="Q34" i="18"/>
  <c r="P34" i="18"/>
  <c r="O34" i="18"/>
  <c r="N34" i="18"/>
  <c r="C50" i="18" s="1"/>
  <c r="M34"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50" i="18"/>
  <c r="D54"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3" i="18"/>
  <c r="H8" i="18" s="1"/>
  <c r="E53" i="18"/>
  <c r="E8" i="18" s="1"/>
  <c r="G53" i="18"/>
  <c r="F53" i="18"/>
  <c r="H53" i="18"/>
  <c r="D53" i="18"/>
  <c r="C53" i="18"/>
  <c r="B53" i="18"/>
  <c r="C8" i="18" s="1"/>
  <c r="C54" i="18"/>
  <c r="B54" i="18"/>
  <c r="C17" i="18" s="1"/>
  <c r="H54"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54" i="18"/>
  <c r="H17" i="18" s="1"/>
  <c r="F54" i="18"/>
  <c r="G54" i="18"/>
  <c r="E54" i="18"/>
  <c r="E17" i="18" s="1"/>
  <c r="E20" i="18" s="1"/>
  <c r="H78" i="14"/>
  <c r="H9" i="61"/>
  <c r="H10" i="61" s="1"/>
  <c r="O90" i="14"/>
  <c r="O18" i="61"/>
  <c r="O20" i="61" s="1"/>
  <c r="B88" i="14"/>
  <c r="B18" i="61" s="1"/>
  <c r="B77" i="14"/>
  <c r="B9" i="61" s="1"/>
  <c r="Q77" i="14"/>
  <c r="P9" i="61" s="1"/>
  <c r="J17" i="18"/>
  <c r="H20" i="18"/>
  <c r="M87" i="14"/>
  <c r="J8" i="18"/>
  <c r="O8" i="18" s="1"/>
  <c r="O10" i="18" s="1"/>
  <c r="M76" i="14"/>
  <c r="H10" i="18"/>
  <c r="C77" i="14"/>
  <c r="C9" i="61" s="1"/>
  <c r="C20" i="18"/>
  <c r="D87" i="14"/>
  <c r="D17" i="61" s="1"/>
  <c r="D20" i="61" s="1"/>
  <c r="D76" i="14"/>
  <c r="D8" i="61" s="1"/>
  <c r="D10" i="61" s="1"/>
  <c r="C10" i="18"/>
  <c r="C88" i="14"/>
  <c r="C18" i="61" s="1"/>
  <c r="F76" i="14"/>
  <c r="E10" i="18"/>
  <c r="I17" i="18"/>
  <c r="I10" i="18"/>
  <c r="I76" i="14"/>
  <c r="I8" i="61" s="1"/>
  <c r="I10" i="61" s="1"/>
  <c r="Q88" i="14"/>
  <c r="P18" i="61" s="1"/>
  <c r="I33" i="48"/>
  <c r="F87" i="14"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F16" i="14" l="1"/>
  <c r="F27" i="14" s="1"/>
  <c r="K13" i="14"/>
  <c r="K16" i="14" s="1"/>
  <c r="K27" i="14" s="1"/>
  <c r="J8" i="48"/>
  <c r="J26" i="48" s="1"/>
  <c r="J33" i="48" s="1"/>
  <c r="J15" i="48"/>
  <c r="H63" i="14"/>
  <c r="E8" i="48"/>
  <c r="E26" i="48" s="1"/>
  <c r="E33" i="48" s="1"/>
  <c r="F1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<sst xmlns="http://schemas.openxmlformats.org/spreadsheetml/2006/main" count="2449" uniqueCount="911">
  <si>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</si>
  <si>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</si>
  <si>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</si>
  <si>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</si>
  <si>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</si>
  <si>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</si>
  <si>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</si>
  <si>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</si>
  <si>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</si>
  <si>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</si>
  <si>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</si>
  <si>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</si>
  <si>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</si>
  <si>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</si>
  <si>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</si>
  <si>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</si>
  <si>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</si>
  <si>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</si>
  <si>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</si>
  <si>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</si>
  <si>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</si>
  <si>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</si>
  <si>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</si>
  <si>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</si>
  <si>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</si>
  <si>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</si>
  <si>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</si>
  <si>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</si>
  <si>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</si>
  <si>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</si>
  <si>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</si>
  <si>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</si>
  <si>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</si>
  <si>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</si>
  <si>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</si>
  <si>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</si>
  <si>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</si>
  <si>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</si>
  <si>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</si>
  <si>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</si>
  <si>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</si>
  <si>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</si>
  <si>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</si>
  <si>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</si>
  <si>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</si>
  <si>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</si>
  <si>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</si>
  <si>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</si>
  <si>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</si>
  <si>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</si>
  <si>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</si>
  <si>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</si>
  <si>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</si>
  <si>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</si>
  <si>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</si>
  <si>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</si>
  <si>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</si>
  <si>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</si>
  <si>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</si>
  <si>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</si>
  <si>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</si>
  <si>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</si>
  <si>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</si>
  <si>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</si>
  <si>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</si>
  <si>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</si>
  <si>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</si>
  <si>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</si>
  <si>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</si>
  <si>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</si>
  <si>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</si>
  <si>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</si>
  <si>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</si>
  <si>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</si>
  <si>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</si>
  <si>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</si>
  <si>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</si>
  <si>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</si>
  <si>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</si>
  <si>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</si>
  <si>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</si>
  <si>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</si>
  <si>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</si>
  <si>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</si>
  <si>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</si>
  <si>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</si>
  <si>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</si>
  <si>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</si>
  <si>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</si>
  <si>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</si>
  <si>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</si>
  <si>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</si>
  <si>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</si>
  <si>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</si>
  <si>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</si>
  <si>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</si>
  <si>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</si>
  <si>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</si>
  <si>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</si>
  <si>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</si>
  <si>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</si>
  <si>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</si>
  <si>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</si>
  <si>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</si>
  <si>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</si>
  <si>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</si>
  <si>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</si>
  <si>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</si>
  <si>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</si>
  <si>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</si>
  <si>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</si>
  <si>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</si>
  <si>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</si>
  <si>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</si>
  <si>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</si>
  <si>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</si>
  <si>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</si>
  <si>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</si>
  <si>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</si>
  <si>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</si>
  <si>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</si>
  <si>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</si>
  <si>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</si>
  <si>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</si>
  <si>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</si>
  <si>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</si>
  <si>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</si>
  <si>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</si>
  <si>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</si>
  <si>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</si>
  <si>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</si>
  <si>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</si>
  <si>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</si>
  <si>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</si>
  <si>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</si>
  <si>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</si>
  <si>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</si>
  <si>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</si>
  <si>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</si>
  <si>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</si>
  <si>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</si>
  <si>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</si>
  <si>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</si>
  <si>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</si>
  <si>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</si>
  <si>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</si>
  <si>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</si>
  <si>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</si>
  <si>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</si>
  <si>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</si>
  <si>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</si>
  <si>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</si>
  <si>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</si>
  <si>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</si>
  <si>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</si>
  <si>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</si>
  <si>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</si>
  <si>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</si>
  <si>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</si>
  <si>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</si>
  <si>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</si>
  <si>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</si>
  <si>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</si>
  <si>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</si>
  <si>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</si>
  <si>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</si>
  <si>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</si>
  <si>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</si>
  <si>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</si>
  <si>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</si>
  <si>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</si>
  <si>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</si>
  <si>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</si>
  <si>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</si>
  <si>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</si>
  <si>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</si>
  <si>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</si>
  <si>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</si>
  <si>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</si>
  <si>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</si>
  <si>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</si>
  <si>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</si>
  <si>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</si>
  <si>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</si>
  <si>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</si>
  <si>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</si>
  <si>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</si>
  <si>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</si>
  <si>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</si>
  <si>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</si>
  <si>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</si>
  <si>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</si>
  <si>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</si>
  <si>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</si>
  <si>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</si>
  <si>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</si>
  <si>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</si>
  <si>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</si>
  <si>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</si>
  <si>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</si>
  <si>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</si>
  <si>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</si>
  <si>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</si>
  <si>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</si>
  <si>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</si>
  <si>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</si>
  <si>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</si>
  <si>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</si>
  <si>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</si>
  <si>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</si>
  <si>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</si>
  <si>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</si>
  <si>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</si>
  <si>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</si>
  <si>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</si>
  <si>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</si>
  <si>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</si>
  <si>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</si>
  <si>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</si>
  <si>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</si>
  <si>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</si>
  <si>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</si>
  <si>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</si>
  <si>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</si>
  <si>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</si>
  <si>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</si>
  <si>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</si>
  <si>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</si>
  <si>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</si>
  <si>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</si>
  <si>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</si>
  <si>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</si>
  <si>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</si>
  <si>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</si>
  <si>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</si>
  <si>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</si>
  <si>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</si>
  <si>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</si>
  <si>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</si>
  <si>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</si>
  <si>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</si>
  <si>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</si>
  <si>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</si>
  <si>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</si>
  <si>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</si>
  <si>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</si>
  <si>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</si>
  <si>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</si>
  <si>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</si>
  <si>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</si>
  <si>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</si>
  <si>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</si>
  <si>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</si>
  <si>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</si>
  <si>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</si>
  <si>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</si>
  <si>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</si>
  <si>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</si>
  <si>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</si>
  <si>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</si>
  <si>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</si>
  <si>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</si>
  <si>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</si>
  <si>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</si>
  <si>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</si>
  <si>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</si>
  <si>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</si>
  <si>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</si>
  <si>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</si>
  <si>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</si>
  <si>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</si>
  <si>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</si>
  <si>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</si>
  <si>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</si>
  <si>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</si>
  <si>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</si>
  <si>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</si>
  <si>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</si>
  <si>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</si>
  <si>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</si>
  <si>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</si>
  <si>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</si>
  <si>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</si>
  <si>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</si>
  <si>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</si>
  <si>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</si>
  <si>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</si>
  <si>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</si>
  <si>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</si>
  <si>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</si>
  <si>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</si>
  <si>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</si>
  <si>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</si>
  <si>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</si>
  <si>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</si>
  <si>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</si>
  <si>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</si>
  <si>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</si>
  <si>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</si>
  <si>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</si>
  <si>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</si>
  <si>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</si>
  <si>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</si>
  <si>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</si>
  <si>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</si>
  <si>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</si>
  <si>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</si>
  <si>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</si>
  <si>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</si>
  <si>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</si>
  <si>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</si>
  <si>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</si>
  <si>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</si>
  <si>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</si>
  <si>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</si>
  <si>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</si>
  <si>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</si>
  <si>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</si>
  <si>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</si>
  <si>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</si>
  <si>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</si>
  <si>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</si>
  <si>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</si>
  <si>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</si>
  <si>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</si>
  <si>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</si>
  <si>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</si>
  <si>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</si>
  <si>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</si>
  <si>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</si>
  <si>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</si>
  <si>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</si>
  <si>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</si>
  <si>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</si>
  <si>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</si>
  <si>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</si>
  <si>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</si>
  <si>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</si>
  <si>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</si>
  <si>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</si>
  <si>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</si>
  <si>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</si>
  <si>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</si>
  <si>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</si>
  <si>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</si>
  <si>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</si>
  <si>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</si>
  <si>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</si>
  <si>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</si>
  <si>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</si>
  <si>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</si>
  <si>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</si>
  <si>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</si>
  <si>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</si>
  <si>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</si>
  <si>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</si>
  <si>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</si>
  <si>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</si>
  <si>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</si>
  <si>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</si>
  <si>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</si>
  <si>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</si>
  <si>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</si>
  <si>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</si>
  <si>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</si>
  <si>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</si>
  <si>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</si>
  <si>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</si>
  <si>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</si>
  <si>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</si>
  <si>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</si>
  <si>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</si>
  <si>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</si>
  <si>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</si>
  <si>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</si>
  <si>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</si>
  <si>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</si>
  <si>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</si>
  <si>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</si>
  <si>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</si>
  <si>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</si>
  <si>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</si>
  <si>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</si>
  <si>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</si>
  <si>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</si>
  <si>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</si>
  <si>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</si>
  <si>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</si>
  <si>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</si>
  <si>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</si>
  <si>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</si>
  <si>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</si>
  <si>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</si>
  <si>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</si>
  <si>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</si>
  <si>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</si>
  <si>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</si>
  <si>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</si>
  <si>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</si>
  <si>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</si>
  <si>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</si>
  <si>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</si>
  <si>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</si>
  <si>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</si>
  <si>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</si>
  <si>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</si>
  <si>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</si>
  <si>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</si>
  <si>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</si>
  <si>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</si>
  <si>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</si>
  <si>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</si>
  <si>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</si>
  <si>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</si>
  <si>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</si>
  <si>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</si>
  <si>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</si>
  <si>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</si>
  <si>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</si>
  <si>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</si>
  <si>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</si>
  <si>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</si>
  <si>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</si>
  <si>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</si>
  <si>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</si>
  <si>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</si>
  <si>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</si>
  <si>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</si>
  <si>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</si>
  <si>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</si>
  <si>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</si>
  <si>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</si>
  <si>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</si>
  <si>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</si>
  <si>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</si>
  <si>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</si>
  <si>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</si>
  <si>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</si>
  <si>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</si>
  <si>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</si>
  <si>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</si>
  <si>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</si>
  <si>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</si>
  <si>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</si>
  <si>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</si>
  <si>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</si>
  <si>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</si>
  <si>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</si>
  <si>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</si>
  <si>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</si>
  <si>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</si>
  <si>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</si>
  <si>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</si>
  <si>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</si>
  <si>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</si>
  <si>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</si>
  <si>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</si>
  <si>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</si>
  <si>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</si>
  <si>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</si>
  <si>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</si>
  <si>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</si>
  <si>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</si>
  <si>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</si>
  <si>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</si>
  <si>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</si>
  <si>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</si>
  <si>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</si>
  <si>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</si>
  <si>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</si>
  <si>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</si>
  <si>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</si>
  <si>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</si>
  <si>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</si>
  <si>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</si>
  <si>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</si>
  <si>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</si>
  <si>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</si>
  <si>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</si>
  <si>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</si>
  <si>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</si>
  <si>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</si>
  <si>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</si>
  <si>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</si>
  <si>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</si>
  <si>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</si>
  <si>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</si>
  <si>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</si>
  <si>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</si>
  <si>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</si>
  <si>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</si>
  <si>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</si>
  <si>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</si>
  <si>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</si>
  <si>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</si>
  <si>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</si>
  <si>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</si>
  <si>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</si>
  <si>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</si>
  <si>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</si>
  <si>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</si>
  <si>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</si>
  <si>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</si>
  <si>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</si>
  <si>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</si>
  <si>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</si>
  <si>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</si>
  <si>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</si>
  <si>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</si>
  <si>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</si>
  <si>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</si>
  <si>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</si>
  <si>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</si>
  <si>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</si>
  <si>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</si>
  <si>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</si>
  <si>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</si>
  <si>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</si>
  <si>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</si>
  <si>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</si>
  <si>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</si>
  <si>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</si>
  <si>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</si>
  <si>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</si>
  <si>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</si>
  <si>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</si>
  <si>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</si>
  <si>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</si>
  <si>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</si>
  <si>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</si>
  <si>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</si>
  <si>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</si>
  <si>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</si>
  <si>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</si>
  <si>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</si>
  <si>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</si>
  <si>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</si>
  <si>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</si>
  <si>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</si>
  <si>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</si>
  <si>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</si>
  <si>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</si>
  <si>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</si>
  <si>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</si>
  <si>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</si>
  <si>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</si>
  <si>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</si>
  <si>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</si>
  <si>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</si>
  <si>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</si>
  <si>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</si>
  <si>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</si>
  <si>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</si>
  <si>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</si>
  <si>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</si>
  <si>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</si>
  <si>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</si>
  <si>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</si>
  <si>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</si>
  <si>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</si>
  <si>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</si>
  <si>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</si>
  <si>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</si>
  <si>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</si>
  <si>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</si>
  <si>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</si>
  <si>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</si>
  <si>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</si>
  <si>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</si>
  <si>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</si>
  <si>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</si>
  <si>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</si>
  <si>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</si>
  <si>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</si>
  <si>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</si>
  <si>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</si>
  <si>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</si>
  <si>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</si>
  <si>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</si>
  <si>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</si>
  <si>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</si>
  <si>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</si>
  <si>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</si>
  <si>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</si>
  <si>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</si>
  <si>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</si>
  <si>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</si>
  <si>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</si>
  <si>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</si>
  <si>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</si>
  <si>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</si>
  <si>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</si>
  <si>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</si>
  <si>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</si>
  <si>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</si>
  <si>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</si>
  <si>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</si>
  <si>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</si>
  <si>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</si>
  <si>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</si>
  <si>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</si>
  <si>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</si>
  <si>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</si>
  <si>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</si>
  <si>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</si>
  <si>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</si>
  <si>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</si>
  <si>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</si>
  <si>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</si>
  <si>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</si>
  <si>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</si>
  <si>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</si>
  <si>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</si>
  <si>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</si>
  <si>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</si>
  <si>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</si>
  <si>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</si>
  <si>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</si>
  <si>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</si>
  <si>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</si>
  <si>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</si>
  <si>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</si>
  <si>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</si>
  <si>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</si>
  <si>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</si>
  <si>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</si>
  <si>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</si>
  <si>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</si>
  <si>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</si>
  <si>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</si>
  <si>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</si>
  <si>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</si>
  <si>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</si>
  <si>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</si>
  <si>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</si>
  <si>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</si>
  <si>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</si>
  <si>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</si>
  <si>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</si>
  <si>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</si>
  <si>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</si>
  <si>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</si>
  <si>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</si>
  <si>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</si>
  <si>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</si>
  <si>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</si>
  <si>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</si>
  <si>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</si>
  <si>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</si>
  <si>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</si>
  <si>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</si>
  <si>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</si>
  <si>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</si>
  <si>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</si>
  <si>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</si>
  <si>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</si>
  <si>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</si>
  <si>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</si>
  <si>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</si>
  <si>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</si>
  <si>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</si>
  <si>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</si>
  <si>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</si>
  <si>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</si>
  <si>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</si>
  <si>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</si>
  <si>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</si>
  <si>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</si>
  <si>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</si>
  <si>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</si>
  <si>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</si>
  <si>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</si>
  <si>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</si>
  <si>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</si>
  <si>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</si>
  <si>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</si>
  <si>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</si>
  <si>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</si>
  <si>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</si>
  <si>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</si>
  <si>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</si>
  <si>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</si>
  <si>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</si>
  <si>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</si>
  <si>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</si>
  <si>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</si>
  <si>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</si>
  <si>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</si>
  <si>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</si>
  <si>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</si>
  <si>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</si>
  <si>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</si>
  <si>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</si>
  <si>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</si>
  <si>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</si>
  <si>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</si>
  <si>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</si>
  <si>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</si>
  <si>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</si>
  <si>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</si>
  <si>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</si>
  <si>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</si>
  <si>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</si>
  <si>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</si>
  <si>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</si>
  <si>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</si>
  <si>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</si>
  <si>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</si>
  <si>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</si>
  <si>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</si>
  <si>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</si>
  <si>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</si>
  <si>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</si>
  <si>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</si>
  <si>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</si>
  <si>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</si>
  <si>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</si>
  <si>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</si>
  <si>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</si>
  <si>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</si>
  <si>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</si>
  <si>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</si>
  <si>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</si>
  <si>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</si>
  <si>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</si>
  <si>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</si>
  <si>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</si>
  <si>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</si>
  <si>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</si>
  <si>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</si>
  <si>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</si>
  <si>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</si>
  <si>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</si>
  <si>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</si>
  <si>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</si>
  <si>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</si>
  <si>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</si>
  <si>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</si>
  <si>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</si>
  <si>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</si>
  <si>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</si>
  <si>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</si>
  <si>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</si>
  <si>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</si>
  <si>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</si>
  <si>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</si>
  <si>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</si>
  <si>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</si>
  <si>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</si>
  <si>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</si>
  <si>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</si>
  <si>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</si>
  <si>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</si>
  <si>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</si>
  <si>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</si>
  <si>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</si>
  <si>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</si>
  <si>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</si>
  <si>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</si>
  <si>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</si>
  <si>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</si>
  <si>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</si>
  <si>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</si>
  <si>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</si>
  <si>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</si>
  <si>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</si>
  <si>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</si>
  <si>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</si>
  <si>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</si>
  <si>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</si>
  <si>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</si>
  <si>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</si>
  <si>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</si>
  <si>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</si>
  <si>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</si>
  <si>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</si>
  <si>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</si>
  <si>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</si>
  <si>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</si>
  <si>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</si>
  <si>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</si>
  <si>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</si>
  <si>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</si>
  <si>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</si>
  <si>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</si>
  <si>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</si>
  <si>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</si>
  <si>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</si>
  <si>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</si>
  <si>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</si>
  <si>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</si>
  <si>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</si>
  <si>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</si>
  <si>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</si>
  <si>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</si>
  <si>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</si>
  <si>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</si>
  <si>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</si>
  <si>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</si>
  <si>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</si>
  <si>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</si>
  <si>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</si>
  <si>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</si>
  <si>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</si>
  <si>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</si>
  <si>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</si>
  <si>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</si>
  <si>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</si>
  <si>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</si>
  <si>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</si>
  <si>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</si>
  <si>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</si>
  <si>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</si>
  <si>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</si>
  <si>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</si>
  <si>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</si>
  <si>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</si>
  <si>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</si>
  <si>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</si>
  <si>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</si>
  <si>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</si>
  <si>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</si>
  <si>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</si>
  <si>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</si>
  <si>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</si>
  <si>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</si>
  <si>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</si>
  <si>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</si>
  <si>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</si>
  <si>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</si>
  <si>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</si>
  <si>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</si>
  <si>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</si>
  <si>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</si>
  <si>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</si>
  <si>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</si>
  <si>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</si>
  <si>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</si>
  <si>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</si>
  <si>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</si>
  <si>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</si>
  <si>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</si>
  <si>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</si>
  <si>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</si>
  <si>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</si>
  <si>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</si>
  <si>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</si>
  <si>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</si>
  <si>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</si>
  <si>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</si>
  <si>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</si>
  <si>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</si>
  <si>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</si>
  <si>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</si>
  <si>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</si>
  <si>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</si>
  <si>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</si>
  <si>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</si>
  <si>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</si>
  <si>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</si>
  <si>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</si>
  <si>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</si>
  <si>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</si>
  <si>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</si>
  <si>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</si>
  <si>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</si>
  <si>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</si>
  <si>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</si>
  <si>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</si>
  <si>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</si>
  <si>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</si>
  <si>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</si>
  <si>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</si>
  <si>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</si>
  <si>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</si>
  <si>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</si>
  <si>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</si>
  <si>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</si>
  <si>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</si>
  <si>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</si>
  <si>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</si>
  <si>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</si>
  <si>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</si>
  <si>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37020</t>
  </si>
  <si>
    <t>ARDOOIE</t>
  </si>
  <si>
    <t>Fluvius</t>
  </si>
  <si>
    <t>referentietaak LNE (2017); Jaarverslag De Lijn</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</si>
  <si>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</si>
  <si>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</si>
  <si>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</si>
  <si>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</si>
  <si>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</si>
  <si>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</si>
  <si>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</si>
  <si>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</si>
  <si>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</si>
  <si>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</si>
  <si>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</si>
  <si>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</si>
  <si>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</si>
  <si>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</si>
  <si>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</si>
  <si>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</si>
  <si>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</si>
  <si>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</si>
  <si>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</si>
  <si>
    <t>Digrom II</t>
  </si>
  <si>
    <t>WKK-0784</t>
  </si>
  <si>
    <t>Biogas - hoofdzakelijk agrarische stromen</t>
  </si>
  <si>
    <t>Wezestraat 61, 8850 Ardooie, BE</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</si>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</sst>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90384.650090049225</c:v>
                </c:pt>
                <c:pt idx="1">
                  <c:v>21013.819164226825</c:v>
                </c:pt>
                <c:pt idx="2">
                  <c:v>685.822</c:v>
                </c:pt>
                <c:pt idx="3">
                  <c:v>89790.458754633641</c:v>
                </c:pt>
                <c:pt idx="4">
                  <c:v>349907.96026273875</c:v>
                </c:pt>
                <c:pt idx="5">
                  <c:v>158805.03331852506</c:v>
                </c:pt>
                <c:pt idx="6">
                  <c:v>980.47272912768722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90384.650090049225</c:v>
                </c:pt>
                <c:pt idx="1">
                  <c:v>21013.819164226825</c:v>
                </c:pt>
                <c:pt idx="2">
                  <c:v>685.822</c:v>
                </c:pt>
                <c:pt idx="3">
                  <c:v>89790.458754633641</c:v>
                </c:pt>
                <c:pt idx="4">
                  <c:v>349907.96026273875</c:v>
                </c:pt>
                <c:pt idx="5">
                  <c:v>158805.03331852506</c:v>
                </c:pt>
                <c:pt idx="6">
                  <c:v>980.47272912768722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17039.549036454766</c:v>
                </c:pt>
                <c:pt idx="2">
                  <c:v>4278.0166433377162</c:v>
                </c:pt>
                <c:pt idx="3">
                  <c:v>142.16520110127337</c:v>
                </c:pt>
                <c:pt idx="4">
                  <c:v>19548.492050671539</c:v>
                </c:pt>
                <c:pt idx="5">
                  <c:v>71487.757319912911</c:v>
                </c:pt>
                <c:pt idx="6">
                  <c:v>39789.670436837689</c:v>
                </c:pt>
                <c:pt idx="7">
                  <c:v>247.71799302528277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17039.549036454766</c:v>
                </c:pt>
                <c:pt idx="2">
                  <c:v>4278.0166433377162</c:v>
                </c:pt>
                <c:pt idx="3">
                  <c:v>142.16520110127337</c:v>
                </c:pt>
                <c:pt idx="4">
                  <c:v>19548.492050671539</c:v>
                </c:pt>
                <c:pt idx="5">
                  <c:v>71487.757319912911</c:v>
                </c:pt>
                <c:pt idx="6">
                  <c:v>39789.670436837689</c:v>
                </c:pt>
                <c:pt idx="7">
                  <c:v>247.71799302528277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37020</v>
      </c>
      <c r="B6" s="390"/>
      <c r="C6" s="391"/>
    </row>
    <row r="7" spans="1:7" s="388" customFormat="1" ht="15.75" customHeight="1">
      <c r="A7" s="392" t="str">
        <f>txtMunicipality</f>
        <v>ARDOOIE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0.20729168953645896</v>
      </c>
      <c r="C17" s="498">
        <f ca="1">'EF ele_warmte'!B22</f>
        <v>0.18210650914256082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0.20729168953645896</v>
      </c>
      <c r="C29" s="499">
        <f ca="1">'EF ele_warmte'!B22</f>
        <v>0.18210650914256082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3788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2256.62</v>
      </c>
      <c r="C14" s="330"/>
      <c r="D14" s="330"/>
      <c r="E14" s="330"/>
      <c r="F14" s="330"/>
    </row>
    <row r="15" spans="1:6">
      <c r="A15" s="1293" t="s">
        <v>183</v>
      </c>
      <c r="B15" s="1294">
        <v>18</v>
      </c>
      <c r="C15" s="330"/>
      <c r="D15" s="330"/>
      <c r="E15" s="330"/>
      <c r="F15" s="330"/>
    </row>
    <row r="16" spans="1:6">
      <c r="A16" s="1293" t="s">
        <v>6</v>
      </c>
      <c r="B16" s="1294">
        <v>677</v>
      </c>
      <c r="C16" s="330"/>
      <c r="D16" s="330"/>
      <c r="E16" s="330"/>
      <c r="F16" s="330"/>
    </row>
    <row r="17" spans="1:6">
      <c r="A17" s="1293" t="s">
        <v>7</v>
      </c>
      <c r="B17" s="1294">
        <v>602</v>
      </c>
      <c r="C17" s="330"/>
      <c r="D17" s="330"/>
      <c r="E17" s="330"/>
      <c r="F17" s="330"/>
    </row>
    <row r="18" spans="1:6">
      <c r="A18" s="1293" t="s">
        <v>8</v>
      </c>
      <c r="B18" s="1294">
        <v>811</v>
      </c>
      <c r="C18" s="330"/>
      <c r="D18" s="330"/>
      <c r="E18" s="330"/>
      <c r="F18" s="330"/>
    </row>
    <row r="19" spans="1:6">
      <c r="A19" s="1293" t="s">
        <v>9</v>
      </c>
      <c r="B19" s="1294">
        <v>740</v>
      </c>
      <c r="C19" s="330"/>
      <c r="D19" s="330"/>
      <c r="E19" s="330"/>
      <c r="F19" s="330"/>
    </row>
    <row r="20" spans="1:6">
      <c r="A20" s="1293" t="s">
        <v>10</v>
      </c>
      <c r="B20" s="1294">
        <v>577</v>
      </c>
      <c r="C20" s="330"/>
      <c r="D20" s="330"/>
      <c r="E20" s="330"/>
      <c r="F20" s="330"/>
    </row>
    <row r="21" spans="1:6">
      <c r="A21" s="1293" t="s">
        <v>11</v>
      </c>
      <c r="B21" s="1294">
        <v>19614</v>
      </c>
      <c r="C21" s="330"/>
      <c r="D21" s="330"/>
      <c r="E21" s="330"/>
      <c r="F21" s="330"/>
    </row>
    <row r="22" spans="1:6">
      <c r="A22" s="1293" t="s">
        <v>12</v>
      </c>
      <c r="B22" s="1294">
        <v>71437</v>
      </c>
      <c r="C22" s="330"/>
      <c r="D22" s="330"/>
      <c r="E22" s="330"/>
      <c r="F22" s="330"/>
    </row>
    <row r="23" spans="1:6">
      <c r="A23" s="1293" t="s">
        <v>13</v>
      </c>
      <c r="B23" s="1294">
        <v>969</v>
      </c>
      <c r="C23" s="330"/>
      <c r="D23" s="330"/>
      <c r="E23" s="330"/>
      <c r="F23" s="330"/>
    </row>
    <row r="24" spans="1:6">
      <c r="A24" s="1293" t="s">
        <v>14</v>
      </c>
      <c r="B24" s="1294">
        <v>36</v>
      </c>
      <c r="C24" s="330"/>
      <c r="D24" s="330"/>
      <c r="E24" s="330"/>
      <c r="F24" s="330"/>
    </row>
    <row r="25" spans="1:6">
      <c r="A25" s="1293" t="s">
        <v>15</v>
      </c>
      <c r="B25" s="1294">
        <v>4585</v>
      </c>
      <c r="C25" s="330"/>
      <c r="D25" s="330"/>
      <c r="E25" s="330"/>
      <c r="F25" s="330"/>
    </row>
    <row r="26" spans="1:6">
      <c r="A26" s="1293" t="s">
        <v>16</v>
      </c>
      <c r="B26" s="1294">
        <v>47</v>
      </c>
      <c r="C26" s="330"/>
      <c r="D26" s="330"/>
      <c r="E26" s="330"/>
      <c r="F26" s="330"/>
    </row>
    <row r="27" spans="1:6">
      <c r="A27" s="1293" t="s">
        <v>17</v>
      </c>
      <c r="B27" s="1294">
        <v>2</v>
      </c>
      <c r="C27" s="330"/>
      <c r="D27" s="330"/>
      <c r="E27" s="330"/>
      <c r="F27" s="330"/>
    </row>
    <row r="28" spans="1:6" s="43" customFormat="1">
      <c r="A28" s="1295" t="s">
        <v>18</v>
      </c>
      <c r="B28" s="1296">
        <v>458569</v>
      </c>
      <c r="C28" s="336"/>
      <c r="D28" s="336"/>
      <c r="E28" s="336"/>
      <c r="F28" s="336"/>
    </row>
    <row r="29" spans="1:6">
      <c r="A29" s="1295" t="s">
        <v>734</v>
      </c>
      <c r="B29" s="1296">
        <v>105</v>
      </c>
      <c r="C29" s="336"/>
      <c r="D29" s="336"/>
      <c r="E29" s="336"/>
      <c r="F29" s="336"/>
    </row>
    <row r="30" spans="1:6">
      <c r="A30" s="1288" t="s">
        <v>735</v>
      </c>
      <c r="B30" s="1297">
        <v>11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66913417.600199997</v>
      </c>
      <c r="E38" s="1294">
        <v>2</v>
      </c>
      <c r="F38" s="1294">
        <v>157850.64415718699</v>
      </c>
    </row>
    <row r="39" spans="1:6">
      <c r="A39" s="1293" t="s">
        <v>29</v>
      </c>
      <c r="B39" s="1293" t="s">
        <v>30</v>
      </c>
      <c r="C39" s="1294">
        <v>2122</v>
      </c>
      <c r="D39" s="1294">
        <v>33993350.524908498</v>
      </c>
      <c r="E39" s="1294">
        <v>3446</v>
      </c>
      <c r="F39" s="1294">
        <v>12917572.0636799</v>
      </c>
    </row>
    <row r="40" spans="1:6">
      <c r="A40" s="1293" t="s">
        <v>29</v>
      </c>
      <c r="B40" s="1293" t="s">
        <v>28</v>
      </c>
      <c r="C40" s="1294">
        <v>0</v>
      </c>
      <c r="D40" s="1294">
        <v>0</v>
      </c>
      <c r="E40" s="1294">
        <v>0</v>
      </c>
      <c r="F40" s="1294">
        <v>0</v>
      </c>
    </row>
    <row r="41" spans="1:6">
      <c r="A41" s="1293" t="s">
        <v>31</v>
      </c>
      <c r="B41" s="1293" t="s">
        <v>32</v>
      </c>
      <c r="C41" s="1294">
        <v>41</v>
      </c>
      <c r="D41" s="1294">
        <v>1030385.60383599</v>
      </c>
      <c r="E41" s="1294">
        <v>114</v>
      </c>
      <c r="F41" s="1294">
        <v>1740188.84173954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15</v>
      </c>
      <c r="F44" s="1294">
        <v>497291.672790443</v>
      </c>
    </row>
    <row r="45" spans="1:6">
      <c r="A45" s="1293" t="s">
        <v>31</v>
      </c>
      <c r="B45" s="1293" t="s">
        <v>36</v>
      </c>
      <c r="C45" s="1294">
        <v>0</v>
      </c>
      <c r="D45" s="1294">
        <v>0</v>
      </c>
      <c r="E45" s="1294">
        <v>4</v>
      </c>
      <c r="F45" s="1294">
        <v>168054.35993085199</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45</v>
      </c>
      <c r="D48" s="1294">
        <v>57752606.434720799</v>
      </c>
      <c r="E48" s="1294">
        <v>52</v>
      </c>
      <c r="F48" s="1294">
        <v>73214896.394928694</v>
      </c>
    </row>
    <row r="49" spans="1:6">
      <c r="A49" s="1293" t="s">
        <v>31</v>
      </c>
      <c r="B49" s="1293" t="s">
        <v>39</v>
      </c>
      <c r="C49" s="1294">
        <v>3</v>
      </c>
      <c r="D49" s="1294">
        <v>129368.014378363</v>
      </c>
      <c r="E49" s="1294">
        <v>7</v>
      </c>
      <c r="F49" s="1294">
        <v>185673.441664062</v>
      </c>
    </row>
    <row r="50" spans="1:6">
      <c r="A50" s="1293" t="s">
        <v>31</v>
      </c>
      <c r="B50" s="1293" t="s">
        <v>40</v>
      </c>
      <c r="C50" s="1294">
        <v>11</v>
      </c>
      <c r="D50" s="1294">
        <v>58485302.250860304</v>
      </c>
      <c r="E50" s="1294">
        <v>12</v>
      </c>
      <c r="F50" s="1294">
        <v>125878039.687511</v>
      </c>
    </row>
    <row r="51" spans="1:6">
      <c r="A51" s="1293" t="s">
        <v>41</v>
      </c>
      <c r="B51" s="1293" t="s">
        <v>42</v>
      </c>
      <c r="C51" s="1294">
        <v>9</v>
      </c>
      <c r="D51" s="1294">
        <v>1244355.4009849399</v>
      </c>
      <c r="E51" s="1294">
        <v>186</v>
      </c>
      <c r="F51" s="1294">
        <v>6290859.77730304</v>
      </c>
    </row>
    <row r="52" spans="1:6">
      <c r="A52" s="1293" t="s">
        <v>41</v>
      </c>
      <c r="B52" s="1293" t="s">
        <v>28</v>
      </c>
      <c r="C52" s="1294">
        <v>5</v>
      </c>
      <c r="D52" s="1294">
        <v>22634732.4594616</v>
      </c>
      <c r="E52" s="1294">
        <v>13</v>
      </c>
      <c r="F52" s="1294">
        <v>1601761.7435339999</v>
      </c>
    </row>
    <row r="53" spans="1:6">
      <c r="A53" s="1293" t="s">
        <v>43</v>
      </c>
      <c r="B53" s="1293" t="s">
        <v>44</v>
      </c>
      <c r="C53" s="1294">
        <v>46</v>
      </c>
      <c r="D53" s="1294">
        <v>1033155.39565059</v>
      </c>
      <c r="E53" s="1294">
        <v>105</v>
      </c>
      <c r="F53" s="1294">
        <v>510643.38749125699</v>
      </c>
    </row>
    <row r="54" spans="1:6">
      <c r="A54" s="1293" t="s">
        <v>45</v>
      </c>
      <c r="B54" s="1293" t="s">
        <v>46</v>
      </c>
      <c r="C54" s="1294">
        <v>0</v>
      </c>
      <c r="D54" s="1294">
        <v>0</v>
      </c>
      <c r="E54" s="1294">
        <v>1</v>
      </c>
      <c r="F54" s="1294">
        <v>685822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16</v>
      </c>
      <c r="D57" s="1294">
        <v>361802.23632121098</v>
      </c>
      <c r="E57" s="1294">
        <v>31</v>
      </c>
      <c r="F57" s="1294">
        <v>329517.10739291401</v>
      </c>
    </row>
    <row r="58" spans="1:6">
      <c r="A58" s="1293" t="s">
        <v>48</v>
      </c>
      <c r="B58" s="1293" t="s">
        <v>50</v>
      </c>
      <c r="C58" s="1294">
        <v>13</v>
      </c>
      <c r="D58" s="1294">
        <v>1328140.9375956899</v>
      </c>
      <c r="E58" s="1294">
        <v>16</v>
      </c>
      <c r="F58" s="1294">
        <v>419567.30285005801</v>
      </c>
    </row>
    <row r="59" spans="1:6">
      <c r="A59" s="1293" t="s">
        <v>48</v>
      </c>
      <c r="B59" s="1293" t="s">
        <v>51</v>
      </c>
      <c r="C59" s="1294">
        <v>20</v>
      </c>
      <c r="D59" s="1294">
        <v>522186.67155750201</v>
      </c>
      <c r="E59" s="1294">
        <v>90</v>
      </c>
      <c r="F59" s="1294">
        <v>3632825.50693226</v>
      </c>
    </row>
    <row r="60" spans="1:6">
      <c r="A60" s="1293" t="s">
        <v>48</v>
      </c>
      <c r="B60" s="1293" t="s">
        <v>52</v>
      </c>
      <c r="C60" s="1294">
        <v>33</v>
      </c>
      <c r="D60" s="1294">
        <v>1304261.9492746701</v>
      </c>
      <c r="E60" s="1294">
        <v>38</v>
      </c>
      <c r="F60" s="1294">
        <v>834677.84130627604</v>
      </c>
    </row>
    <row r="61" spans="1:6">
      <c r="A61" s="1293" t="s">
        <v>48</v>
      </c>
      <c r="B61" s="1293" t="s">
        <v>53</v>
      </c>
      <c r="C61" s="1294">
        <v>61</v>
      </c>
      <c r="D61" s="1294">
        <v>2812708.5894100098</v>
      </c>
      <c r="E61" s="1294">
        <v>126</v>
      </c>
      <c r="F61" s="1294">
        <v>1018938.86286863</v>
      </c>
    </row>
    <row r="62" spans="1:6">
      <c r="A62" s="1293" t="s">
        <v>48</v>
      </c>
      <c r="B62" s="1293" t="s">
        <v>54</v>
      </c>
      <c r="C62" s="1294">
        <v>3</v>
      </c>
      <c r="D62" s="1294">
        <v>295772.60570226598</v>
      </c>
      <c r="E62" s="1294">
        <v>5</v>
      </c>
      <c r="F62" s="1294">
        <v>40836.289303503203</v>
      </c>
    </row>
    <row r="63" spans="1:6">
      <c r="A63" s="1293" t="s">
        <v>48</v>
      </c>
      <c r="B63" s="1293" t="s">
        <v>28</v>
      </c>
      <c r="C63" s="1294">
        <v>96</v>
      </c>
      <c r="D63" s="1294">
        <v>3623249.6068523098</v>
      </c>
      <c r="E63" s="1294">
        <v>154</v>
      </c>
      <c r="F63" s="1294">
        <v>3041049.0505718701</v>
      </c>
    </row>
    <row r="64" spans="1:6">
      <c r="A64" s="1293" t="s">
        <v>55</v>
      </c>
      <c r="B64" s="1293" t="s">
        <v>56</v>
      </c>
      <c r="C64" s="1294">
        <v>0</v>
      </c>
      <c r="D64" s="1294">
        <v>0</v>
      </c>
      <c r="E64" s="1294">
        <v>0</v>
      </c>
      <c r="F64" s="1294">
        <v>0</v>
      </c>
    </row>
    <row r="65" spans="1:6">
      <c r="A65" s="1293" t="s">
        <v>55</v>
      </c>
      <c r="B65" s="1293" t="s">
        <v>28</v>
      </c>
      <c r="C65" s="1294">
        <v>3</v>
      </c>
      <c r="D65" s="1294">
        <v>48143.418946929502</v>
      </c>
      <c r="E65" s="1294">
        <v>1</v>
      </c>
      <c r="F65" s="1294">
        <v>18222.714612242002</v>
      </c>
    </row>
    <row r="66" spans="1:6">
      <c r="A66" s="1293" t="s">
        <v>55</v>
      </c>
      <c r="B66" s="1293" t="s">
        <v>57</v>
      </c>
      <c r="C66" s="1294">
        <v>0</v>
      </c>
      <c r="D66" s="1294">
        <v>0</v>
      </c>
      <c r="E66" s="1294">
        <v>9</v>
      </c>
      <c r="F66" s="1294">
        <v>257534.41757558301</v>
      </c>
    </row>
    <row r="67" spans="1:6">
      <c r="A67" s="1295" t="s">
        <v>55</v>
      </c>
      <c r="B67" s="1295" t="s">
        <v>58</v>
      </c>
      <c r="C67" s="1294">
        <v>0</v>
      </c>
      <c r="D67" s="1294">
        <v>0</v>
      </c>
      <c r="E67" s="1294">
        <v>0</v>
      </c>
      <c r="F67" s="1294">
        <v>0</v>
      </c>
    </row>
    <row r="68" spans="1:6">
      <c r="A68" s="1288" t="s">
        <v>55</v>
      </c>
      <c r="B68" s="1288" t="s">
        <v>59</v>
      </c>
      <c r="C68" s="1297">
        <v>4</v>
      </c>
      <c r="D68" s="1297">
        <v>29517.166806934099</v>
      </c>
      <c r="E68" s="1297">
        <v>16</v>
      </c>
      <c r="F68" s="1297">
        <v>203350.819055928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51520943</v>
      </c>
      <c r="E73" s="449"/>
      <c r="F73" s="330"/>
    </row>
    <row r="74" spans="1:6">
      <c r="A74" s="1293" t="s">
        <v>63</v>
      </c>
      <c r="B74" s="1293" t="s">
        <v>656</v>
      </c>
      <c r="C74" s="1307" t="s">
        <v>658</v>
      </c>
      <c r="D74" s="1308">
        <v>5914551</v>
      </c>
      <c r="E74" s="449"/>
      <c r="F74" s="330"/>
    </row>
    <row r="75" spans="1:6">
      <c r="A75" s="1293" t="s">
        <v>64</v>
      </c>
      <c r="B75" s="1293" t="s">
        <v>655</v>
      </c>
      <c r="C75" s="1307" t="s">
        <v>659</v>
      </c>
      <c r="D75" s="1308">
        <v>18771707</v>
      </c>
      <c r="E75" s="449"/>
      <c r="F75" s="330"/>
    </row>
    <row r="76" spans="1:6">
      <c r="A76" s="1293" t="s">
        <v>64</v>
      </c>
      <c r="B76" s="1293" t="s">
        <v>656</v>
      </c>
      <c r="C76" s="1307" t="s">
        <v>660</v>
      </c>
      <c r="D76" s="1308">
        <v>1848363</v>
      </c>
      <c r="E76" s="449"/>
      <c r="F76" s="330"/>
    </row>
    <row r="77" spans="1:6">
      <c r="A77" s="1293" t="s">
        <v>65</v>
      </c>
      <c r="B77" s="1293" t="s">
        <v>655</v>
      </c>
      <c r="C77" s="1307" t="s">
        <v>661</v>
      </c>
      <c r="D77" s="1308">
        <v>83156097</v>
      </c>
      <c r="E77" s="449"/>
      <c r="F77" s="330"/>
    </row>
    <row r="78" spans="1:6">
      <c r="A78" s="1288" t="s">
        <v>65</v>
      </c>
      <c r="B78" s="1288" t="s">
        <v>656</v>
      </c>
      <c r="C78" s="1288" t="s">
        <v>662</v>
      </c>
      <c r="D78" s="1309">
        <v>11878374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267406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2402.5654702581833</v>
      </c>
      <c r="C91" s="330"/>
      <c r="D91" s="330"/>
      <c r="E91" s="330"/>
      <c r="F91" s="330"/>
    </row>
    <row r="92" spans="1:6">
      <c r="A92" s="1288" t="s">
        <v>68</v>
      </c>
      <c r="B92" s="1289">
        <v>6120.3414622400469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1406</v>
      </c>
      <c r="C97" s="330"/>
      <c r="D97" s="330"/>
      <c r="E97" s="330"/>
      <c r="F97" s="330"/>
    </row>
    <row r="98" spans="1:6">
      <c r="A98" s="1293" t="s">
        <v>71</v>
      </c>
      <c r="B98" s="1294">
        <v>0</v>
      </c>
      <c r="C98" s="330"/>
      <c r="D98" s="330"/>
      <c r="E98" s="330"/>
      <c r="F98" s="330"/>
    </row>
    <row r="99" spans="1:6">
      <c r="A99" s="1293" t="s">
        <v>72</v>
      </c>
      <c r="B99" s="1294">
        <v>175</v>
      </c>
      <c r="C99" s="330"/>
      <c r="D99" s="330"/>
      <c r="E99" s="330"/>
      <c r="F99" s="330"/>
    </row>
    <row r="100" spans="1:6">
      <c r="A100" s="1293" t="s">
        <v>73</v>
      </c>
      <c r="B100" s="1294">
        <v>246</v>
      </c>
      <c r="C100" s="330"/>
      <c r="D100" s="330"/>
      <c r="E100" s="330"/>
      <c r="F100" s="330"/>
    </row>
    <row r="101" spans="1:6">
      <c r="A101" s="1293" t="s">
        <v>74</v>
      </c>
      <c r="B101" s="1294">
        <v>105</v>
      </c>
      <c r="C101" s="330"/>
      <c r="D101" s="330"/>
      <c r="E101" s="330"/>
      <c r="F101" s="330"/>
    </row>
    <row r="102" spans="1:6">
      <c r="A102" s="1293" t="s">
        <v>75</v>
      </c>
      <c r="B102" s="1294">
        <v>75</v>
      </c>
      <c r="C102" s="330"/>
      <c r="D102" s="330"/>
      <c r="E102" s="330"/>
      <c r="F102" s="330"/>
    </row>
    <row r="103" spans="1:6">
      <c r="A103" s="1293" t="s">
        <v>76</v>
      </c>
      <c r="B103" s="1294">
        <v>138</v>
      </c>
      <c r="C103" s="330"/>
      <c r="D103" s="330"/>
      <c r="E103" s="330"/>
      <c r="F103" s="330"/>
    </row>
    <row r="104" spans="1:6">
      <c r="A104" s="1293" t="s">
        <v>77</v>
      </c>
      <c r="B104" s="1294">
        <v>1332</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15</v>
      </c>
      <c r="D123" s="330"/>
      <c r="E123" s="330"/>
      <c r="F123" s="330"/>
    </row>
    <row r="124" spans="1:6" s="43" customFormat="1">
      <c r="A124" s="1295" t="s">
        <v>88</v>
      </c>
      <c r="B124" s="1316">
        <v>2</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137</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237334.09955737091</v>
      </c>
      <c r="C3" s="43" t="s">
        <v>169</v>
      </c>
      <c r="D3" s="43"/>
      <c r="E3" s="154"/>
      <c r="F3" s="43"/>
      <c r="G3" s="43"/>
      <c r="H3" s="43"/>
      <c r="I3" s="43"/>
      <c r="J3" s="43"/>
      <c r="K3" s="96"/>
    </row>
    <row r="4" spans="1:11">
      <c r="A4" s="358" t="s">
        <v>170</v>
      </c>
      <c r="B4" s="49">
        <f>IF(ISERROR('SEAP template'!B78+'SEAP template'!C78),0,'SEAP template'!B78+'SEAP template'!C78)</f>
        <v>43744.406932498227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6414.0644117647062</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0.20729168953645896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9162.9491596638654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50316.428571428572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0.18210650914256082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685.822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685.822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0.20729168953645896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142.16520110127337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12917.5720636799</v>
      </c>
      <c r="C5" s="17">
        <f>IF(ISERROR('Eigen informatie GS &amp; warmtenet'!B57),0,'Eigen informatie GS &amp; warmtenet'!B57)</f>
        <v>0</v>
      </c>
      <c r="D5" s="30">
        <f>(SUM(HH_hh_gas_kWh,HH_rest_gas_kWh)/1000)*0.902</f>
        <v>30662.002173467466</v>
      </c>
      <c r="E5" s="17">
        <f>B46*B57</f>
        <v>15516.162640288827</v>
      </c>
      <c r="F5" s="17">
        <f>B51*B62</f>
        <v>14343.013882882682</v>
      </c>
      <c r="G5" s="18"/>
      <c r="H5" s="17"/>
      <c r="I5" s="17"/>
      <c r="J5" s="17">
        <f>B50*B61+C50*C61</f>
        <v>899.24796044675452</v>
      </c>
      <c r="K5" s="17"/>
      <c r="L5" s="17"/>
      <c r="M5" s="17"/>
      <c r="N5" s="17">
        <f>B48*B59+C48*C59</f>
        <v>12831.332565692072</v>
      </c>
      <c r="O5" s="17">
        <f>B69*B70*B71</f>
        <v>240.75333333333336</v>
      </c>
      <c r="P5" s="17">
        <f>B77*B78*B79/1000-B77*B78*B79/1000/B80</f>
        <v>572</v>
      </c>
    </row>
    <row r="6" spans="1:16">
      <c r="A6" s="16" t="s">
        <v>620</v>
      </c>
      <c r="B6" s="762">
        <f>kWh_PV_kleiner_dan_10kW</f>
        <v>2402.5654702581833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15320.137533938083</v>
      </c>
      <c r="C8" s="21">
        <f>C5</f>
        <v>0</v>
      </c>
      <c r="D8" s="21">
        <f>D5</f>
        <v>30662.002173467466</v>
      </c>
      <c r="E8" s="21">
        <f>E5</f>
        <v>15516.162640288827</v>
      </c>
      <c r="F8" s="21">
        <f>F5</f>
        <v>14343.013882882682</v>
      </c>
      <c r="G8" s="21"/>
      <c r="H8" s="21"/>
      <c r="I8" s="21"/>
      <c r="J8" s="21">
        <f>J5</f>
        <v>899.24796044675452</v>
      </c>
      <c r="K8" s="21"/>
      <c r="L8" s="21">
        <f>L5</f>
        <v>0</v>
      </c>
      <c r="M8" s="21">
        <f>M5</f>
        <v>0</v>
      </c>
      <c r="N8" s="21">
        <f>N5</f>
        <v>12831.332565692072</v>
      </c>
      <c r="O8" s="21">
        <f>O5</f>
        <v>240.75333333333336</v>
      </c>
      <c r="P8" s="21">
        <f>P5</f>
        <v>572</v>
      </c>
    </row>
    <row r="9" spans="1:16">
      <c r="B9" s="19"/>
      <c r="C9" s="19"/>
      <c r="D9" s="258"/>
      <c r="E9" s="19"/>
      <c r="F9" s="19"/>
      <c r="G9" s="19"/>
      <c r="H9" s="19"/>
      <c r="I9" s="19"/>
      <c r="J9" s="19"/>
      <c r="K9" s="19"/>
      <c r="L9" s="19"/>
      <c r="M9" s="19"/>
      <c r="N9" s="19"/>
      <c r="O9" s="19"/>
      <c r="P9" s="19"/>
    </row>
    <row r="10" spans="1:16">
      <c r="A10" s="24" t="s">
        <v>213</v>
      </c>
      <c r="B10" s="25">
        <f ca="1">'EF ele_warmte'!B12</f>
        <v>0.20729168953645896</v>
      </c>
      <c r="C10" s="25">
        <f ca="1">'EF ele_warmte'!B22</f>
        <v>0.18210650914256082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3175.7371933409449</v>
      </c>
      <c r="C12" s="23">
        <f ca="1">C10*C8</f>
        <v>0</v>
      </c>
      <c r="D12" s="23">
        <f>D8*D10</f>
        <v>6193.7244390404285</v>
      </c>
      <c r="E12" s="23">
        <f>E10*E8</f>
        <v>3522.1689193455636</v>
      </c>
      <c r="F12" s="23">
        <f>F10*F8</f>
        <v>3829.5847067296763</v>
      </c>
      <c r="G12" s="23"/>
      <c r="H12" s="23"/>
      <c r="I12" s="23"/>
      <c r="J12" s="23">
        <f>J10*J8</f>
        <v>318.33377799815111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1406</v>
      </c>
      <c r="C18" s="166" t="s">
        <v>110</v>
      </c>
      <c r="D18" s="228"/>
      <c r="E18" s="15"/>
    </row>
    <row r="19" spans="1:7">
      <c r="A19" s="171" t="s">
        <v>71</v>
      </c>
      <c r="B19" s="37">
        <f>aantalw2001_ander</f>
        <v>0</v>
      </c>
      <c r="C19" s="166" t="s">
        <v>110</v>
      </c>
      <c r="D19" s="229"/>
      <c r="E19" s="15"/>
    </row>
    <row r="20" spans="1:7">
      <c r="A20" s="171" t="s">
        <v>72</v>
      </c>
      <c r="B20" s="37">
        <f>aantalw2001_propaan</f>
        <v>175</v>
      </c>
      <c r="C20" s="167">
        <f>IF(ISERROR(B20/SUM($B$20,$B$21,$B$22)*100),0,B20/SUM($B$20,$B$21,$B$22)*100)</f>
        <v>33.269961977186313</v>
      </c>
      <c r="D20" s="229"/>
      <c r="E20" s="15"/>
    </row>
    <row r="21" spans="1:7">
      <c r="A21" s="171" t="s">
        <v>73</v>
      </c>
      <c r="B21" s="37">
        <f>aantalw2001_elektriciteit</f>
        <v>246</v>
      </c>
      <c r="C21" s="167">
        <f>IF(ISERROR(B21/SUM($B$20,$B$21,$B$22)*100),0,B21/SUM($B$20,$B$21,$B$22)*100)</f>
        <v>46.768060836501903</v>
      </c>
      <c r="D21" s="229"/>
      <c r="E21" s="15"/>
    </row>
    <row r="22" spans="1:7">
      <c r="A22" s="171" t="s">
        <v>74</v>
      </c>
      <c r="B22" s="37">
        <f>aantalw2001_hout</f>
        <v>105</v>
      </c>
      <c r="C22" s="167">
        <f>IF(ISERROR(B22/SUM($B$20,$B$21,$B$22)*100),0,B22/SUM($B$20,$B$21,$B$22)*100)</f>
        <v>19.961977186311788</v>
      </c>
      <c r="D22" s="229"/>
      <c r="E22" s="15"/>
    </row>
    <row r="23" spans="1:7">
      <c r="A23" s="171" t="s">
        <v>75</v>
      </c>
      <c r="B23" s="37">
        <f>aantalw2001_niet_gespec</f>
        <v>75</v>
      </c>
      <c r="C23" s="166" t="s">
        <v>110</v>
      </c>
      <c r="D23" s="228"/>
      <c r="E23" s="15"/>
    </row>
    <row r="24" spans="1:7">
      <c r="A24" s="171" t="s">
        <v>76</v>
      </c>
      <c r="B24" s="37">
        <f>aantalw2001_steenkool</f>
        <v>138</v>
      </c>
      <c r="C24" s="166" t="s">
        <v>110</v>
      </c>
      <c r="D24" s="229"/>
      <c r="E24" s="15"/>
    </row>
    <row r="25" spans="1:7">
      <c r="A25" s="171" t="s">
        <v>77</v>
      </c>
      <c r="B25" s="37">
        <f>aantalw2001_stookolie</f>
        <v>1332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3788</v>
      </c>
      <c r="C28" s="36"/>
      <c r="D28" s="228"/>
    </row>
    <row r="29" spans="1:7" s="15" customFormat="1">
      <c r="A29" s="230" t="s">
        <v>781</v>
      </c>
      <c r="B29" s="37">
        <f>SUM(HH_hh_gas_aantal,HH_rest_gas_aantal)</f>
        <v>2122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2122</v>
      </c>
      <c r="C32" s="167">
        <f>IF(ISERROR(B32/SUM($B$32,$B$34,$B$35,$B$36,$B$38,$B$39)*100),0,B32/SUM($B$32,$B$34,$B$35,$B$36,$B$38,$B$39)*100)</f>
        <v>56.466205428419372</v>
      </c>
      <c r="D32" s="233"/>
      <c r="G32" s="15"/>
    </row>
    <row r="33" spans="1:7">
      <c r="A33" s="171" t="s">
        <v>71</v>
      </c>
      <c r="B33" s="34" t="s">
        <v>110</v>
      </c>
      <c r="C33" s="167"/>
      <c r="D33" s="233"/>
      <c r="G33" s="15"/>
    </row>
    <row r="34" spans="1:7">
      <c r="A34" s="171" t="s">
        <v>72</v>
      </c>
      <c r="B34" s="33">
        <f>IF((($B$28-$B$32-$B$39-$B$77-$B$38)*C20/100)&lt;0,0,($B$28-$B$32-$B$39-$B$77-$B$38)*C20/100)</f>
        <v>293.4410646387833</v>
      </c>
      <c r="C34" s="167">
        <f>IF(ISERROR(B34/SUM($B$32,$B$34,$B$35,$B$36,$B$38,$B$39)*100),0,B34/SUM($B$32,$B$34,$B$35,$B$36,$B$38,$B$39)*100)</f>
        <v>7.808437057977204</v>
      </c>
      <c r="D34" s="233"/>
      <c r="G34" s="15"/>
    </row>
    <row r="35" spans="1:7">
      <c r="A35" s="171" t="s">
        <v>73</v>
      </c>
      <c r="B35" s="33">
        <f>IF((($B$28-$B$32-$B$39-$B$77-$B$38)*C21/100)&lt;0,0,($B$28-$B$32-$B$39-$B$77-$B$38)*C21/100)</f>
        <v>412.49429657794678</v>
      </c>
      <c r="C35" s="167">
        <f>IF(ISERROR(B35/SUM($B$32,$B$34,$B$35,$B$36,$B$38,$B$39)*100),0,B35/SUM($B$32,$B$34,$B$35,$B$36,$B$38,$B$39)*100)</f>
        <v>10.976431521499382</v>
      </c>
      <c r="D35" s="233"/>
      <c r="G35" s="15"/>
    </row>
    <row r="36" spans="1:7">
      <c r="A36" s="171" t="s">
        <v>74</v>
      </c>
      <c r="B36" s="33">
        <f>IF((($B$28-$B$32-$B$39-$B$77-$B$38)*C22/100)&lt;0,0,($B$28-$B$32-$B$39-$B$77-$B$38)*C22/100)</f>
        <v>176.06463878326997</v>
      </c>
      <c r="C36" s="167">
        <f>IF(ISERROR(B36/SUM($B$32,$B$34,$B$35,$B$36,$B$38,$B$39)*100),0,B36/SUM($B$32,$B$34,$B$35,$B$36,$B$38,$B$39)*100)</f>
        <v>4.6850622347863222</v>
      </c>
      <c r="D36" s="233"/>
      <c r="G36" s="15"/>
    </row>
    <row r="37" spans="1:7">
      <c r="A37" s="171" t="s">
        <v>75</v>
      </c>
      <c r="B37" s="34" t="s">
        <v>110</v>
      </c>
      <c r="C37" s="167"/>
      <c r="D37" s="173"/>
      <c r="G37" s="15"/>
    </row>
    <row r="38" spans="1:7">
      <c r="A38" s="171" t="s">
        <v>76</v>
      </c>
      <c r="B38" s="33">
        <f>IF((B24-(B29-B18)*0.1)&lt;0,0,B24-(B29-B18)*0.1)</f>
        <v>66.399999999999991</v>
      </c>
      <c r="C38" s="167">
        <f>IF(ISERROR(B38/SUM($B$32,$B$34,$B$35,$B$36,$B$38,$B$39)*100),0,B38/SUM($B$32,$B$34,$B$35,$B$36,$B$38,$B$39)*100)</f>
        <v>1.7668972857903138</v>
      </c>
      <c r="D38" s="234"/>
      <c r="G38" s="15"/>
    </row>
    <row r="39" spans="1:7">
      <c r="A39" s="171" t="s">
        <v>77</v>
      </c>
      <c r="B39" s="33">
        <f>IF((B25-(B29-B18))&lt;0,0,B25-(B29-B18)*0.9)</f>
        <v>687.6</v>
      </c>
      <c r="C39" s="167">
        <f>IF(ISERROR(B39/SUM($B$32,$B$34,$B$35,$B$36,$B$38,$B$39)*100),0,B39/SUM($B$32,$B$34,$B$35,$B$36,$B$38,$B$39)*100)</f>
        <v>18.296966471527409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2122</v>
      </c>
      <c r="C44" s="34" t="s">
        <v>110</v>
      </c>
      <c r="D44" s="174"/>
    </row>
    <row r="45" spans="1:7">
      <c r="A45" s="171" t="s">
        <v>71</v>
      </c>
      <c r="B45" s="33" t="str">
        <f t="shared" si="0"/>
        <v>-</v>
      </c>
      <c r="C45" s="34" t="s">
        <v>110</v>
      </c>
      <c r="D45" s="174"/>
    </row>
    <row r="46" spans="1:7">
      <c r="A46" s="171" t="s">
        <v>72</v>
      </c>
      <c r="B46" s="33">
        <f t="shared" si="0"/>
        <v>293.4410646387833</v>
      </c>
      <c r="C46" s="34" t="s">
        <v>110</v>
      </c>
      <c r="D46" s="174"/>
    </row>
    <row r="47" spans="1:7">
      <c r="A47" s="171" t="s">
        <v>73</v>
      </c>
      <c r="B47" s="33">
        <f t="shared" si="0"/>
        <v>412.49429657794678</v>
      </c>
      <c r="C47" s="34" t="s">
        <v>110</v>
      </c>
      <c r="D47" s="174"/>
    </row>
    <row r="48" spans="1:7">
      <c r="A48" s="171" t="s">
        <v>74</v>
      </c>
      <c r="B48" s="33">
        <f t="shared" si="0"/>
        <v>176.06463878326997</v>
      </c>
      <c r="C48" s="33">
        <f>B48*10</f>
        <v>1760.6463878326997</v>
      </c>
      <c r="D48" s="234"/>
    </row>
    <row r="49" spans="1:6">
      <c r="A49" s="171" t="s">
        <v>75</v>
      </c>
      <c r="B49" s="33" t="str">
        <f t="shared" si="0"/>
        <v>-</v>
      </c>
      <c r="C49" s="34" t="s">
        <v>110</v>
      </c>
      <c r="D49" s="234"/>
    </row>
    <row r="50" spans="1:6">
      <c r="A50" s="171" t="s">
        <v>76</v>
      </c>
      <c r="B50" s="33">
        <f t="shared" si="0"/>
        <v>66.399999999999991</v>
      </c>
      <c r="C50" s="33">
        <f>B50*2</f>
        <v>132.79999999999998</v>
      </c>
      <c r="D50" s="234"/>
    </row>
    <row r="51" spans="1:6">
      <c r="A51" s="171" t="s">
        <v>77</v>
      </c>
      <c r="B51" s="33">
        <f t="shared" si="0"/>
        <v>687.6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9317.411961225509</v>
      </c>
      <c r="C5" s="17">
        <f>IF(ISERROR('Eigen informatie GS &amp; warmtenet'!B58),0,'Eigen informatie GS &amp; warmtenet'!B58)</f>
        <v>0</v>
      </c>
      <c r="D5" s="30">
        <f>SUM(D6:D12)</f>
        <v>9243.8065822357203</v>
      </c>
      <c r="E5" s="17">
        <f>SUM(E6:E12)</f>
        <v>182.51985616391971</v>
      </c>
      <c r="F5" s="17">
        <f>SUM(F6:F12)</f>
        <v>1640.1067415191851</v>
      </c>
      <c r="G5" s="18"/>
      <c r="H5" s="17"/>
      <c r="I5" s="17"/>
      <c r="J5" s="17">
        <f>SUM(J6:J12)</f>
        <v>1.4516501751554053E-2</v>
      </c>
      <c r="K5" s="17"/>
      <c r="L5" s="17"/>
      <c r="M5" s="17"/>
      <c r="N5" s="17">
        <f>SUM(N6:N12)</f>
        <v>587.13617324740255</v>
      </c>
      <c r="O5" s="17">
        <f>B38*B39*B40</f>
        <v>4.6900000000000004</v>
      </c>
      <c r="P5" s="17">
        <f>B46*B47*B48/1000-B46*B47*B48/1000/B49</f>
        <v>38.133333333333333</v>
      </c>
      <c r="R5" s="32"/>
    </row>
    <row r="6" spans="1:18">
      <c r="A6" s="32" t="s">
        <v>53</v>
      </c>
      <c r="B6" s="37">
        <f>B26</f>
        <v>1018.9388628686299</v>
      </c>
      <c r="C6" s="33"/>
      <c r="D6" s="37">
        <f>IF(ISERROR(TER_kantoor_gas_kWh/1000),0,TER_kantoor_gas_kWh/1000)*0.902</f>
        <v>2537.0631476478288</v>
      </c>
      <c r="E6" s="33">
        <f>$C$26*'E Balans VL '!I12/100/3.6*1000000</f>
        <v>6.3863698987040298E-3</v>
      </c>
      <c r="F6" s="33">
        <f>$C$26*('E Balans VL '!L12+'E Balans VL '!N12)/100/3.6*1000000</f>
        <v>153.11803922185743</v>
      </c>
      <c r="G6" s="34"/>
      <c r="H6" s="33"/>
      <c r="I6" s="33"/>
      <c r="J6" s="33">
        <f>$C$26*('E Balans VL '!D12+'E Balans VL '!E12)/100/3.6*1000000</f>
        <v>0</v>
      </c>
      <c r="K6" s="33"/>
      <c r="L6" s="33"/>
      <c r="M6" s="33"/>
      <c r="N6" s="33">
        <f>$C$26*'E Balans VL '!Y12/100/3.6*1000000</f>
        <v>0.97446394806790493</v>
      </c>
      <c r="O6" s="33"/>
      <c r="P6" s="33"/>
      <c r="R6" s="32"/>
    </row>
    <row r="7" spans="1:18">
      <c r="A7" s="32" t="s">
        <v>52</v>
      </c>
      <c r="B7" s="37">
        <f t="shared" ref="B7:B12" si="0">B27</f>
        <v>834.67784130627604</v>
      </c>
      <c r="C7" s="33"/>
      <c r="D7" s="37">
        <f>IF(ISERROR(TER_horeca_gas_kWh/1000),0,TER_horeca_gas_kWh/1000)*0.902</f>
        <v>1176.4442782457525</v>
      </c>
      <c r="E7" s="33">
        <f>$C$27*'E Balans VL '!I9/100/3.6*1000000</f>
        <v>11.952447656718228</v>
      </c>
      <c r="F7" s="33">
        <f>$C$27*('E Balans VL '!L9+'E Balans VL '!N9)/100/3.6*1000000</f>
        <v>105.69774344514919</v>
      </c>
      <c r="G7" s="34"/>
      <c r="H7" s="33"/>
      <c r="I7" s="33"/>
      <c r="J7" s="33">
        <f>$C$27*('E Balans VL '!D9+'E Balans VL '!E9)/100/3.6*1000000</f>
        <v>0</v>
      </c>
      <c r="K7" s="33"/>
      <c r="L7" s="33"/>
      <c r="M7" s="33"/>
      <c r="N7" s="33">
        <f>$C$27*'E Balans VL '!Y9/100/3.6*1000000</f>
        <v>0.23995147630886668</v>
      </c>
      <c r="O7" s="33"/>
      <c r="P7" s="33"/>
      <c r="R7" s="32"/>
    </row>
    <row r="8" spans="1:18">
      <c r="A8" s="6" t="s">
        <v>51</v>
      </c>
      <c r="B8" s="37">
        <f t="shared" si="0"/>
        <v>3632.8255069322599</v>
      </c>
      <c r="C8" s="33"/>
      <c r="D8" s="37">
        <f>IF(ISERROR(TER_handel_gas_kWh/1000),0,TER_handel_gas_kWh/1000)*0.902</f>
        <v>471.0123777448668</v>
      </c>
      <c r="E8" s="33">
        <f>$C$28*'E Balans VL '!I13/100/3.6*1000000</f>
        <v>131.76213315646174</v>
      </c>
      <c r="F8" s="33">
        <f>$C$28*('E Balans VL '!L13+'E Balans VL '!N13)/100/3.6*1000000</f>
        <v>699.71897733210903</v>
      </c>
      <c r="G8" s="34"/>
      <c r="H8" s="33"/>
      <c r="I8" s="33"/>
      <c r="J8" s="33">
        <f>$C$28*('E Balans VL '!D13+'E Balans VL '!E13)/100/3.6*1000000</f>
        <v>0</v>
      </c>
      <c r="K8" s="33"/>
      <c r="L8" s="33"/>
      <c r="M8" s="33"/>
      <c r="N8" s="33">
        <f>$C$28*'E Balans VL '!Y13/100/3.6*1000000</f>
        <v>5.0322992029713784</v>
      </c>
      <c r="O8" s="33"/>
      <c r="P8" s="33"/>
      <c r="R8" s="32"/>
    </row>
    <row r="9" spans="1:18">
      <c r="A9" s="32" t="s">
        <v>50</v>
      </c>
      <c r="B9" s="37">
        <f t="shared" si="0"/>
        <v>419.56730285005801</v>
      </c>
      <c r="C9" s="33"/>
      <c r="D9" s="37">
        <f>IF(ISERROR(TER_gezond_gas_kWh/1000),0,TER_gezond_gas_kWh/1000)*0.902</f>
        <v>1197.9831257113121</v>
      </c>
      <c r="E9" s="33">
        <f>$C$29*'E Balans VL '!I10/100/3.6*1000000</f>
        <v>2.6269055637147223E-2</v>
      </c>
      <c r="F9" s="33">
        <f>$C$29*('E Balans VL '!L10+'E Balans VL '!N10)/100/3.6*1000000</f>
        <v>62.328000299154368</v>
      </c>
      <c r="G9" s="34"/>
      <c r="H9" s="33"/>
      <c r="I9" s="33"/>
      <c r="J9" s="33">
        <f>$C$29*('E Balans VL '!D10+'E Balans VL '!E10)/100/3.6*1000000</f>
        <v>0</v>
      </c>
      <c r="K9" s="33"/>
      <c r="L9" s="33"/>
      <c r="M9" s="33"/>
      <c r="N9" s="33">
        <f>$C$29*'E Balans VL '!Y10/100/3.6*1000000</f>
        <v>6.4899075252687766</v>
      </c>
      <c r="O9" s="33"/>
      <c r="P9" s="33"/>
      <c r="R9" s="32"/>
    </row>
    <row r="10" spans="1:18">
      <c r="A10" s="32" t="s">
        <v>49</v>
      </c>
      <c r="B10" s="37">
        <f t="shared" si="0"/>
        <v>329.517107392914</v>
      </c>
      <c r="C10" s="33"/>
      <c r="D10" s="37">
        <f>IF(ISERROR(TER_ander_gas_kWh/1000),0,TER_ander_gas_kWh/1000)*0.902</f>
        <v>326.34561716173226</v>
      </c>
      <c r="E10" s="33">
        <f>$C$30*'E Balans VL '!I14/100/3.6*1000000</f>
        <v>0.39277261706055255</v>
      </c>
      <c r="F10" s="33">
        <f>$C$30*('E Balans VL '!L14+'E Balans VL '!N14)/100/3.6*1000000</f>
        <v>86.216324473988365</v>
      </c>
      <c r="G10" s="34"/>
      <c r="H10" s="33"/>
      <c r="I10" s="33"/>
      <c r="J10" s="33">
        <f>$C$30*('E Balans VL '!D14+'E Balans VL '!E14)/100/3.6*1000000</f>
        <v>7.1525247301047609E-3</v>
      </c>
      <c r="K10" s="33"/>
      <c r="L10" s="33"/>
      <c r="M10" s="33"/>
      <c r="N10" s="33">
        <f>$C$30*'E Balans VL '!Y14/100/3.6*1000000</f>
        <v>279.81786442794191</v>
      </c>
      <c r="O10" s="33"/>
      <c r="P10" s="33"/>
      <c r="R10" s="32"/>
    </row>
    <row r="11" spans="1:18">
      <c r="A11" s="32" t="s">
        <v>54</v>
      </c>
      <c r="B11" s="37">
        <f t="shared" si="0"/>
        <v>40.8362893035032</v>
      </c>
      <c r="C11" s="33"/>
      <c r="D11" s="37">
        <f>IF(ISERROR(TER_onderwijs_gas_kWh/1000),0,TER_onderwijs_gas_kWh/1000)*0.902</f>
        <v>266.78689034344393</v>
      </c>
      <c r="E11" s="33">
        <f>$C$31*'E Balans VL '!I11/100/3.6*1000000</f>
        <v>0.61615383249159617</v>
      </c>
      <c r="F11" s="33">
        <f>$C$31*('E Balans VL '!L11+'E Balans VL '!N11)/100/3.6*1000000</f>
        <v>7.1551702651034441</v>
      </c>
      <c r="G11" s="34"/>
      <c r="H11" s="33"/>
      <c r="I11" s="33"/>
      <c r="J11" s="33">
        <f>$C$31*('E Balans VL '!D11+'E Balans VL '!E11)/100/3.6*1000000</f>
        <v>0</v>
      </c>
      <c r="K11" s="33"/>
      <c r="L11" s="33"/>
      <c r="M11" s="33"/>
      <c r="N11" s="33">
        <f>$C$31*'E Balans VL '!Y11/100/3.6*1000000</f>
        <v>0.11491642259299575</v>
      </c>
      <c r="O11" s="33"/>
      <c r="P11" s="33"/>
      <c r="R11" s="32"/>
    </row>
    <row r="12" spans="1:18">
      <c r="A12" s="32" t="s">
        <v>259</v>
      </c>
      <c r="B12" s="37">
        <f t="shared" si="0"/>
        <v>3041.0490505718699</v>
      </c>
      <c r="C12" s="33"/>
      <c r="D12" s="37">
        <f>IF(ISERROR(TER_rest_gas_kWh/1000),0,TER_rest_gas_kWh/1000)*0.902</f>
        <v>3268.1711453807834</v>
      </c>
      <c r="E12" s="33">
        <f>$C$32*'E Balans VL '!I8/100/3.6*1000000</f>
        <v>37.763693475651735</v>
      </c>
      <c r="F12" s="33">
        <f>$C$32*('E Balans VL '!L8+'E Balans VL '!N8)/100/3.6*1000000</f>
        <v>525.87248648182344</v>
      </c>
      <c r="G12" s="34"/>
      <c r="H12" s="33"/>
      <c r="I12" s="33"/>
      <c r="J12" s="33">
        <f>$C$32*('E Balans VL '!D8+'E Balans VL '!E8)/100/3.6*1000000</f>
        <v>7.3639770214492918E-3</v>
      </c>
      <c r="K12" s="33"/>
      <c r="L12" s="33"/>
      <c r="M12" s="33"/>
      <c r="N12" s="33">
        <f>$C$32*'E Balans VL '!Y8/100/3.6*1000000</f>
        <v>294.46677024425071</v>
      </c>
      <c r="O12" s="33"/>
      <c r="P12" s="33"/>
      <c r="R12" s="32"/>
    </row>
    <row r="13" spans="1:18">
      <c r="A13" s="16" t="s">
        <v>487</v>
      </c>
      <c r="B13" s="247">
        <f ca="1">'lokale energieproductie'!N43+'lokale energieproductie'!N36</f>
        <v>0</v>
      </c>
      <c r="C13" s="247">
        <f ca="1">'lokale energieproductie'!O43+'lokale energieproductie'!O36</f>
        <v>0</v>
      </c>
      <c r="D13" s="308">
        <f ca="1">('lokale energieproductie'!P36+'lokale energieproductie'!P43)*(-1)</f>
        <v>0</v>
      </c>
      <c r="E13" s="248"/>
      <c r="F13" s="308">
        <f ca="1">('lokale energieproductie'!S36+'lokale energieproductie'!S43)*(-1)</f>
        <v>0</v>
      </c>
      <c r="G13" s="249"/>
      <c r="H13" s="248"/>
      <c r="I13" s="248"/>
      <c r="J13" s="248"/>
      <c r="K13" s="248"/>
      <c r="L13" s="308">
        <f ca="1">('lokale energieproductie'!U36+'lokale energieproductie'!T36+'lokale energieproductie'!U43+'lokale energieproductie'!T43)*(-1)</f>
        <v>0</v>
      </c>
      <c r="M13" s="248"/>
      <c r="N13" s="308">
        <f ca="1">('lokale energieproductie'!Q36+'lokale energieproductie'!R36+'lokale energieproductie'!V36+'lokale energieproductie'!Q43+'lokale energieproductie'!R43+'lokale energieproductie'!V43)*(-1)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9317.411961225509</v>
      </c>
      <c r="C16" s="21">
        <f t="shared" ca="1" si="1"/>
        <v>0</v>
      </c>
      <c r="D16" s="21">
        <f t="shared" ca="1" si="1"/>
        <v>9243.8065822357203</v>
      </c>
      <c r="E16" s="21">
        <f t="shared" si="1"/>
        <v>182.51985616391971</v>
      </c>
      <c r="F16" s="21">
        <f t="shared" ca="1" si="1"/>
        <v>1640.1067415191851</v>
      </c>
      <c r="G16" s="21">
        <f t="shared" si="1"/>
        <v>0</v>
      </c>
      <c r="H16" s="21">
        <f t="shared" si="1"/>
        <v>0</v>
      </c>
      <c r="I16" s="21">
        <f t="shared" si="1"/>
        <v>0</v>
      </c>
      <c r="J16" s="21">
        <f t="shared" si="1"/>
        <v>1.4516501751554053E-2</v>
      </c>
      <c r="K16" s="21">
        <f t="shared" si="1"/>
        <v>0</v>
      </c>
      <c r="L16" s="21">
        <f t="shared" ca="1" si="1"/>
        <v>0</v>
      </c>
      <c r="M16" s="21">
        <f t="shared" si="1"/>
        <v>0</v>
      </c>
      <c r="N16" s="21">
        <f t="shared" ca="1" si="1"/>
        <v>587.13617324740255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0.20729168953645896</v>
      </c>
      <c r="C18" s="25">
        <f ca="1">'EF ele_warmte'!B22</f>
        <v>0.18210650914256082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1931.4220675496474</v>
      </c>
      <c r="C20" s="23">
        <f t="shared" ref="C20:P20" ca="1" si="2">C16*C18</f>
        <v>0</v>
      </c>
      <c r="D20" s="23">
        <f t="shared" ca="1" si="2"/>
        <v>1867.2489296116157</v>
      </c>
      <c r="E20" s="23">
        <f t="shared" si="2"/>
        <v>41.432007349209776</v>
      </c>
      <c r="F20" s="23">
        <f t="shared" ca="1" si="2"/>
        <v>437.90849998562243</v>
      </c>
      <c r="G20" s="23">
        <f t="shared" si="2"/>
        <v>0</v>
      </c>
      <c r="H20" s="23">
        <f t="shared" si="2"/>
        <v>0</v>
      </c>
      <c r="I20" s="23">
        <f t="shared" si="2"/>
        <v>0</v>
      </c>
      <c r="J20" s="23">
        <f t="shared" si="2"/>
        <v>5.1388416200501344E-3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1018.9388628686299</v>
      </c>
      <c r="C26" s="39">
        <f>IF(ISERROR(B26*3.6/1000000/'E Balans VL '!Z12*100),0,B26*3.6/1000000/'E Balans VL '!Z12*100)</f>
        <v>2.1538753431502626E-2</v>
      </c>
      <c r="D26" s="237" t="s">
        <v>744</v>
      </c>
      <c r="F26" s="6"/>
    </row>
    <row r="27" spans="1:18">
      <c r="A27" s="231" t="s">
        <v>52</v>
      </c>
      <c r="B27" s="33">
        <f>IF(ISERROR(TER_horeca_ele_kWh/1000),0,TER_horeca_ele_kWh/1000)</f>
        <v>834.67784130627604</v>
      </c>
      <c r="C27" s="39">
        <f>IF(ISERROR(B27*3.6/1000000/'E Balans VL '!Z9*100),0,B27*3.6/1000000/'E Balans VL '!Z9*100)</f>
        <v>6.5797343129860048E-2</v>
      </c>
      <c r="D27" s="237" t="s">
        <v>744</v>
      </c>
      <c r="F27" s="6"/>
    </row>
    <row r="28" spans="1:18">
      <c r="A28" s="171" t="s">
        <v>51</v>
      </c>
      <c r="B28" s="33">
        <f>IF(ISERROR(TER_handel_ele_kWh/1000),0,TER_handel_ele_kWh/1000)</f>
        <v>3632.8255069322599</v>
      </c>
      <c r="C28" s="39">
        <f>IF(ISERROR(B28*3.6/1000000/'E Balans VL '!Z13*100),0,B28*3.6/1000000/'E Balans VL '!Z13*100)</f>
        <v>0.1054392744710108</v>
      </c>
      <c r="D28" s="237" t="s">
        <v>744</v>
      </c>
      <c r="F28" s="6"/>
    </row>
    <row r="29" spans="1:18">
      <c r="A29" s="231" t="s">
        <v>50</v>
      </c>
      <c r="B29" s="33">
        <f>IF(ISERROR(TER_gezond_ele_kWh/1000),0,TER_gezond_ele_kWh/1000)</f>
        <v>419.56730285005801</v>
      </c>
      <c r="C29" s="39">
        <f>IF(ISERROR(B29*3.6/1000000/'E Balans VL '!Z10*100),0,B29*3.6/1000000/'E Balans VL '!Z10*100)</f>
        <v>4.4187326467079471E-2</v>
      </c>
      <c r="D29" s="237" t="s">
        <v>744</v>
      </c>
      <c r="F29" s="6"/>
    </row>
    <row r="30" spans="1:18">
      <c r="A30" s="231" t="s">
        <v>49</v>
      </c>
      <c r="B30" s="33">
        <f>IF(ISERROR(TER_ander_ele_kWh/1000),0,TER_ander_ele_kWh/1000)</f>
        <v>329.517107392914</v>
      </c>
      <c r="C30" s="39">
        <f>IF(ISERROR(B30*3.6/1000000/'E Balans VL '!Z14*100),0,B30*3.6/1000000/'E Balans VL '!Z14*100)</f>
        <v>2.4305253412061044E-2</v>
      </c>
      <c r="D30" s="237" t="s">
        <v>744</v>
      </c>
      <c r="F30" s="6"/>
    </row>
    <row r="31" spans="1:18">
      <c r="A31" s="231" t="s">
        <v>54</v>
      </c>
      <c r="B31" s="33">
        <f>IF(ISERROR(TER_onderwijs_ele_kWh/1000),0,TER_onderwijs_ele_kWh/1000)</f>
        <v>40.8362893035032</v>
      </c>
      <c r="C31" s="39">
        <f>IF(ISERROR(B31*3.6/1000000/'E Balans VL '!Z11*100),0,B31*3.6/1000000/'E Balans VL '!Z11*100)</f>
        <v>1.0141563518504525E-2</v>
      </c>
      <c r="D31" s="237" t="s">
        <v>744</v>
      </c>
    </row>
    <row r="32" spans="1:18">
      <c r="A32" s="231" t="s">
        <v>259</v>
      </c>
      <c r="B32" s="33">
        <f>IF(ISERROR(TER_rest_ele_kWh/1000),0,TER_rest_ele_kWh/1000)</f>
        <v>3041.0490505718699</v>
      </c>
      <c r="C32" s="39">
        <f>IF(ISERROR(B32*3.6/1000000/'E Balans VL '!Z8*100),0,B32*3.6/1000000/'E Balans VL '!Z8*100)</f>
        <v>2.5023797103921094E-2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201684.14439856459</v>
      </c>
      <c r="C5" s="17">
        <f>IF(ISERROR('Eigen informatie GS &amp; warmtenet'!B59),0,'Eigen informatie GS &amp; warmtenet'!B59)</f>
        <v>0</v>
      </c>
      <c r="D5" s="30">
        <f>SUM(D6:D15)</f>
        <v>105892.69139802351</v>
      </c>
      <c r="E5" s="17">
        <f>SUM(E6:E15)</f>
        <v>4827.6121942760437</v>
      </c>
      <c r="F5" s="17">
        <f>SUM(F6:F15)</f>
        <v>24026.673920573998</v>
      </c>
      <c r="G5" s="18"/>
      <c r="H5" s="17"/>
      <c r="I5" s="17"/>
      <c r="J5" s="17">
        <f>SUM(J6:J15)</f>
        <v>262.38410082242041</v>
      </c>
      <c r="K5" s="17"/>
      <c r="L5" s="17"/>
      <c r="M5" s="17"/>
      <c r="N5" s="17">
        <f>SUM(N6:N15)</f>
        <v>14016.739964763836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497.29167279044299</v>
      </c>
      <c r="C8" s="33"/>
      <c r="D8" s="37">
        <f>IF( ISERROR(IND_metaal_Gas_kWH/1000),0,IND_metaal_Gas_kWH/1000)*0.902</f>
        <v>0</v>
      </c>
      <c r="E8" s="33">
        <f>C30*'E Balans VL '!I18/100/3.6*1000000</f>
        <v>4.5721166424429809</v>
      </c>
      <c r="F8" s="33">
        <f>C30*'E Balans VL '!L18/100/3.6*1000000+C30*'E Balans VL '!N18/100/3.6*1000000</f>
        <v>46.629402392029924</v>
      </c>
      <c r="G8" s="34"/>
      <c r="H8" s="33"/>
      <c r="I8" s="33"/>
      <c r="J8" s="40">
        <f>C30*'E Balans VL '!D18/100/3.6*1000000+C30*'E Balans VL '!E18/100/3.6*1000000</f>
        <v>0</v>
      </c>
      <c r="K8" s="33"/>
      <c r="L8" s="33"/>
      <c r="M8" s="33"/>
      <c r="N8" s="33">
        <f>C30*'E Balans VL '!Y18/100/3.6*1000000</f>
        <v>7.0946875214521974</v>
      </c>
      <c r="O8" s="33"/>
      <c r="P8" s="33"/>
      <c r="R8" s="32"/>
    </row>
    <row r="9" spans="1:18">
      <c r="A9" s="6" t="s">
        <v>32</v>
      </c>
      <c r="B9" s="37">
        <f t="shared" si="0"/>
        <v>1740.1888417395401</v>
      </c>
      <c r="C9" s="33"/>
      <c r="D9" s="37">
        <f>IF( ISERROR(IND_andere_gas_kWh/1000),0,IND_andere_gas_kWh/1000)*0.902</f>
        <v>929.40781466006297</v>
      </c>
      <c r="E9" s="33">
        <f>C31*'E Balans VL '!I19/100/3.6*1000000</f>
        <v>508.69107592139051</v>
      </c>
      <c r="F9" s="33">
        <f>C31*'E Balans VL '!L19/100/3.6*1000000+C31*'E Balans VL '!N19/100/3.6*1000000</f>
        <v>1398.3734545298089</v>
      </c>
      <c r="G9" s="34"/>
      <c r="H9" s="33"/>
      <c r="I9" s="33"/>
      <c r="J9" s="40">
        <f>C31*'E Balans VL '!D19/100/3.6*1000000+C31*'E Balans VL '!E19/100/3.6*1000000</f>
        <v>0</v>
      </c>
      <c r="K9" s="33"/>
      <c r="L9" s="33"/>
      <c r="M9" s="33"/>
      <c r="N9" s="33">
        <f>C31*'E Balans VL '!Y19/100/3.6*1000000</f>
        <v>136.49804927573649</v>
      </c>
      <c r="O9" s="33"/>
      <c r="P9" s="33"/>
      <c r="R9" s="32"/>
    </row>
    <row r="10" spans="1:18">
      <c r="A10" s="6" t="s">
        <v>40</v>
      </c>
      <c r="B10" s="37">
        <f t="shared" si="0"/>
        <v>125878.039687511</v>
      </c>
      <c r="C10" s="33"/>
      <c r="D10" s="37">
        <f>IF( ISERROR(IND_voed_gas_kWh/1000),0,IND_voed_gas_kWh/1000)*0.902</f>
        <v>52753.742630275992</v>
      </c>
      <c r="E10" s="33">
        <f>C32*'E Balans VL '!I20/100/3.6*1000000</f>
        <v>266.29694472105132</v>
      </c>
      <c r="F10" s="33">
        <f>C32*'E Balans VL '!L20/100/3.6*1000000+C32*'E Balans VL '!N20/100/3.6*1000000</f>
        <v>8003.4543439789222</v>
      </c>
      <c r="G10" s="34"/>
      <c r="H10" s="33"/>
      <c r="I10" s="33"/>
      <c r="J10" s="40">
        <f>C32*'E Balans VL '!D20/100/3.6*1000000+C32*'E Balans VL '!E20/100/3.6*1000000</f>
        <v>0</v>
      </c>
      <c r="K10" s="33"/>
      <c r="L10" s="33"/>
      <c r="M10" s="33"/>
      <c r="N10" s="33">
        <f>C32*'E Balans VL '!Y20/100/3.6*1000000</f>
        <v>8686.8269332864074</v>
      </c>
      <c r="O10" s="33"/>
      <c r="P10" s="33"/>
      <c r="R10" s="32"/>
    </row>
    <row r="11" spans="1:18">
      <c r="A11" s="6" t="s">
        <v>39</v>
      </c>
      <c r="B11" s="37">
        <f t="shared" si="0"/>
        <v>185.67344166406201</v>
      </c>
      <c r="C11" s="33"/>
      <c r="D11" s="37">
        <f>IF( ISERROR(IND_textiel_gas_kWh/1000),0,IND_textiel_gas_kWh/1000)*0.902</f>
        <v>116.68994896928344</v>
      </c>
      <c r="E11" s="33">
        <f>C33*'E Balans VL '!I21/100/3.6*1000000</f>
        <v>0.55143411361414907</v>
      </c>
      <c r="F11" s="33">
        <f>C33*'E Balans VL '!L21/100/3.6*1000000+C33*'E Balans VL '!N21/100/3.6*1000000</f>
        <v>18.758115108389632</v>
      </c>
      <c r="G11" s="34"/>
      <c r="H11" s="33"/>
      <c r="I11" s="33"/>
      <c r="J11" s="40">
        <f>C33*'E Balans VL '!D21/100/3.6*1000000+C33*'E Balans VL '!E21/100/3.6*1000000</f>
        <v>0</v>
      </c>
      <c r="K11" s="33"/>
      <c r="L11" s="33"/>
      <c r="M11" s="33"/>
      <c r="N11" s="33">
        <f>C33*'E Balans VL '!Y21/100/3.6*1000000</f>
        <v>10.240482857500425</v>
      </c>
      <c r="O11" s="33"/>
      <c r="P11" s="33"/>
      <c r="R11" s="32"/>
    </row>
    <row r="12" spans="1:18">
      <c r="A12" s="6" t="s">
        <v>36</v>
      </c>
      <c r="B12" s="37">
        <f t="shared" si="0"/>
        <v>168.054359930852</v>
      </c>
      <c r="C12" s="33"/>
      <c r="D12" s="37">
        <f>IF( ISERROR(IND_min_gas_kWh/1000),0,IND_min_gas_kWh/1000)*0.902</f>
        <v>0</v>
      </c>
      <c r="E12" s="33">
        <f>C34*'E Balans VL '!I22/100/3.6*1000000</f>
        <v>4.8712039029854495</v>
      </c>
      <c r="F12" s="33">
        <f>C34*'E Balans VL '!L22/100/3.6*1000000+C34*'E Balans VL '!N22/100/3.6*1000000</f>
        <v>57.778988000818593</v>
      </c>
      <c r="G12" s="34"/>
      <c r="H12" s="33"/>
      <c r="I12" s="33"/>
      <c r="J12" s="40">
        <f>C34*'E Balans VL '!D22/100/3.6*1000000+C34*'E Balans VL '!E22/100/3.6*1000000</f>
        <v>0.2761639557923567</v>
      </c>
      <c r="K12" s="33"/>
      <c r="L12" s="33"/>
      <c r="M12" s="33"/>
      <c r="N12" s="33">
        <f>C34*'E Balans VL '!Y22/100/3.6*1000000</f>
        <v>36.789861075111894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73214.896394928699</v>
      </c>
      <c r="C15" s="33"/>
      <c r="D15" s="37">
        <f>IF( ISERROR(IND_rest_gas_kWh/1000),0,IND_rest_gas_kWh/1000)*0.902</f>
        <v>52092.851004118165</v>
      </c>
      <c r="E15" s="33">
        <f>C37*'E Balans VL '!I15/100/3.6*1000000</f>
        <v>4042.629418974559</v>
      </c>
      <c r="F15" s="33">
        <f>C37*'E Balans VL '!L15/100/3.6*1000000+C37*'E Balans VL '!N15/100/3.6*1000000</f>
        <v>14501.679616564028</v>
      </c>
      <c r="G15" s="34"/>
      <c r="H15" s="33"/>
      <c r="I15" s="33"/>
      <c r="J15" s="40">
        <f>C37*'E Balans VL '!D15/100/3.6*1000000+C37*'E Balans VL '!E15/100/3.6*1000000</f>
        <v>262.10793686662805</v>
      </c>
      <c r="K15" s="33"/>
      <c r="L15" s="33"/>
      <c r="M15" s="33"/>
      <c r="N15" s="33">
        <f>C37*'E Balans VL '!Y15/100/3.6*1000000</f>
        <v>5139.2899507476268</v>
      </c>
      <c r="O15" s="33"/>
      <c r="P15" s="33"/>
      <c r="R15" s="32"/>
    </row>
    <row r="16" spans="1:18">
      <c r="A16" s="16" t="s">
        <v>487</v>
      </c>
      <c r="B16" s="247">
        <f>'lokale energieproductie'!N42+'lokale energieproductie'!N35</f>
        <v>1872</v>
      </c>
      <c r="C16" s="247">
        <f>'lokale energieproductie'!O42+'lokale energieproductie'!O35</f>
        <v>2674.2857142857142</v>
      </c>
      <c r="D16" s="308">
        <f>('lokale energieproductie'!P35+'lokale energieproductie'!P42)*(-1)</f>
        <v>-935.35714285714289</v>
      </c>
      <c r="E16" s="248"/>
      <c r="F16" s="308">
        <f>('lokale energieproductie'!S35+'lokale energieproductie'!S42)*(-1)</f>
        <v>0</v>
      </c>
      <c r="G16" s="249"/>
      <c r="H16" s="248"/>
      <c r="I16" s="248"/>
      <c r="J16" s="248"/>
      <c r="K16" s="248"/>
      <c r="L16" s="308">
        <f>('lokale energieproductie'!T35+'lokale energieproductie'!U35+'lokale energieproductie'!T42+'lokale energieproductie'!U42)*(-1)</f>
        <v>0</v>
      </c>
      <c r="M16" s="248"/>
      <c r="N16" s="308">
        <f>('lokale energieproductie'!Q35+'lokale energieproductie'!R35+'lokale energieproductie'!V35+'lokale energieproductie'!Q42+'lokale energieproductie'!R42+'lokale energieproductie'!V42)*(-1)</f>
        <v>-4413.2142857142862</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203556.14439856459</v>
      </c>
      <c r="C18" s="21">
        <f>C5+C16</f>
        <v>2674.2857142857142</v>
      </c>
      <c r="D18" s="21">
        <f>MAX((D5+D16),0)</f>
        <v>104957.33425516637</v>
      </c>
      <c r="E18" s="21">
        <f>MAX((E5+E16),0)</f>
        <v>4827.6121942760437</v>
      </c>
      <c r="F18" s="21">
        <f>MAX((F5+F16),0)</f>
        <v>24026.673920573998</v>
      </c>
      <c r="G18" s="21"/>
      <c r="H18" s="21"/>
      <c r="I18" s="21"/>
      <c r="J18" s="21">
        <f>MAX((J5+J16),0)</f>
        <v>262.38410082242041</v>
      </c>
      <c r="K18" s="21"/>
      <c r="L18" s="21">
        <f>MAX((L5+L16),0)</f>
        <v>0</v>
      </c>
      <c r="M18" s="21"/>
      <c r="N18" s="21">
        <f>MAX((N5+N16),0)</f>
        <v>9603.5256790495496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0.20729168953645896</v>
      </c>
      <c r="C20" s="25">
        <f ca="1">'EF ele_warmte'!B22</f>
        <v>0.18210650914256082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42195.49708790586</v>
      </c>
      <c r="C22" s="23">
        <f ca="1">C18*C20</f>
        <v>487.00483587839125</v>
      </c>
      <c r="D22" s="23">
        <f>D18*D20</f>
        <v>21201.381519543607</v>
      </c>
      <c r="E22" s="23">
        <f>E18*E20</f>
        <v>1095.867968100662</v>
      </c>
      <c r="F22" s="23">
        <f>F18*F20</f>
        <v>6415.1219367932581</v>
      </c>
      <c r="G22" s="23"/>
      <c r="H22" s="23"/>
      <c r="I22" s="23"/>
      <c r="J22" s="23">
        <f>J18*J20</f>
        <v>92.883971691136821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497.29167279044299</v>
      </c>
      <c r="C30" s="39">
        <f>IF(ISERROR(B30*3.6/1000000/'E Balans VL '!Z18*100),0,B30*3.6/1000000/'E Balans VL '!Z18*100)</f>
        <v>2.8182794236283712E-2</v>
      </c>
      <c r="D30" s="237" t="s">
        <v>744</v>
      </c>
    </row>
    <row r="31" spans="1:18">
      <c r="A31" s="6" t="s">
        <v>32</v>
      </c>
      <c r="B31" s="37">
        <f>IF( ISERROR(IND_ander_ele_kWh/1000),0,IND_ander_ele_kWh/1000)</f>
        <v>1740.1888417395401</v>
      </c>
      <c r="C31" s="39">
        <f>IF(ISERROR(B31*3.6/1000000/'E Balans VL '!Z19*100),0,B31*3.6/1000000/'E Balans VL '!Z19*100)</f>
        <v>7.8927719841083308E-2</v>
      </c>
      <c r="D31" s="237" t="s">
        <v>744</v>
      </c>
    </row>
    <row r="32" spans="1:18">
      <c r="A32" s="171" t="s">
        <v>40</v>
      </c>
      <c r="B32" s="37">
        <f>IF( ISERROR(IND_voed_ele_kWh/1000),0,IND_voed_ele_kWh/1000)</f>
        <v>125878.039687511</v>
      </c>
      <c r="C32" s="39">
        <f>IF(ISERROR(B32*3.6/1000000/'E Balans VL '!Z20*100),0,B32*3.6/1000000/'E Balans VL '!Z20*100)</f>
        <v>3.8939792055852429</v>
      </c>
      <c r="D32" s="237" t="s">
        <v>744</v>
      </c>
    </row>
    <row r="33" spans="1:5">
      <c r="A33" s="171" t="s">
        <v>39</v>
      </c>
      <c r="B33" s="37">
        <f>IF( ISERROR(IND_textiel_ele_kWh/1000),0,IND_textiel_ele_kWh/1000)</f>
        <v>185.67344166406201</v>
      </c>
      <c r="C33" s="39">
        <f>IF(ISERROR(B33*3.6/1000000/'E Balans VL '!Z21*100),0,B33*3.6/1000000/'E Balans VL '!Z21*100)</f>
        <v>2.4209752927597285E-2</v>
      </c>
      <c r="D33" s="237" t="s">
        <v>744</v>
      </c>
    </row>
    <row r="34" spans="1:5">
      <c r="A34" s="171" t="s">
        <v>36</v>
      </c>
      <c r="B34" s="37">
        <f>IF( ISERROR(IND_min_ele_kWh/1000),0,IND_min_ele_kWh/1000)</f>
        <v>168.054359930852</v>
      </c>
      <c r="C34" s="39">
        <f>IF(ISERROR(B34*3.6/1000000/'E Balans VL '!Z22*100),0,B34*3.6/1000000/'E Balans VL '!Z22*100)</f>
        <v>3.0227736115916337E-2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73214.896394928699</v>
      </c>
      <c r="C37" s="39">
        <f>IF(ISERROR(B37*3.6/1000000/'E Balans VL '!Z15*100),0,B37*3.6/1000000/'E Balans VL '!Z15*100)</f>
        <v>0.58031797037406951</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7892.6215208370395</v>
      </c>
      <c r="C5" s="17">
        <f>'Eigen informatie GS &amp; warmtenet'!B60</f>
        <v>0</v>
      </c>
      <c r="D5" s="30">
        <f>IF(ISERROR(SUM(LB_lb_gas_kWh,LB_rest_gas_kWh)/1000),0,SUM(LB_lb_gas_kWh,LB_rest_gas_kWh)/1000)*0.902</f>
        <v>21538.937250122781</v>
      </c>
      <c r="E5" s="17">
        <f>B17*'E Balans VL '!I25/3.6*1000000/100</f>
        <v>231.98825334597379</v>
      </c>
      <c r="F5" s="17">
        <f>B17*('E Balans VL '!L25/3.6*1000000+'E Balans VL '!N25/3.6*1000000)/100</f>
        <v>32880.234760925843</v>
      </c>
      <c r="G5" s="18"/>
      <c r="H5" s="17"/>
      <c r="I5" s="17"/>
      <c r="J5" s="17">
        <f>('E Balans VL '!D25+'E Balans VL '!E25)/3.6*1000000*landbouw!B17/100</f>
        <v>1143.4713623819255</v>
      </c>
      <c r="K5" s="17"/>
      <c r="L5" s="17">
        <f>L6*(-1)</f>
        <v>0</v>
      </c>
      <c r="M5" s="17"/>
      <c r="N5" s="17">
        <f>N6*(-1)</f>
        <v>19105.714285714286</v>
      </c>
      <c r="O5" s="17"/>
      <c r="P5" s="17"/>
      <c r="R5" s="32"/>
    </row>
    <row r="6" spans="1:18">
      <c r="A6" s="16" t="s">
        <v>487</v>
      </c>
      <c r="B6" s="17" t="s">
        <v>210</v>
      </c>
      <c r="C6" s="17">
        <f>'lokale energieproductie'!O44+'lokale energieproductie'!O37</f>
        <v>47642.142857142855</v>
      </c>
      <c r="D6" s="308">
        <f>('lokale energieproductie'!P37+'lokale energieproductie'!P44)*(-1)</f>
        <v>-76178.571428571435</v>
      </c>
      <c r="E6" s="248"/>
      <c r="F6" s="308">
        <f>('lokale energieproductie'!S37+'lokale energieproductie'!S44)*(-1)</f>
        <v>0</v>
      </c>
      <c r="G6" s="249"/>
      <c r="H6" s="248"/>
      <c r="I6" s="248"/>
      <c r="J6" s="248"/>
      <c r="K6" s="248"/>
      <c r="L6" s="308">
        <f>('lokale energieproductie'!T37+'lokale energieproductie'!U37+'lokale energieproductie'!T44+'lokale energieproductie'!U44)*(-1)</f>
        <v>0</v>
      </c>
      <c r="M6" s="248"/>
      <c r="N6" s="308">
        <f>('lokale energieproductie'!V37+'lokale energieproductie'!R37+'lokale energieproductie'!Q37+'lokale energieproductie'!Q44+'lokale energieproductie'!R44+'lokale energieproductie'!V44)*(-1)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7892.6215208370395</v>
      </c>
      <c r="C8" s="21">
        <f>C5+C6</f>
        <v>47642.142857142855</v>
      </c>
      <c r="D8" s="21">
        <f>MAX((D5+D6),0)</f>
        <v>0</v>
      </c>
      <c r="E8" s="21">
        <f>MAX((E5+E6),0)</f>
        <v>231.98825334597379</v>
      </c>
      <c r="F8" s="21">
        <f>MAX((F5+F6),0)</f>
        <v>32880.234760925843</v>
      </c>
      <c r="G8" s="21"/>
      <c r="H8" s="21"/>
      <c r="I8" s="21"/>
      <c r="J8" s="21">
        <f>MAX((J5+J6),0)</f>
        <v>1143.4713623819255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0.20729168953645896</v>
      </c>
      <c r="C10" s="31">
        <f ca="1">'EF ele_warmte'!B22</f>
        <v>0.18210650914256082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1636.0748499261263</v>
      </c>
      <c r="C12" s="23">
        <f ca="1">C8*C10</f>
        <v>8675.9443237854739</v>
      </c>
      <c r="D12" s="23">
        <f>D8*D10</f>
        <v>0</v>
      </c>
      <c r="E12" s="23">
        <f>E8*E10</f>
        <v>52.66133350953605</v>
      </c>
      <c r="F12" s="23">
        <f>F8*F10</f>
        <v>8779.0226811672001</v>
      </c>
      <c r="G12" s="23"/>
      <c r="H12" s="23"/>
      <c r="I12" s="23"/>
      <c r="J12" s="23">
        <f>J8*J10</f>
        <v>404.78886228320158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1.1199877561516229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393.98137478697618</v>
      </c>
      <c r="C26" s="247">
        <f>B26*'GWP N2O_CH4'!B5</f>
        <v>8273.6088705264992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483.66913328820647</v>
      </c>
      <c r="C27" s="247">
        <f>B27*'GWP N2O_CH4'!B5</f>
        <v>10157.051799052337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6.4808597844640774</v>
      </c>
      <c r="C28" s="247">
        <f>B28*'GWP N2O_CH4'!B4</f>
        <v>2009.0665331838641</v>
      </c>
      <c r="D28" s="50"/>
    </row>
    <row r="29" spans="1:4">
      <c r="A29" s="41" t="s">
        <v>276</v>
      </c>
      <c r="B29" s="247">
        <f>B34*'ha_N2O bodem landbouw'!B4</f>
        <v>14.682112177642141</v>
      </c>
      <c r="C29" s="247">
        <f>B29*'GWP N2O_CH4'!B4</f>
        <v>4551.4547750690635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3.3504074021284682E-3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1.8474751913196829E-4</v>
      </c>
      <c r="C5" s="437" t="s">
        <v>210</v>
      </c>
      <c r="D5" s="422">
        <f>SUM(D6:D11)</f>
        <v>4.9637900752472078E-4</v>
      </c>
      <c r="E5" s="422">
        <f>SUM(E6:E11)</f>
        <v>9.4905407095656198E-4</v>
      </c>
      <c r="F5" s="435" t="s">
        <v>210</v>
      </c>
      <c r="G5" s="422">
        <f>SUM(G6:G11)</f>
        <v>0.45511807100252166</v>
      </c>
      <c r="H5" s="422">
        <f>SUM(H6:H11)</f>
        <v>8.5832482553962752E-2</v>
      </c>
      <c r="I5" s="437" t="s">
        <v>210</v>
      </c>
      <c r="J5" s="437" t="s">
        <v>210</v>
      </c>
      <c r="K5" s="437" t="s">
        <v>210</v>
      </c>
      <c r="L5" s="437" t="s">
        <v>210</v>
      </c>
      <c r="M5" s="422">
        <f>SUM(M6:M11)</f>
        <v>2.9117385792592612E-2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6.2029613070672691E-5</v>
      </c>
      <c r="C6" s="423"/>
      <c r="D6" s="865">
        <f>vkm_GW_PW*SUMIFS(TableVerdeelsleutelVkm[CNG],TableVerdeelsleutelVkm[Voertuigtype],"Lichte voertuigen")*SUMIFS(TableECFTransport[EnergieConsumptieFactor (PJ per km)],TableECFTransport[Index],CONCATENATE($A6,"_CNG_CNG"))</f>
        <v>1.5372452686507356E-4</v>
      </c>
      <c r="E6" s="865">
        <f>vkm_GW_PW*SUMIFS(TableVerdeelsleutelVkm[LPG],TableVerdeelsleutelVkm[Voertuigtype],"Lichte voertuigen")*SUMIFS(TableECFTransport[EnergieConsumptieFactor (PJ per km)],TableECFTransport[Index],CONCATENATE($A6,"_LPG_LPG"))</f>
        <v>2.639066254891242E-4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8.0864822490829616E-2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2.6118439286324052E-2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5.4935125866176484E-3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5.5566484300456152E-2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9.2952620825141626E-7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3.2465027411817788E-3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2.2600551427912298E-5</v>
      </c>
      <c r="C8" s="423"/>
      <c r="D8" s="425">
        <f>vkm_NGW_PW*SUMIFS(TableVerdeelsleutelVkm[CNG],TableVerdeelsleutelVkm[Voertuigtype],"Lichte voertuigen")*SUMIFS(TableECFTransport[EnergieConsumptieFactor (PJ per km)],TableECFTransport[Index],CONCATENATE($A8,"_CNG_CNG"))</f>
        <v>9.4668519280126747E-5</v>
      </c>
      <c r="E8" s="425">
        <f>vkm_NGW_PW*SUMIFS(TableVerdeelsleutelVkm[LPG],TableVerdeelsleutelVkm[Voertuigtype],"Lichte voertuigen")*SUMIFS(TableECFTransport[EnergieConsumptieFactor (PJ per km)],TableECFTransport[Index],CONCATENATE($A8,"_LPG_LPG"))</f>
        <v>1.5434035088868924E-4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4.448455223763035E-2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1.5730803805275875E-2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3.0621597823231599E-3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2.2341632784413278E-2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4.6039272693361469E-7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1.3053248691481849E-3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1.001173546333833E-4</v>
      </c>
      <c r="C10" s="423"/>
      <c r="D10" s="425">
        <f>vkm_SW_PW*SUMIFS(TableVerdeelsleutelVkm[CNG],TableVerdeelsleutelVkm[Voertuigtype],"Lichte voertuigen")*SUMIFS(TableECFTransport[EnergieConsumptieFactor (PJ per km)],TableECFTransport[Index],CONCATENATE($A10,"_CNG_CNG"))</f>
        <v>2.4798596137952047E-4</v>
      </c>
      <c r="E10" s="425">
        <f>vkm_SW_PW*SUMIFS(TableVerdeelsleutelVkm[LPG],TableVerdeelsleutelVkm[Voertuigtype],"Lichte voertuigen")*SUMIFS(TableECFTransport[EnergieConsumptieFactor (PJ per km)],TableECFTransport[Index],CONCATENATE($A10,"_LPG_LPG"))</f>
        <v>5.3080709457874859E-4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0.14550942392340799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4.3979954385117016E-2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9.7962570157033406E-3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0.10635115526578429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1.8951583106223738E-6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6.213628797618503E-3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51.318755314435634</v>
      </c>
      <c r="C14" s="21"/>
      <c r="D14" s="21">
        <f t="shared" ref="D14:M14" si="0">((D5)*10^9/3600)+D12</f>
        <v>137.88305764575577</v>
      </c>
      <c r="E14" s="21">
        <f t="shared" si="0"/>
        <v>263.62613082126722</v>
      </c>
      <c r="F14" s="21"/>
      <c r="G14" s="21">
        <f t="shared" si="0"/>
        <v>126421.68638958935</v>
      </c>
      <c r="H14" s="21">
        <f t="shared" si="0"/>
        <v>23842.356264989652</v>
      </c>
      <c r="I14" s="21"/>
      <c r="J14" s="21"/>
      <c r="K14" s="21"/>
      <c r="L14" s="21"/>
      <c r="M14" s="21">
        <f t="shared" si="0"/>
        <v>8088.1627201646143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0.20729168953645896</v>
      </c>
      <c r="C16" s="56">
        <f ca="1">'EF ele_warmte'!B22</f>
        <v>0.18210650914256082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10.637951494037495</v>
      </c>
      <c r="C18" s="23"/>
      <c r="D18" s="23">
        <f t="shared" ref="D18:M18" si="1">D14*D16</f>
        <v>27.852377644442669</v>
      </c>
      <c r="E18" s="23">
        <f t="shared" si="1"/>
        <v>59.843131696427662</v>
      </c>
      <c r="F18" s="23"/>
      <c r="G18" s="23">
        <f t="shared" si="1"/>
        <v>33754.590266020357</v>
      </c>
      <c r="H18" s="23">
        <f t="shared" si="1"/>
        <v>5936.7467099824235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3.3400178834869588E-3</v>
      </c>
      <c r="H50" s="319">
        <f t="shared" si="2"/>
        <v>0</v>
      </c>
      <c r="I50" s="319">
        <f t="shared" si="2"/>
        <v>0</v>
      </c>
      <c r="J50" s="319">
        <f t="shared" si="2"/>
        <v>0</v>
      </c>
      <c r="K50" s="319">
        <f t="shared" si="2"/>
        <v>0</v>
      </c>
      <c r="L50" s="319">
        <f t="shared" si="2"/>
        <v>0</v>
      </c>
      <c r="M50" s="319">
        <f t="shared" si="2"/>
        <v>1.896839413727153E-4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3.3400178834869588E-3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1.896839413727153E-4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927.78274541304404</v>
      </c>
      <c r="H54" s="21">
        <f t="shared" si="3"/>
        <v>0</v>
      </c>
      <c r="I54" s="21">
        <f t="shared" si="3"/>
        <v>0</v>
      </c>
      <c r="J54" s="21">
        <f t="shared" si="3"/>
        <v>0</v>
      </c>
      <c r="K54" s="21">
        <f t="shared" si="3"/>
        <v>0</v>
      </c>
      <c r="L54" s="21">
        <f t="shared" si="3"/>
        <v>0</v>
      </c>
      <c r="M54" s="21">
        <f t="shared" si="3"/>
        <v>52.689983714643134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0.20729168953645896</v>
      </c>
      <c r="C56" s="56">
        <f ca="1">'EF ele_warmte'!B22</f>
        <v>0.18210650914256082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247.71799302528277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10003.233961225509</v>
      </c>
      <c r="D10" s="979">
        <f ca="1">tertiair!C16</f>
        <v>0</v>
      </c>
      <c r="E10" s="979">
        <f ca="1">tertiair!D16</f>
        <v>9243.8065822357203</v>
      </c>
      <c r="F10" s="979">
        <f>tertiair!E16</f>
        <v>182.51985616391971</v>
      </c>
      <c r="G10" s="979">
        <f ca="1">tertiair!F16</f>
        <v>1640.1067415191851</v>
      </c>
      <c r="H10" s="979">
        <f>tertiair!G16</f>
        <v>0</v>
      </c>
      <c r="I10" s="979">
        <f>tertiair!H16</f>
        <v>0</v>
      </c>
      <c r="J10" s="979">
        <f>tertiair!I16</f>
        <v>0</v>
      </c>
      <c r="K10" s="979">
        <f>tertiair!J16</f>
        <v>1.4516501751554053E-2</v>
      </c>
      <c r="L10" s="979">
        <f>tertiair!K16</f>
        <v>0</v>
      </c>
      <c r="M10" s="979">
        <f ca="1">tertiair!L16</f>
        <v>0</v>
      </c>
      <c r="N10" s="979">
        <f>tertiair!M16</f>
        <v>0</v>
      </c>
      <c r="O10" s="979">
        <f ca="1">tertiair!N16</f>
        <v>587.13617324740255</v>
      </c>
      <c r="P10" s="979">
        <f>tertiair!O16</f>
        <v>4.6900000000000004</v>
      </c>
      <c r="Q10" s="980">
        <f>tertiair!P16</f>
        <v>38.133333333333333</v>
      </c>
      <c r="R10" s="674">
        <f ca="1">SUM(C10:Q10)</f>
        <v>21699.641164226825</v>
      </c>
      <c r="S10" s="67"/>
    </row>
    <row r="11" spans="1:19" s="447" customFormat="1">
      <c r="A11" s="783" t="s">
        <v>224</v>
      </c>
      <c r="B11" s="788"/>
      <c r="C11" s="979">
        <f>huishoudens!B8</f>
        <v>15320.137533938083</v>
      </c>
      <c r="D11" s="979">
        <f>huishoudens!C8</f>
        <v>0</v>
      </c>
      <c r="E11" s="979">
        <f>huishoudens!D8</f>
        <v>30662.002173467466</v>
      </c>
      <c r="F11" s="979">
        <f>huishoudens!E8</f>
        <v>15516.162640288827</v>
      </c>
      <c r="G11" s="979">
        <f>huishoudens!F8</f>
        <v>14343.013882882682</v>
      </c>
      <c r="H11" s="979">
        <f>huishoudens!G8</f>
        <v>0</v>
      </c>
      <c r="I11" s="979">
        <f>huishoudens!H8</f>
        <v>0</v>
      </c>
      <c r="J11" s="979">
        <f>huishoudens!I8</f>
        <v>0</v>
      </c>
      <c r="K11" s="979">
        <f>huishoudens!J8</f>
        <v>899.24796044675452</v>
      </c>
      <c r="L11" s="979">
        <f>huishoudens!K8</f>
        <v>0</v>
      </c>
      <c r="M11" s="979">
        <f>huishoudens!L8</f>
        <v>0</v>
      </c>
      <c r="N11" s="979">
        <f>huishoudens!M8</f>
        <v>0</v>
      </c>
      <c r="O11" s="979">
        <f>huishoudens!N8</f>
        <v>12831.332565692072</v>
      </c>
      <c r="P11" s="979">
        <f>huishoudens!O8</f>
        <v>240.75333333333336</v>
      </c>
      <c r="Q11" s="980">
        <f>huishoudens!P8</f>
        <v>572</v>
      </c>
      <c r="R11" s="674">
        <f>SUM(C11:Q11)</f>
        <v>90384.650090049225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203556.14439856459</v>
      </c>
      <c r="D13" s="979">
        <f>industrie!C18</f>
        <v>2674.2857142857142</v>
      </c>
      <c r="E13" s="979">
        <f>industrie!D18</f>
        <v>104957.33425516637</v>
      </c>
      <c r="F13" s="979">
        <f>industrie!E18</f>
        <v>4827.6121942760437</v>
      </c>
      <c r="G13" s="979">
        <f>industrie!F18</f>
        <v>24026.673920573998</v>
      </c>
      <c r="H13" s="979">
        <f>industrie!G18</f>
        <v>0</v>
      </c>
      <c r="I13" s="979">
        <f>industrie!H18</f>
        <v>0</v>
      </c>
      <c r="J13" s="979">
        <f>industrie!I18</f>
        <v>0</v>
      </c>
      <c r="K13" s="979">
        <f>industrie!J18</f>
        <v>262.38410082242041</v>
      </c>
      <c r="L13" s="979">
        <f>industrie!K18</f>
        <v>0</v>
      </c>
      <c r="M13" s="979">
        <f>industrie!L18</f>
        <v>0</v>
      </c>
      <c r="N13" s="979">
        <f>industrie!M18</f>
        <v>0</v>
      </c>
      <c r="O13" s="979">
        <f>industrie!N18</f>
        <v>9603.5256790495496</v>
      </c>
      <c r="P13" s="979">
        <f>industrie!O18</f>
        <v>0</v>
      </c>
      <c r="Q13" s="980">
        <f>industrie!P18</f>
        <v>0</v>
      </c>
      <c r="R13" s="674">
        <f>SUM(C13:Q13)</f>
        <v>349907.96026273875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228879.51589372818</v>
      </c>
      <c r="D16" s="706">
        <f t="shared" ref="D16:R16" ca="1" si="0">SUM(D9:D15)</f>
        <v>2674.2857142857142</v>
      </c>
      <c r="E16" s="706">
        <f t="shared" ca="1" si="0"/>
        <v>144863.14301086956</v>
      </c>
      <c r="F16" s="706">
        <f t="shared" si="0"/>
        <v>20526.294690728791</v>
      </c>
      <c r="G16" s="706">
        <f t="shared" ca="1" si="0"/>
        <v>40009.794544975863</v>
      </c>
      <c r="H16" s="706">
        <f t="shared" si="0"/>
        <v>0</v>
      </c>
      <c r="I16" s="706">
        <f t="shared" si="0"/>
        <v>0</v>
      </c>
      <c r="J16" s="706">
        <f t="shared" si="0"/>
        <v>0</v>
      </c>
      <c r="K16" s="706">
        <f t="shared" si="0"/>
        <v>1161.6465777709266</v>
      </c>
      <c r="L16" s="706">
        <f t="shared" si="0"/>
        <v>0</v>
      </c>
      <c r="M16" s="706">
        <f t="shared" ca="1" si="0"/>
        <v>0</v>
      </c>
      <c r="N16" s="706">
        <f t="shared" si="0"/>
        <v>0</v>
      </c>
      <c r="O16" s="706">
        <f t="shared" ca="1" si="0"/>
        <v>23021.994417989023</v>
      </c>
      <c r="P16" s="706">
        <f t="shared" si="0"/>
        <v>245.44333333333336</v>
      </c>
      <c r="Q16" s="706">
        <f t="shared" si="0"/>
        <v>610.13333333333333</v>
      </c>
      <c r="R16" s="706">
        <f t="shared" ca="1" si="0"/>
        <v>461992.25151701481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927.78274541304404</v>
      </c>
      <c r="I19" s="979">
        <f>transport!H54</f>
        <v>0</v>
      </c>
      <c r="J19" s="979">
        <f>transport!I54</f>
        <v>0</v>
      </c>
      <c r="K19" s="979">
        <f>transport!J54</f>
        <v>0</v>
      </c>
      <c r="L19" s="979">
        <f>transport!K54</f>
        <v>0</v>
      </c>
      <c r="M19" s="979">
        <f>transport!L54</f>
        <v>0</v>
      </c>
      <c r="N19" s="979">
        <f>transport!M54</f>
        <v>52.689983714643134</v>
      </c>
      <c r="O19" s="979">
        <f>transport!N54</f>
        <v>0</v>
      </c>
      <c r="P19" s="979">
        <f>transport!O54</f>
        <v>0</v>
      </c>
      <c r="Q19" s="980">
        <f>transport!P54</f>
        <v>0</v>
      </c>
      <c r="R19" s="674">
        <f>SUM(C19:Q19)</f>
        <v>980.47272912768722</v>
      </c>
      <c r="S19" s="67"/>
    </row>
    <row r="20" spans="1:19" s="447" customFormat="1">
      <c r="A20" s="783" t="s">
        <v>306</v>
      </c>
      <c r="B20" s="788"/>
      <c r="C20" s="979">
        <f>transport!B14</f>
        <v>51.318755314435634</v>
      </c>
      <c r="D20" s="979">
        <f>transport!C14</f>
        <v>0</v>
      </c>
      <c r="E20" s="979">
        <f>transport!D14</f>
        <v>137.88305764575577</v>
      </c>
      <c r="F20" s="979">
        <f>transport!E14</f>
        <v>263.62613082126722</v>
      </c>
      <c r="G20" s="979">
        <f>transport!F14</f>
        <v>0</v>
      </c>
      <c r="H20" s="979">
        <f>transport!G14</f>
        <v>126421.68638958935</v>
      </c>
      <c r="I20" s="979">
        <f>transport!H14</f>
        <v>23842.356264989652</v>
      </c>
      <c r="J20" s="979">
        <f>transport!I14</f>
        <v>0</v>
      </c>
      <c r="K20" s="979">
        <f>transport!J14</f>
        <v>0</v>
      </c>
      <c r="L20" s="979">
        <f>transport!K14</f>
        <v>0</v>
      </c>
      <c r="M20" s="979">
        <f>transport!L14</f>
        <v>0</v>
      </c>
      <c r="N20" s="979">
        <f>transport!M14</f>
        <v>8088.1627201646143</v>
      </c>
      <c r="O20" s="979">
        <f>transport!N14</f>
        <v>0</v>
      </c>
      <c r="P20" s="979">
        <f>transport!O14</f>
        <v>0</v>
      </c>
      <c r="Q20" s="980">
        <f>transport!P14</f>
        <v>0</v>
      </c>
      <c r="R20" s="674">
        <f>SUM(C20:Q20)</f>
        <v>158805.03331852506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51.318755314435634</v>
      </c>
      <c r="D22" s="786">
        <f t="shared" ref="D22:R22" si="1">SUM(D18:D21)</f>
        <v>0</v>
      </c>
      <c r="E22" s="786">
        <f t="shared" si="1"/>
        <v>137.88305764575577</v>
      </c>
      <c r="F22" s="786">
        <f t="shared" si="1"/>
        <v>263.62613082126722</v>
      </c>
      <c r="G22" s="786">
        <f t="shared" si="1"/>
        <v>0</v>
      </c>
      <c r="H22" s="786">
        <f t="shared" si="1"/>
        <v>127349.46913500239</v>
      </c>
      <c r="I22" s="786">
        <f t="shared" si="1"/>
        <v>23842.356264989652</v>
      </c>
      <c r="J22" s="786">
        <f t="shared" si="1"/>
        <v>0</v>
      </c>
      <c r="K22" s="786">
        <f t="shared" si="1"/>
        <v>0</v>
      </c>
      <c r="L22" s="786">
        <f t="shared" si="1"/>
        <v>0</v>
      </c>
      <c r="M22" s="786">
        <f t="shared" si="1"/>
        <v>0</v>
      </c>
      <c r="N22" s="786">
        <f t="shared" si="1"/>
        <v>8140.8527038792572</v>
      </c>
      <c r="O22" s="786">
        <f t="shared" si="1"/>
        <v>0</v>
      </c>
      <c r="P22" s="786">
        <f t="shared" si="1"/>
        <v>0</v>
      </c>
      <c r="Q22" s="786">
        <f t="shared" si="1"/>
        <v>0</v>
      </c>
      <c r="R22" s="786">
        <f t="shared" si="1"/>
        <v>159785.50604765274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7892.6215208370395</v>
      </c>
      <c r="D24" s="979">
        <f>+landbouw!C8</f>
        <v>47642.142857142855</v>
      </c>
      <c r="E24" s="979">
        <f>+landbouw!D8</f>
        <v>0</v>
      </c>
      <c r="F24" s="979">
        <f>+landbouw!E8</f>
        <v>231.98825334597379</v>
      </c>
      <c r="G24" s="979">
        <f>+landbouw!F8</f>
        <v>32880.234760925843</v>
      </c>
      <c r="H24" s="979">
        <f>+landbouw!G8</f>
        <v>0</v>
      </c>
      <c r="I24" s="979">
        <f>+landbouw!H8</f>
        <v>0</v>
      </c>
      <c r="J24" s="979">
        <f>+landbouw!I8</f>
        <v>0</v>
      </c>
      <c r="K24" s="979">
        <f>+landbouw!J8</f>
        <v>1143.4713623819255</v>
      </c>
      <c r="L24" s="979">
        <f>+landbouw!K8</f>
        <v>0</v>
      </c>
      <c r="M24" s="979">
        <f>+landbouw!L8</f>
        <v>0</v>
      </c>
      <c r="N24" s="979">
        <f>+landbouw!M8</f>
        <v>0</v>
      </c>
      <c r="O24" s="979">
        <f>+landbouw!N8</f>
        <v>0</v>
      </c>
      <c r="P24" s="979">
        <f>+landbouw!O8</f>
        <v>0</v>
      </c>
      <c r="Q24" s="980">
        <f>+landbouw!P8</f>
        <v>0</v>
      </c>
      <c r="R24" s="674">
        <f>SUM(C24:Q24)</f>
        <v>89790.458754633641</v>
      </c>
      <c r="S24" s="67"/>
    </row>
    <row r="25" spans="1:19" s="447" customFormat="1" ht="15" thickBot="1">
      <c r="A25" s="805" t="s">
        <v>823</v>
      </c>
      <c r="B25" s="982"/>
      <c r="C25" s="983">
        <f>IF(Onbekend_ele_kWh="---",0,Onbekend_ele_kWh)/1000+IF(REST_rest_ele_kWh="---",0,REST_rest_ele_kWh)/1000</f>
        <v>510.64338749125699</v>
      </c>
      <c r="D25" s="983"/>
      <c r="E25" s="983">
        <f>IF(onbekend_gas_kWh="---",0,onbekend_gas_kWh)/1000+IF(REST_rest_gas_kWh="---",0,REST_rest_gas_kWh)/1000</f>
        <v>1033.15539565059</v>
      </c>
      <c r="F25" s="983"/>
      <c r="G25" s="983"/>
      <c r="H25" s="983"/>
      <c r="I25" s="983"/>
      <c r="J25" s="983"/>
      <c r="K25" s="983"/>
      <c r="L25" s="983"/>
      <c r="M25" s="983"/>
      <c r="N25" s="983"/>
      <c r="O25" s="983"/>
      <c r="P25" s="983"/>
      <c r="Q25" s="984"/>
      <c r="R25" s="674">
        <f>SUM(C25:Q25)</f>
        <v>1543.798783141847</v>
      </c>
      <c r="S25" s="67"/>
    </row>
    <row r="26" spans="1:19" s="447" customFormat="1" ht="15.75" thickBot="1">
      <c r="A26" s="679" t="s">
        <v>824</v>
      </c>
      <c r="B26" s="791"/>
      <c r="C26" s="786">
        <f>SUM(C24:C25)</f>
        <v>8403.2649083282959</v>
      </c>
      <c r="D26" s="786">
        <f t="shared" ref="D26:R26" si="2">SUM(D24:D25)</f>
        <v>47642.142857142855</v>
      </c>
      <c r="E26" s="786">
        <f t="shared" si="2"/>
        <v>1033.15539565059</v>
      </c>
      <c r="F26" s="786">
        <f t="shared" si="2"/>
        <v>231.98825334597379</v>
      </c>
      <c r="G26" s="786">
        <f t="shared" si="2"/>
        <v>32880.234760925843</v>
      </c>
      <c r="H26" s="786">
        <f t="shared" si="2"/>
        <v>0</v>
      </c>
      <c r="I26" s="786">
        <f t="shared" si="2"/>
        <v>0</v>
      </c>
      <c r="J26" s="786">
        <f t="shared" si="2"/>
        <v>0</v>
      </c>
      <c r="K26" s="786">
        <f t="shared" si="2"/>
        <v>1143.4713623819255</v>
      </c>
      <c r="L26" s="786">
        <f t="shared" si="2"/>
        <v>0</v>
      </c>
      <c r="M26" s="786">
        <f t="shared" si="2"/>
        <v>0</v>
      </c>
      <c r="N26" s="786">
        <f t="shared" si="2"/>
        <v>0</v>
      </c>
      <c r="O26" s="786">
        <f t="shared" si="2"/>
        <v>0</v>
      </c>
      <c r="P26" s="786">
        <f t="shared" si="2"/>
        <v>0</v>
      </c>
      <c r="Q26" s="786">
        <f t="shared" si="2"/>
        <v>0</v>
      </c>
      <c r="R26" s="786">
        <f t="shared" si="2"/>
        <v>91334.257537775484</v>
      </c>
      <c r="S26" s="67"/>
    </row>
    <row r="27" spans="1:19" s="447" customFormat="1" ht="17.25" thickTop="1" thickBot="1">
      <c r="A27" s="680" t="s">
        <v>115</v>
      </c>
      <c r="B27" s="779"/>
      <c r="C27" s="681">
        <f ca="1">C22+C16+C26</f>
        <v>237334.09955737091</v>
      </c>
      <c r="D27" s="681">
        <f t="shared" ref="D27:R27" ca="1" si="3">D22+D16+D26</f>
        <v>50316.428571428572</v>
      </c>
      <c r="E27" s="681">
        <f t="shared" ca="1" si="3"/>
        <v>146034.18146416591</v>
      </c>
      <c r="F27" s="681">
        <f t="shared" si="3"/>
        <v>21021.909074896033</v>
      </c>
      <c r="G27" s="681">
        <f t="shared" ca="1" si="3"/>
        <v>72890.029305901699</v>
      </c>
      <c r="H27" s="681">
        <f t="shared" si="3"/>
        <v>127349.46913500239</v>
      </c>
      <c r="I27" s="681">
        <f t="shared" si="3"/>
        <v>23842.356264989652</v>
      </c>
      <c r="J27" s="681">
        <f t="shared" si="3"/>
        <v>0</v>
      </c>
      <c r="K27" s="681">
        <f t="shared" si="3"/>
        <v>2305.117940152852</v>
      </c>
      <c r="L27" s="681">
        <f t="shared" si="3"/>
        <v>0</v>
      </c>
      <c r="M27" s="681">
        <f t="shared" ca="1" si="3"/>
        <v>0</v>
      </c>
      <c r="N27" s="681">
        <f t="shared" si="3"/>
        <v>8140.8527038792572</v>
      </c>
      <c r="O27" s="681">
        <f t="shared" ca="1" si="3"/>
        <v>23021.994417989023</v>
      </c>
      <c r="P27" s="681">
        <f t="shared" si="3"/>
        <v>245.44333333333336</v>
      </c>
      <c r="Q27" s="681">
        <f t="shared" si="3"/>
        <v>610.13333333333333</v>
      </c>
      <c r="R27" s="681">
        <f t="shared" ca="1" si="3"/>
        <v>713112.01510244305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2073.5872686509206</v>
      </c>
      <c r="D40" s="979">
        <f ca="1">tertiair!C20</f>
        <v>0</v>
      </c>
      <c r="E40" s="979">
        <f ca="1">tertiair!D20</f>
        <v>1867.2489296116157</v>
      </c>
      <c r="F40" s="979">
        <f>tertiair!E20</f>
        <v>41.432007349209776</v>
      </c>
      <c r="G40" s="979">
        <f ca="1">tertiair!F20</f>
        <v>437.90849998562243</v>
      </c>
      <c r="H40" s="979">
        <f>tertiair!G20</f>
        <v>0</v>
      </c>
      <c r="I40" s="979">
        <f>tertiair!H20</f>
        <v>0</v>
      </c>
      <c r="J40" s="979">
        <f>tertiair!I20</f>
        <v>0</v>
      </c>
      <c r="K40" s="979">
        <f>tertiair!J20</f>
        <v>5.1388416200501344E-3</v>
      </c>
      <c r="L40" s="979">
        <f>tertiair!K20</f>
        <v>0</v>
      </c>
      <c r="M40" s="979">
        <f ca="1">tertiair!L20</f>
        <v>0</v>
      </c>
      <c r="N40" s="979">
        <f>tertiair!M20</f>
        <v>0</v>
      </c>
      <c r="O40" s="979">
        <f ca="1">tertiair!N20</f>
        <v>0</v>
      </c>
      <c r="P40" s="979">
        <f>tertiair!O20</f>
        <v>0</v>
      </c>
      <c r="Q40" s="748">
        <f>tertiair!P20</f>
        <v>0</v>
      </c>
      <c r="R40" s="824">
        <f t="shared" ca="1" si="4"/>
        <v>4420.1818444389892</v>
      </c>
    </row>
    <row r="41" spans="1:18">
      <c r="A41" s="796" t="s">
        <v>224</v>
      </c>
      <c r="B41" s="803"/>
      <c r="C41" s="979">
        <f ca="1">huishoudens!B12</f>
        <v>3175.7371933409449</v>
      </c>
      <c r="D41" s="979">
        <f ca="1">huishoudens!C12</f>
        <v>0</v>
      </c>
      <c r="E41" s="979">
        <f>huishoudens!D12</f>
        <v>6193.7244390404285</v>
      </c>
      <c r="F41" s="979">
        <f>huishoudens!E12</f>
        <v>3522.1689193455636</v>
      </c>
      <c r="G41" s="979">
        <f>huishoudens!F12</f>
        <v>3829.5847067296763</v>
      </c>
      <c r="H41" s="979">
        <f>huishoudens!G12</f>
        <v>0</v>
      </c>
      <c r="I41" s="979">
        <f>huishoudens!H12</f>
        <v>0</v>
      </c>
      <c r="J41" s="979">
        <f>huishoudens!I12</f>
        <v>0</v>
      </c>
      <c r="K41" s="979">
        <f>huishoudens!J12</f>
        <v>318.33377799815111</v>
      </c>
      <c r="L41" s="979">
        <f>huishoudens!K12</f>
        <v>0</v>
      </c>
      <c r="M41" s="979">
        <f>huishoudens!L12</f>
        <v>0</v>
      </c>
      <c r="N41" s="979">
        <f>huishoudens!M12</f>
        <v>0</v>
      </c>
      <c r="O41" s="979">
        <f>huishoudens!N12</f>
        <v>0</v>
      </c>
      <c r="P41" s="979">
        <f>huishoudens!O12</f>
        <v>0</v>
      </c>
      <c r="Q41" s="748">
        <f>huishoudens!P12</f>
        <v>0</v>
      </c>
      <c r="R41" s="824">
        <f t="shared" ca="1" si="4"/>
        <v>17039.549036454766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42195.49708790586</v>
      </c>
      <c r="D43" s="979">
        <f ca="1">industrie!C22</f>
        <v>487.00483587839125</v>
      </c>
      <c r="E43" s="979">
        <f>industrie!D22</f>
        <v>21201.381519543607</v>
      </c>
      <c r="F43" s="979">
        <f>industrie!E22</f>
        <v>1095.867968100662</v>
      </c>
      <c r="G43" s="979">
        <f>industrie!F22</f>
        <v>6415.1219367932581</v>
      </c>
      <c r="H43" s="979">
        <f>industrie!G22</f>
        <v>0</v>
      </c>
      <c r="I43" s="979">
        <f>industrie!H22</f>
        <v>0</v>
      </c>
      <c r="J43" s="979">
        <f>industrie!I22</f>
        <v>0</v>
      </c>
      <c r="K43" s="979">
        <f>industrie!J22</f>
        <v>92.883971691136821</v>
      </c>
      <c r="L43" s="979">
        <f>industrie!K22</f>
        <v>0</v>
      </c>
      <c r="M43" s="979">
        <f>industrie!L22</f>
        <v>0</v>
      </c>
      <c r="N43" s="979">
        <f>industrie!M22</f>
        <v>0</v>
      </c>
      <c r="O43" s="979">
        <f>industrie!N22</f>
        <v>0</v>
      </c>
      <c r="P43" s="979">
        <f>industrie!O22</f>
        <v>0</v>
      </c>
      <c r="Q43" s="748">
        <f>industrie!P22</f>
        <v>0</v>
      </c>
      <c r="R43" s="823">
        <f t="shared" ca="1" si="4"/>
        <v>71487.757319912911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47444.821549897722</v>
      </c>
      <c r="D46" s="706">
        <f t="shared" ref="D46:Q46" ca="1" si="5">SUM(D39:D45)</f>
        <v>487.00483587839125</v>
      </c>
      <c r="E46" s="706">
        <f t="shared" ca="1" si="5"/>
        <v>29262.354888195652</v>
      </c>
      <c r="F46" s="706">
        <f t="shared" si="5"/>
        <v>4659.4688947954355</v>
      </c>
      <c r="G46" s="706">
        <f t="shared" ca="1" si="5"/>
        <v>10682.615143508556</v>
      </c>
      <c r="H46" s="706">
        <f t="shared" si="5"/>
        <v>0</v>
      </c>
      <c r="I46" s="706">
        <f t="shared" si="5"/>
        <v>0</v>
      </c>
      <c r="J46" s="706">
        <f t="shared" si="5"/>
        <v>0</v>
      </c>
      <c r="K46" s="706">
        <f t="shared" si="5"/>
        <v>411.22288853090799</v>
      </c>
      <c r="L46" s="706">
        <f t="shared" si="5"/>
        <v>0</v>
      </c>
      <c r="M46" s="706">
        <f t="shared" ca="1" si="5"/>
        <v>0</v>
      </c>
      <c r="N46" s="706">
        <f t="shared" si="5"/>
        <v>0</v>
      </c>
      <c r="O46" s="706">
        <f t="shared" ca="1" si="5"/>
        <v>0</v>
      </c>
      <c r="P46" s="706">
        <f t="shared" si="5"/>
        <v>0</v>
      </c>
      <c r="Q46" s="706">
        <f t="shared" si="5"/>
        <v>0</v>
      </c>
      <c r="R46" s="706">
        <f ca="1">SUM(R39:R45)</f>
        <v>92947.488200806663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247.71799302528277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247.71799302528277</v>
      </c>
    </row>
    <row r="50" spans="1:18">
      <c r="A50" s="799" t="s">
        <v>306</v>
      </c>
      <c r="B50" s="809"/>
      <c r="C50" s="677">
        <f ca="1">transport!B18</f>
        <v>10.637951494037495</v>
      </c>
      <c r="D50" s="677">
        <f>transport!C18</f>
        <v>0</v>
      </c>
      <c r="E50" s="677">
        <f>transport!D18</f>
        <v>27.852377644442669</v>
      </c>
      <c r="F50" s="677">
        <f>transport!E18</f>
        <v>59.843131696427662</v>
      </c>
      <c r="G50" s="677">
        <f>transport!F18</f>
        <v>0</v>
      </c>
      <c r="H50" s="677">
        <f>transport!G18</f>
        <v>33754.590266020357</v>
      </c>
      <c r="I50" s="677">
        <f>transport!H18</f>
        <v>5936.7467099824235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39789.670436837689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10.637951494037495</v>
      </c>
      <c r="D52" s="706">
        <f t="shared" ref="D52:Q52" ca="1" si="6">SUM(D48:D51)</f>
        <v>0</v>
      </c>
      <c r="E52" s="706">
        <f t="shared" si="6"/>
        <v>27.852377644442669</v>
      </c>
      <c r="F52" s="706">
        <f t="shared" si="6"/>
        <v>59.843131696427662</v>
      </c>
      <c r="G52" s="706">
        <f t="shared" si="6"/>
        <v>0</v>
      </c>
      <c r="H52" s="706">
        <f t="shared" si="6"/>
        <v>34002.30825904564</v>
      </c>
      <c r="I52" s="706">
        <f t="shared" si="6"/>
        <v>5936.7467099824235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40037.388429862971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1636.0748499261263</v>
      </c>
      <c r="D54" s="677">
        <f ca="1">+landbouw!C12</f>
        <v>8675.9443237854739</v>
      </c>
      <c r="E54" s="677">
        <f>+landbouw!D12</f>
        <v>0</v>
      </c>
      <c r="F54" s="677">
        <f>+landbouw!E12</f>
        <v>52.66133350953605</v>
      </c>
      <c r="G54" s="677">
        <f>+landbouw!F12</f>
        <v>8779.0226811672001</v>
      </c>
      <c r="H54" s="677">
        <f>+landbouw!G12</f>
        <v>0</v>
      </c>
      <c r="I54" s="677">
        <f>+landbouw!H12</f>
        <v>0</v>
      </c>
      <c r="J54" s="677">
        <f>+landbouw!I12</f>
        <v>0</v>
      </c>
      <c r="K54" s="677">
        <f>+landbouw!J12</f>
        <v>404.78886228320158</v>
      </c>
      <c r="L54" s="677">
        <f>+landbouw!K12</f>
        <v>0</v>
      </c>
      <c r="M54" s="677">
        <f>+landbouw!L12</f>
        <v>0</v>
      </c>
      <c r="N54" s="677">
        <f>+landbouw!M12</f>
        <v>0</v>
      </c>
      <c r="O54" s="677">
        <f>+landbouw!N12</f>
        <v>0</v>
      </c>
      <c r="P54" s="677">
        <f>+landbouw!O12</f>
        <v>0</v>
      </c>
      <c r="Q54" s="678">
        <f>+landbouw!P12</f>
        <v>0</v>
      </c>
      <c r="R54" s="705">
        <f ca="1">SUM(C54:Q54)</f>
        <v>19548.492050671539</v>
      </c>
    </row>
    <row r="55" spans="1:18" ht="15" thickBot="1">
      <c r="A55" s="799" t="s">
        <v>823</v>
      </c>
      <c r="B55" s="809"/>
      <c r="C55" s="677">
        <f ca="1">C25*'EF ele_warmte'!B12</f>
        <v>105.85213054368336</v>
      </c>
      <c r="D55" s="677"/>
      <c r="E55" s="677">
        <f>E25*EF_CO2_aardgas</f>
        <v>208.69738992141919</v>
      </c>
      <c r="F55" s="677"/>
      <c r="G55" s="677"/>
      <c r="H55" s="677"/>
      <c r="I55" s="677"/>
      <c r="J55" s="677"/>
      <c r="K55" s="677"/>
      <c r="L55" s="677"/>
      <c r="M55" s="677"/>
      <c r="N55" s="677"/>
      <c r="O55" s="677"/>
      <c r="P55" s="677"/>
      <c r="Q55" s="678"/>
      <c r="R55" s="705">
        <f ca="1">SUM(C55:Q55)</f>
        <v>314.54952046510255</v>
      </c>
    </row>
    <row r="56" spans="1:18" ht="15.75" thickBot="1">
      <c r="A56" s="797" t="s">
        <v>824</v>
      </c>
      <c r="B56" s="810"/>
      <c r="C56" s="706">
        <f ca="1">SUM(C54:C55)</f>
        <v>1741.9269804698097</v>
      </c>
      <c r="D56" s="706">
        <f t="shared" ref="D56:Q56" ca="1" si="7">SUM(D54:D55)</f>
        <v>8675.9443237854739</v>
      </c>
      <c r="E56" s="706">
        <f t="shared" si="7"/>
        <v>208.69738992141919</v>
      </c>
      <c r="F56" s="706">
        <f t="shared" si="7"/>
        <v>52.66133350953605</v>
      </c>
      <c r="G56" s="706">
        <f t="shared" si="7"/>
        <v>8779.0226811672001</v>
      </c>
      <c r="H56" s="706">
        <f t="shared" si="7"/>
        <v>0</v>
      </c>
      <c r="I56" s="706">
        <f t="shared" si="7"/>
        <v>0</v>
      </c>
      <c r="J56" s="706">
        <f t="shared" si="7"/>
        <v>0</v>
      </c>
      <c r="K56" s="706">
        <f t="shared" si="7"/>
        <v>404.78886228320158</v>
      </c>
      <c r="L56" s="706">
        <f t="shared" si="7"/>
        <v>0</v>
      </c>
      <c r="M56" s="706">
        <f t="shared" si="7"/>
        <v>0</v>
      </c>
      <c r="N56" s="706">
        <f t="shared" si="7"/>
        <v>0</v>
      </c>
      <c r="O56" s="706">
        <f t="shared" si="7"/>
        <v>0</v>
      </c>
      <c r="P56" s="706">
        <f t="shared" si="7"/>
        <v>0</v>
      </c>
      <c r="Q56" s="707">
        <f t="shared" si="7"/>
        <v>0</v>
      </c>
      <c r="R56" s="708">
        <f ca="1">SUM(R54:R55)</f>
        <v>19863.04157113664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49197.386481861569</v>
      </c>
      <c r="D61" s="714">
        <f t="shared" ref="D61:Q61" ca="1" si="8">D46+D52+D56</f>
        <v>9162.9491596638654</v>
      </c>
      <c r="E61" s="714">
        <f t="shared" ca="1" si="8"/>
        <v>29498.904655761515</v>
      </c>
      <c r="F61" s="714">
        <f t="shared" si="8"/>
        <v>4771.9733600013997</v>
      </c>
      <c r="G61" s="714">
        <f t="shared" ca="1" si="8"/>
        <v>19461.637824675756</v>
      </c>
      <c r="H61" s="714">
        <f t="shared" si="8"/>
        <v>34002.30825904564</v>
      </c>
      <c r="I61" s="714">
        <f t="shared" si="8"/>
        <v>5936.7467099824235</v>
      </c>
      <c r="J61" s="714">
        <f t="shared" si="8"/>
        <v>0</v>
      </c>
      <c r="K61" s="714">
        <f t="shared" si="8"/>
        <v>816.01175081410952</v>
      </c>
      <c r="L61" s="714">
        <f t="shared" si="8"/>
        <v>0</v>
      </c>
      <c r="M61" s="714">
        <f t="shared" ca="1" si="8"/>
        <v>0</v>
      </c>
      <c r="N61" s="714">
        <f t="shared" si="8"/>
        <v>0</v>
      </c>
      <c r="O61" s="714">
        <f t="shared" ca="1" si="8"/>
        <v>0</v>
      </c>
      <c r="P61" s="714">
        <f t="shared" si="8"/>
        <v>0</v>
      </c>
      <c r="Q61" s="714">
        <f t="shared" si="8"/>
        <v>0</v>
      </c>
      <c r="R61" s="714">
        <f ca="1">R46+R52+R56</f>
        <v>152847.91820180629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0.20729168953645896</v>
      </c>
      <c r="D63" s="755">
        <f t="shared" ca="1" si="9"/>
        <v>0.18210650914256082</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8522.9069324982302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8231.625</v>
      </c>
      <c r="C76" s="724">
        <f>'lokale energieproductie'!B8*IFERROR(SUM(D76:H76)/SUM(D76:O76),0)</f>
        <v>26989.875</v>
      </c>
      <c r="D76" s="1000">
        <f>'lokale energieproductie'!C8</f>
        <v>31752.794117647059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9684.2647058823532</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6414.0644117647062</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16754.53193249823</v>
      </c>
      <c r="C78" s="729">
        <f>SUM(C72:C77)</f>
        <v>26989.875</v>
      </c>
      <c r="D78" s="730">
        <f t="shared" ref="D78:H78" si="10">SUM(D76:D77)</f>
        <v>31752.794117647059</v>
      </c>
      <c r="E78" s="730">
        <f t="shared" si="10"/>
        <v>0</v>
      </c>
      <c r="F78" s="730">
        <f t="shared" si="10"/>
        <v>0</v>
      </c>
      <c r="G78" s="730">
        <f t="shared" si="10"/>
        <v>0</v>
      </c>
      <c r="H78" s="730">
        <f t="shared" si="10"/>
        <v>0</v>
      </c>
      <c r="I78" s="730">
        <f>SUM(I76:I77)</f>
        <v>0</v>
      </c>
      <c r="J78" s="730">
        <f>SUM(J76:J77)</f>
        <v>9684.2647058823532</v>
      </c>
      <c r="K78" s="730">
        <f t="shared" ref="K78:L78" si="11">SUM(K76:K77)</f>
        <v>0</v>
      </c>
      <c r="L78" s="730">
        <f t="shared" si="11"/>
        <v>0</v>
      </c>
      <c r="M78" s="730">
        <f>SUM(M76:M77)</f>
        <v>0</v>
      </c>
      <c r="N78" s="730">
        <f>SUM(N76:N77)</f>
        <v>0</v>
      </c>
      <c r="O78" s="834">
        <f>SUM(O76:O77)</f>
        <v>0</v>
      </c>
      <c r="P78" s="731">
        <v>0</v>
      </c>
      <c r="Q78" s="731">
        <f>SUM(Q76:Q77)</f>
        <v>6414.0644117647062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11759.464285714286</v>
      </c>
      <c r="C87" s="740">
        <f>'lokale energieproductie'!B17*IFERROR(SUM(D87:H87)/SUM(D87:O87),0)</f>
        <v>38556.96428571429</v>
      </c>
      <c r="D87" s="751">
        <f>'lokale energieproductie'!C17</f>
        <v>45361.134453781509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13834.663865546217</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9162.9491596638654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11759.464285714286</v>
      </c>
      <c r="C90" s="729">
        <f>SUM(C87:C89)</f>
        <v>38556.96428571429</v>
      </c>
      <c r="D90" s="729">
        <f t="shared" ref="D90:H90" si="12">SUM(D87:D89)</f>
        <v>45361.134453781509</v>
      </c>
      <c r="E90" s="729">
        <f t="shared" si="12"/>
        <v>0</v>
      </c>
      <c r="F90" s="729">
        <f t="shared" si="12"/>
        <v>0</v>
      </c>
      <c r="G90" s="729">
        <f t="shared" si="12"/>
        <v>0</v>
      </c>
      <c r="H90" s="729">
        <f t="shared" si="12"/>
        <v>0</v>
      </c>
      <c r="I90" s="729">
        <f>SUM(I87:I89)</f>
        <v>0</v>
      </c>
      <c r="J90" s="729">
        <f>SUM(J87:J89)</f>
        <v>13834.663865546217</v>
      </c>
      <c r="K90" s="729">
        <f t="shared" ref="K90:L90" si="13">SUM(K87:K89)</f>
        <v>0</v>
      </c>
      <c r="L90" s="729">
        <f t="shared" si="13"/>
        <v>0</v>
      </c>
      <c r="M90" s="729">
        <f>SUM(M87:M89)</f>
        <v>0</v>
      </c>
      <c r="N90" s="729">
        <f>SUM(N87:N89)</f>
        <v>0</v>
      </c>
      <c r="O90" s="729">
        <f>SUM(O87:O89)</f>
        <v>0</v>
      </c>
      <c r="P90" s="729">
        <v>0</v>
      </c>
      <c r="Q90" s="729">
        <f>SUM(Q87:Q89)</f>
        <v>9162.9491596638654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316" zoomScaleNormal="100" workbookViewId="0">
      <selection activeCell="M33" sqref="M33"/>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8522.9069324982302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N34</f>
        <v>35221.5</v>
      </c>
      <c r="C8" s="544">
        <f>B53</f>
        <v>31752.794117647059</v>
      </c>
      <c r="D8" s="1010"/>
      <c r="E8" s="1010">
        <f>E53</f>
        <v>0</v>
      </c>
      <c r="F8" s="1011"/>
      <c r="G8" s="545"/>
      <c r="H8" s="1010">
        <f>I53</f>
        <v>0</v>
      </c>
      <c r="I8" s="1010">
        <f>G53+F53</f>
        <v>0</v>
      </c>
      <c r="J8" s="1010">
        <f>H53+D53+C53</f>
        <v>9684.2647058823532</v>
      </c>
      <c r="K8" s="1010"/>
      <c r="L8" s="1010"/>
      <c r="M8" s="1010"/>
      <c r="N8" s="546"/>
      <c r="O8" s="547">
        <f>C8*$C$12+D8*$D$12+E8*$E$12+F8*$F$12+G8*$G$12+H8*$H$12+I8*$I$12+J8*$J$12</f>
        <v>6414.0644117647062</v>
      </c>
      <c r="P8" s="1250"/>
      <c r="Q8" s="1251"/>
      <c r="S8" s="973"/>
      <c r="T8" s="1225"/>
      <c r="U8" s="1225"/>
    </row>
    <row r="9" spans="1:21" s="533" customFormat="1" ht="17.45" customHeight="1" thickBot="1">
      <c r="A9" s="548" t="s">
        <v>247</v>
      </c>
      <c r="B9" s="549">
        <f>N41+'Eigen informatie GS &amp; warmtenet'!B12</f>
        <v>0</v>
      </c>
      <c r="C9" s="550">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43744.406932498227</v>
      </c>
      <c r="C10" s="557">
        <f t="shared" ref="C10:L10" si="0">SUM(C8:C9)</f>
        <v>31752.794117647059</v>
      </c>
      <c r="D10" s="557">
        <f t="shared" si="0"/>
        <v>0</v>
      </c>
      <c r="E10" s="557">
        <f t="shared" si="0"/>
        <v>0</v>
      </c>
      <c r="F10" s="557">
        <f t="shared" si="0"/>
        <v>0</v>
      </c>
      <c r="G10" s="557">
        <f t="shared" si="0"/>
        <v>0</v>
      </c>
      <c r="H10" s="557">
        <f t="shared" si="0"/>
        <v>0</v>
      </c>
      <c r="I10" s="557">
        <f t="shared" si="0"/>
        <v>0</v>
      </c>
      <c r="J10" s="557">
        <f t="shared" si="0"/>
        <v>9684.2647058823532</v>
      </c>
      <c r="K10" s="557">
        <f t="shared" si="0"/>
        <v>0</v>
      </c>
      <c r="L10" s="557">
        <f t="shared" si="0"/>
        <v>0</v>
      </c>
      <c r="M10" s="1013"/>
      <c r="N10" s="1013"/>
      <c r="O10" s="558">
        <f>SUM(O4:O9)</f>
        <v>6414.0644117647062</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O34</f>
        <v>50316.428571428572</v>
      </c>
      <c r="C17" s="569">
        <f>B54</f>
        <v>45361.134453781509</v>
      </c>
      <c r="D17" s="570"/>
      <c r="E17" s="570">
        <f>E54</f>
        <v>0</v>
      </c>
      <c r="F17" s="1016"/>
      <c r="G17" s="571"/>
      <c r="H17" s="569">
        <f>I54</f>
        <v>0</v>
      </c>
      <c r="I17" s="570">
        <f>G54+F54</f>
        <v>0</v>
      </c>
      <c r="J17" s="570">
        <f>H54+D54+C54</f>
        <v>13834.663865546217</v>
      </c>
      <c r="K17" s="570"/>
      <c r="L17" s="570"/>
      <c r="M17" s="570"/>
      <c r="N17" s="1017"/>
      <c r="O17" s="572">
        <f>C17*$C$22+E17*$E$22+H17*$H$22+I17*$I$22+J17*$J$22+D17*$D$22+F17*$F$22+G17*$G$22+K17*$K$22+L17*$L$22</f>
        <v>9162.9491596638654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50316.428571428572</v>
      </c>
      <c r="C20" s="556">
        <f>SUM(C17:C19)</f>
        <v>45361.134453781509</v>
      </c>
      <c r="D20" s="556">
        <f t="shared" ref="D20:L20" si="1">SUM(D17:D19)</f>
        <v>0</v>
      </c>
      <c r="E20" s="556">
        <f t="shared" si="1"/>
        <v>0</v>
      </c>
      <c r="F20" s="556">
        <f t="shared" si="1"/>
        <v>0</v>
      </c>
      <c r="G20" s="556">
        <f t="shared" si="1"/>
        <v>0</v>
      </c>
      <c r="H20" s="556">
        <f t="shared" si="1"/>
        <v>0</v>
      </c>
      <c r="I20" s="556">
        <f t="shared" si="1"/>
        <v>0</v>
      </c>
      <c r="J20" s="556">
        <f t="shared" si="1"/>
        <v>13834.663865546217</v>
      </c>
      <c r="K20" s="556">
        <f t="shared" si="1"/>
        <v>0</v>
      </c>
      <c r="L20" s="556">
        <f t="shared" si="1"/>
        <v>0</v>
      </c>
      <c r="M20" s="556"/>
      <c r="N20" s="556"/>
      <c r="O20" s="575">
        <f>SUM(O17:O19)</f>
        <v>9162.9491596638654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37020</v>
      </c>
      <c r="C28" s="770">
        <v>8851</v>
      </c>
      <c r="D28" s="627" t="s">
        <v>887</v>
      </c>
      <c r="E28" s="626" t="s">
        <v>888</v>
      </c>
      <c r="F28" s="626" t="s">
        <v>889</v>
      </c>
      <c r="G28" s="626" t="s">
        <v>890</v>
      </c>
      <c r="H28" s="626" t="s">
        <v>891</v>
      </c>
      <c r="I28" s="626" t="s">
        <v>892</v>
      </c>
      <c r="J28" s="769">
        <v>38231</v>
      </c>
      <c r="K28" s="769">
        <v>38384</v>
      </c>
      <c r="L28" s="626" t="s">
        <v>893</v>
      </c>
      <c r="M28" s="626">
        <v>291</v>
      </c>
      <c r="N28" s="626">
        <v>1309.5</v>
      </c>
      <c r="O28" s="626">
        <v>1870.7142857142858</v>
      </c>
      <c r="P28" s="626">
        <v>935.35714285714289</v>
      </c>
      <c r="Q28" s="626">
        <v>2806.0714285714284</v>
      </c>
      <c r="R28" s="626">
        <v>0</v>
      </c>
      <c r="S28" s="626">
        <v>0</v>
      </c>
      <c r="T28" s="626">
        <v>0</v>
      </c>
      <c r="U28" s="626">
        <v>0</v>
      </c>
      <c r="V28" s="626">
        <v>0</v>
      </c>
      <c r="W28" s="626">
        <v>0</v>
      </c>
      <c r="X28" s="626">
        <v>500</v>
      </c>
      <c r="Y28" s="626" t="s">
        <v>40</v>
      </c>
      <c r="Z28" s="628" t="s">
        <v>388</v>
      </c>
    </row>
    <row r="29" spans="1:26" s="580" customFormat="1" ht="25.5">
      <c r="A29" s="579"/>
      <c r="B29" s="770">
        <v>37020</v>
      </c>
      <c r="C29" s="770">
        <v>8850</v>
      </c>
      <c r="D29" s="627" t="s">
        <v>894</v>
      </c>
      <c r="E29" s="626" t="s">
        <v>895</v>
      </c>
      <c r="F29" s="626" t="s">
        <v>896</v>
      </c>
      <c r="G29" s="626" t="s">
        <v>890</v>
      </c>
      <c r="H29" s="626" t="s">
        <v>891</v>
      </c>
      <c r="I29" s="626" t="s">
        <v>895</v>
      </c>
      <c r="J29" s="769">
        <v>39994</v>
      </c>
      <c r="K29" s="769">
        <v>39994</v>
      </c>
      <c r="L29" s="626" t="s">
        <v>893</v>
      </c>
      <c r="M29" s="626">
        <v>1925</v>
      </c>
      <c r="N29" s="626">
        <v>8662.5</v>
      </c>
      <c r="O29" s="626">
        <v>12375</v>
      </c>
      <c r="P29" s="626">
        <v>24750</v>
      </c>
      <c r="Q29" s="626">
        <v>0</v>
      </c>
      <c r="R29" s="626">
        <v>0</v>
      </c>
      <c r="S29" s="626">
        <v>0</v>
      </c>
      <c r="T29" s="626">
        <v>0</v>
      </c>
      <c r="U29" s="626">
        <v>0</v>
      </c>
      <c r="V29" s="626">
        <v>0</v>
      </c>
      <c r="W29" s="626">
        <v>0</v>
      </c>
      <c r="X29" s="626">
        <v>10</v>
      </c>
      <c r="Y29" s="626" t="s">
        <v>111</v>
      </c>
      <c r="Z29" s="628" t="s">
        <v>111</v>
      </c>
    </row>
    <row r="30" spans="1:26" s="580" customFormat="1" ht="25.5">
      <c r="A30" s="579"/>
      <c r="B30" s="770">
        <v>37020</v>
      </c>
      <c r="C30" s="770">
        <v>8850</v>
      </c>
      <c r="D30" s="627" t="s">
        <v>897</v>
      </c>
      <c r="E30" s="626" t="s">
        <v>898</v>
      </c>
      <c r="F30" s="626" t="s">
        <v>899</v>
      </c>
      <c r="G30" s="626" t="s">
        <v>890</v>
      </c>
      <c r="H30" s="626" t="s">
        <v>891</v>
      </c>
      <c r="I30" s="626" t="s">
        <v>900</v>
      </c>
      <c r="J30" s="769">
        <v>40909</v>
      </c>
      <c r="K30" s="769">
        <v>40953</v>
      </c>
      <c r="L30" s="626" t="s">
        <v>893</v>
      </c>
      <c r="M30" s="626">
        <v>2000</v>
      </c>
      <c r="N30" s="626">
        <v>9000</v>
      </c>
      <c r="O30" s="626">
        <v>12857.142857142857</v>
      </c>
      <c r="P30" s="626">
        <v>25714.285714285717</v>
      </c>
      <c r="Q30" s="626">
        <v>0</v>
      </c>
      <c r="R30" s="626">
        <v>0</v>
      </c>
      <c r="S30" s="626">
        <v>0</v>
      </c>
      <c r="T30" s="626">
        <v>0</v>
      </c>
      <c r="U30" s="626">
        <v>0</v>
      </c>
      <c r="V30" s="626">
        <v>0</v>
      </c>
      <c r="W30" s="626">
        <v>0</v>
      </c>
      <c r="X30" s="626">
        <v>10</v>
      </c>
      <c r="Y30" s="626" t="s">
        <v>111</v>
      </c>
      <c r="Z30" s="628" t="s">
        <v>111</v>
      </c>
    </row>
    <row r="31" spans="1:26" s="580" customFormat="1" ht="25.5">
      <c r="A31" s="579"/>
      <c r="B31" s="770">
        <v>37020</v>
      </c>
      <c r="C31" s="770">
        <v>8850</v>
      </c>
      <c r="D31" s="627" t="s">
        <v>901</v>
      </c>
      <c r="E31" s="626" t="s">
        <v>902</v>
      </c>
      <c r="F31" s="626" t="s">
        <v>903</v>
      </c>
      <c r="G31" s="626" t="s">
        <v>890</v>
      </c>
      <c r="H31" s="626" t="s">
        <v>891</v>
      </c>
      <c r="I31" s="626" t="s">
        <v>904</v>
      </c>
      <c r="J31" s="769">
        <v>41183</v>
      </c>
      <c r="K31" s="769">
        <v>41183</v>
      </c>
      <c r="L31" s="626" t="s">
        <v>893</v>
      </c>
      <c r="M31" s="626">
        <v>1486</v>
      </c>
      <c r="N31" s="626">
        <v>6687</v>
      </c>
      <c r="O31" s="626">
        <v>9552.8571428571431</v>
      </c>
      <c r="P31" s="626">
        <v>0</v>
      </c>
      <c r="Q31" s="626">
        <v>19105.714285714286</v>
      </c>
      <c r="R31" s="626">
        <v>0</v>
      </c>
      <c r="S31" s="626">
        <v>0</v>
      </c>
      <c r="T31" s="626">
        <v>0</v>
      </c>
      <c r="U31" s="626">
        <v>0</v>
      </c>
      <c r="V31" s="626">
        <v>0</v>
      </c>
      <c r="W31" s="626">
        <v>0</v>
      </c>
      <c r="X31" s="626">
        <v>10</v>
      </c>
      <c r="Y31" s="626" t="s">
        <v>111</v>
      </c>
      <c r="Z31" s="628" t="s">
        <v>111</v>
      </c>
    </row>
    <row r="32" spans="1:26" s="580" customFormat="1" ht="25.5">
      <c r="A32" s="579"/>
      <c r="B32" s="770">
        <v>37020</v>
      </c>
      <c r="C32" s="770">
        <v>8850</v>
      </c>
      <c r="D32" s="627"/>
      <c r="E32" s="626"/>
      <c r="F32" s="626" t="s">
        <v>905</v>
      </c>
      <c r="G32" s="626" t="s">
        <v>890</v>
      </c>
      <c r="H32" s="626" t="s">
        <v>891</v>
      </c>
      <c r="I32" s="626" t="s">
        <v>900</v>
      </c>
      <c r="J32" s="769">
        <v>42031</v>
      </c>
      <c r="K32" s="769">
        <v>42031</v>
      </c>
      <c r="L32" s="626" t="s">
        <v>893</v>
      </c>
      <c r="M32" s="626">
        <v>2000</v>
      </c>
      <c r="N32" s="626">
        <v>9000</v>
      </c>
      <c r="O32" s="626">
        <v>12857.142857142857</v>
      </c>
      <c r="P32" s="626">
        <v>25714.285714285717</v>
      </c>
      <c r="Q32" s="626">
        <v>0</v>
      </c>
      <c r="R32" s="626">
        <v>0</v>
      </c>
      <c r="S32" s="626">
        <v>0</v>
      </c>
      <c r="T32" s="626">
        <v>0</v>
      </c>
      <c r="U32" s="626">
        <v>0</v>
      </c>
      <c r="V32" s="626">
        <v>0</v>
      </c>
      <c r="W32" s="626">
        <v>0</v>
      </c>
      <c r="X32" s="626">
        <v>10</v>
      </c>
      <c r="Y32" s="626" t="s">
        <v>111</v>
      </c>
      <c r="Z32" s="628" t="s">
        <v>111</v>
      </c>
    </row>
    <row r="33" spans="1:27" s="580" customFormat="1" ht="38.25">
      <c r="A33" s="579"/>
      <c r="B33" s="770">
        <v>37020</v>
      </c>
      <c r="C33" s="770">
        <v>8850</v>
      </c>
      <c r="D33" s="627" t="s">
        <v>906</v>
      </c>
      <c r="E33" s="626"/>
      <c r="F33" s="626" t="s">
        <v>907</v>
      </c>
      <c r="G33" s="626" t="s">
        <v>908</v>
      </c>
      <c r="H33" s="626" t="s">
        <v>891</v>
      </c>
      <c r="I33" s="626" t="s">
        <v>909</v>
      </c>
      <c r="J33" s="769">
        <v>42677</v>
      </c>
      <c r="K33" s="769">
        <v>42677</v>
      </c>
      <c r="L33" s="626" t="s">
        <v>910</v>
      </c>
      <c r="M33" s="626">
        <v>1500</v>
      </c>
      <c r="N33" s="626">
        <v>562.5</v>
      </c>
      <c r="O33" s="626">
        <v>803.57142857142856</v>
      </c>
      <c r="P33" s="626">
        <v>0</v>
      </c>
      <c r="Q33" s="626">
        <v>1607.1428571428573</v>
      </c>
      <c r="R33" s="626">
        <v>0</v>
      </c>
      <c r="S33" s="626">
        <v>0</v>
      </c>
      <c r="T33" s="626">
        <v>0</v>
      </c>
      <c r="U33" s="626">
        <v>0</v>
      </c>
      <c r="V33" s="626">
        <v>0</v>
      </c>
      <c r="W33" s="626">
        <v>0</v>
      </c>
      <c r="X33" s="626">
        <v>500</v>
      </c>
      <c r="Y33" s="626" t="s">
        <v>40</v>
      </c>
      <c r="Z33" s="628" t="s">
        <v>388</v>
      </c>
    </row>
    <row r="34" spans="1:27" s="564" customFormat="1">
      <c r="A34" s="582" t="s">
        <v>279</v>
      </c>
      <c r="B34" s="583"/>
      <c r="C34" s="583"/>
      <c r="D34" s="583"/>
      <c r="E34" s="583"/>
      <c r="F34" s="583"/>
      <c r="G34" s="583"/>
      <c r="H34" s="583"/>
      <c r="I34" s="583"/>
      <c r="J34" s="583"/>
      <c r="K34" s="583"/>
      <c r="L34" s="584"/>
      <c r="M34" s="584">
        <f>SUM(M28:M33)</f>
        <v>9202</v>
      </c>
      <c r="N34" s="584">
        <f>SUM(N28:N33)</f>
        <v>35221.5</v>
      </c>
      <c r="O34" s="584">
        <f>SUM(O28:O33)</f>
        <v>50316.428571428572</v>
      </c>
      <c r="P34" s="584">
        <f>SUM(P28:P33)</f>
        <v>77113.92857142858</v>
      </c>
      <c r="Q34" s="584">
        <f>SUM(Q28:Q33)</f>
        <v>23518.928571428572</v>
      </c>
      <c r="R34" s="584">
        <f>SUM(R28:R33)</f>
        <v>0</v>
      </c>
      <c r="S34" s="584">
        <f>SUM(S28:S33)</f>
        <v>0</v>
      </c>
      <c r="T34" s="584">
        <f>SUM(T28:T33)</f>
        <v>0</v>
      </c>
      <c r="U34" s="584">
        <f>SUM(U28:U33)</f>
        <v>0</v>
      </c>
      <c r="V34" s="584">
        <f>SUM(V28:V33)</f>
        <v>0</v>
      </c>
      <c r="W34" s="584">
        <f>SUM(W28:W33)</f>
        <v>0</v>
      </c>
      <c r="X34" s="585"/>
      <c r="Y34" s="585"/>
      <c r="Z34" s="586"/>
    </row>
    <row r="35" spans="1:27" s="564" customFormat="1">
      <c r="A35" s="582" t="s">
        <v>286</v>
      </c>
      <c r="B35" s="583"/>
      <c r="C35" s="583"/>
      <c r="D35" s="583"/>
      <c r="E35" s="583"/>
      <c r="F35" s="583"/>
      <c r="G35" s="583"/>
      <c r="H35" s="583"/>
      <c r="I35" s="583"/>
      <c r="J35" s="583"/>
      <c r="K35" s="583"/>
      <c r="L35" s="584"/>
      <c r="M35" s="584">
        <f>SUMIF($Z$28:$Z$33,"industrie",M28:M33)</f>
        <v>1791</v>
      </c>
      <c r="N35" s="584">
        <f>SUMIF($Z$28:$Z$33,"industrie",N28:N33)</f>
        <v>1872</v>
      </c>
      <c r="O35" s="584">
        <f>SUMIF($Z$28:$Z$33,"industrie",O28:O33)</f>
        <v>2674.2857142857142</v>
      </c>
      <c r="P35" s="584">
        <f>SUMIF($Z$28:$Z$33,"industrie",P28:P33)</f>
        <v>935.35714285714289</v>
      </c>
      <c r="Q35" s="584">
        <f>SUMIF($Z$28:$Z$33,"industrie",Q28:Q33)</f>
        <v>4413.2142857142862</v>
      </c>
      <c r="R35" s="584">
        <f>SUMIF($Z$28:$Z$33,"industrie",R28:R33)</f>
        <v>0</v>
      </c>
      <c r="S35" s="584">
        <f>SUMIF($Z$28:$Z$33,"industrie",S28:S33)</f>
        <v>0</v>
      </c>
      <c r="T35" s="584">
        <f>SUMIF($Z$28:$Z$33,"industrie",T28:T33)</f>
        <v>0</v>
      </c>
      <c r="U35" s="584">
        <f>SUMIF($Z$28:$Z$33,"industrie",U28:U33)</f>
        <v>0</v>
      </c>
      <c r="V35" s="584">
        <f>SUMIF($Z$28:$Z$33,"industrie",V28:V33)</f>
        <v>0</v>
      </c>
      <c r="W35" s="584">
        <f>SUMIF($Z$28:$Z$33,"industrie",W28:W33)</f>
        <v>0</v>
      </c>
      <c r="X35" s="585"/>
      <c r="Y35" s="585"/>
      <c r="Z35" s="586"/>
    </row>
    <row r="36" spans="1:27" s="564" customFormat="1">
      <c r="A36" s="582" t="s">
        <v>287</v>
      </c>
      <c r="B36" s="583"/>
      <c r="C36" s="583"/>
      <c r="D36" s="583"/>
      <c r="E36" s="583"/>
      <c r="F36" s="583"/>
      <c r="G36" s="583"/>
      <c r="H36" s="583"/>
      <c r="I36" s="583"/>
      <c r="J36" s="583"/>
      <c r="K36" s="583"/>
      <c r="L36" s="584"/>
      <c r="M36" s="584">
        <f ca="1">SUMIF($Z$28:AC33,"tertiair",M28:M33)</f>
        <v>0</v>
      </c>
      <c r="N36" s="584">
        <f ca="1">SUMIF($Z$28:AD33,"tertiair",N28:N33)</f>
        <v>0</v>
      </c>
      <c r="O36" s="584">
        <f ca="1">SUMIF($Z$28:AE33,"tertiair",O28:O33)</f>
        <v>0</v>
      </c>
      <c r="P36" s="584">
        <f ca="1">SUMIF($Z$28:AF33,"tertiair",P28:P33)</f>
        <v>0</v>
      </c>
      <c r="Q36" s="584">
        <f ca="1">SUMIF($Z$28:AG33,"tertiair",Q28:Q33)</f>
        <v>0</v>
      </c>
      <c r="R36" s="584">
        <f ca="1">SUMIF($Z$28:AH33,"tertiair",R28:R33)</f>
        <v>0</v>
      </c>
      <c r="S36" s="584">
        <f ca="1">SUMIF($Z$28:AI33,"tertiair",S28:S33)</f>
        <v>0</v>
      </c>
      <c r="T36" s="584">
        <f ca="1">SUMIF($Z$28:AJ33,"tertiair",T28:T33)</f>
        <v>0</v>
      </c>
      <c r="U36" s="584">
        <f ca="1">SUMIF($Z$28:AK33,"tertiair",U28:U33)</f>
        <v>0</v>
      </c>
      <c r="V36" s="584">
        <f ca="1">SUMIF($Z$28:AL33,"tertiair",V28:V33)</f>
        <v>0</v>
      </c>
      <c r="W36" s="584">
        <f ca="1">SUMIF($Z$28:AM33,"tertiair",W28:W33)</f>
        <v>0</v>
      </c>
      <c r="X36" s="585"/>
      <c r="Y36" s="585"/>
      <c r="Z36" s="586"/>
    </row>
    <row r="37" spans="1:27" s="564" customFormat="1" ht="15.75" thickBot="1">
      <c r="A37" s="587" t="s">
        <v>288</v>
      </c>
      <c r="B37" s="588"/>
      <c r="C37" s="588"/>
      <c r="D37" s="588"/>
      <c r="E37" s="588"/>
      <c r="F37" s="588"/>
      <c r="G37" s="588"/>
      <c r="H37" s="588"/>
      <c r="I37" s="588"/>
      <c r="J37" s="588"/>
      <c r="K37" s="588"/>
      <c r="L37" s="589"/>
      <c r="M37" s="589">
        <f>SUMIF($Z$28:$Z$33,"landbouw",M28:M33)</f>
        <v>7411</v>
      </c>
      <c r="N37" s="589">
        <f>SUMIF($Z$28:$Z$33,"landbouw",N28:N33)</f>
        <v>33349.5</v>
      </c>
      <c r="O37" s="589">
        <f>SUMIF($Z$28:$Z$33,"landbouw",O28:O33)</f>
        <v>47642.142857142855</v>
      </c>
      <c r="P37" s="589">
        <f>SUMIF($Z$28:$Z$33,"landbouw",P28:P33)</f>
        <v>76178.571428571435</v>
      </c>
      <c r="Q37" s="589">
        <f>SUMIF($Z$28:$Z$33,"landbouw",Q28:Q33)</f>
        <v>19105.714285714286</v>
      </c>
      <c r="R37" s="589">
        <f>SUMIF($Z$28:$Z$33,"landbouw",R28:R33)</f>
        <v>0</v>
      </c>
      <c r="S37" s="589">
        <f>SUMIF($Z$28:$Z$33,"landbouw",S28:S33)</f>
        <v>0</v>
      </c>
      <c r="T37" s="589">
        <f>SUMIF($Z$28:$Z$33,"landbouw",T28:T33)</f>
        <v>0</v>
      </c>
      <c r="U37" s="589">
        <f>SUMIF($Z$28:$Z$33,"landbouw",U28:U33)</f>
        <v>0</v>
      </c>
      <c r="V37" s="589">
        <f>SUMIF($Z$28:$Z$33,"landbouw",V28:V33)</f>
        <v>0</v>
      </c>
      <c r="W37" s="589">
        <f>SUMIF($Z$28:$Z$33,"landbouw",W28:W33)</f>
        <v>0</v>
      </c>
      <c r="X37" s="590"/>
      <c r="Y37" s="590"/>
      <c r="Z37" s="591"/>
    </row>
    <row r="38" spans="1:27" s="533" customFormat="1" ht="15.75" thickBot="1">
      <c r="A38" s="592"/>
      <c r="B38" s="593"/>
      <c r="C38" s="593"/>
      <c r="D38" s="593"/>
      <c r="E38" s="593"/>
      <c r="F38" s="593"/>
      <c r="G38" s="593"/>
      <c r="H38" s="593"/>
      <c r="I38" s="593"/>
      <c r="J38" s="593"/>
      <c r="K38" s="593"/>
      <c r="L38" s="576"/>
      <c r="M38" s="576"/>
      <c r="N38" s="576"/>
      <c r="O38" s="577"/>
      <c r="P38" s="577"/>
    </row>
    <row r="39" spans="1:27" s="533" customFormat="1" ht="45">
      <c r="A39" s="594" t="s">
        <v>280</v>
      </c>
      <c r="B39" s="623" t="s">
        <v>89</v>
      </c>
      <c r="C39" s="623" t="s">
        <v>90</v>
      </c>
      <c r="D39" s="623" t="s">
        <v>91</v>
      </c>
      <c r="E39" s="623" t="s">
        <v>92</v>
      </c>
      <c r="F39" s="623" t="s">
        <v>93</v>
      </c>
      <c r="G39" s="623" t="s">
        <v>94</v>
      </c>
      <c r="H39" s="623" t="s">
        <v>95</v>
      </c>
      <c r="I39" s="623" t="s">
        <v>96</v>
      </c>
      <c r="J39" s="623" t="s">
        <v>97</v>
      </c>
      <c r="K39" s="623" t="s">
        <v>98</v>
      </c>
      <c r="L39" s="623" t="s">
        <v>99</v>
      </c>
      <c r="M39" s="624" t="s">
        <v>297</v>
      </c>
      <c r="N39" s="624" t="s">
        <v>100</v>
      </c>
      <c r="O39" s="624" t="s">
        <v>101</v>
      </c>
      <c r="P39" s="624" t="s">
        <v>533</v>
      </c>
      <c r="Q39" s="624" t="s">
        <v>102</v>
      </c>
      <c r="R39" s="624" t="s">
        <v>103</v>
      </c>
      <c r="S39" s="624" t="s">
        <v>104</v>
      </c>
      <c r="T39" s="624" t="s">
        <v>105</v>
      </c>
      <c r="U39" s="624" t="s">
        <v>106</v>
      </c>
      <c r="V39" s="624" t="s">
        <v>107</v>
      </c>
      <c r="W39" s="623" t="s">
        <v>108</v>
      </c>
      <c r="X39" s="623" t="s">
        <v>298</v>
      </c>
      <c r="Y39" s="623" t="s">
        <v>109</v>
      </c>
      <c r="Z39" s="625" t="s">
        <v>299</v>
      </c>
    </row>
    <row r="40" spans="1:27" s="595" customFormat="1" ht="12.75">
      <c r="A40" s="581"/>
      <c r="B40" s="770"/>
      <c r="C40" s="770"/>
      <c r="D40" s="629"/>
      <c r="E40" s="629"/>
      <c r="F40" s="629"/>
      <c r="G40" s="629"/>
      <c r="H40" s="629"/>
      <c r="I40" s="629"/>
      <c r="J40" s="769"/>
      <c r="K40" s="769"/>
      <c r="L40" s="629"/>
      <c r="M40" s="629"/>
      <c r="N40" s="629"/>
      <c r="O40" s="629"/>
      <c r="P40" s="629"/>
      <c r="Q40" s="629"/>
      <c r="R40" s="629"/>
      <c r="S40" s="629"/>
      <c r="T40" s="629"/>
      <c r="U40" s="629"/>
      <c r="V40" s="629"/>
      <c r="W40" s="629"/>
      <c r="X40" s="629"/>
      <c r="Y40" s="629"/>
      <c r="Z40" s="630"/>
    </row>
    <row r="41" spans="1:27" s="564" customFormat="1">
      <c r="A41" s="582" t="s">
        <v>279</v>
      </c>
      <c r="B41" s="583"/>
      <c r="C41" s="583"/>
      <c r="D41" s="583"/>
      <c r="E41" s="583"/>
      <c r="F41" s="583"/>
      <c r="G41" s="583"/>
      <c r="H41" s="583"/>
      <c r="I41" s="583"/>
      <c r="J41" s="583"/>
      <c r="K41" s="583"/>
      <c r="L41" s="584"/>
      <c r="M41" s="584">
        <f>SUM(M40:M40)</f>
        <v>0</v>
      </c>
      <c r="N41" s="584">
        <f>SUM(N40:N40)</f>
        <v>0</v>
      </c>
      <c r="O41" s="584">
        <f>SUM(O40:O40)</f>
        <v>0</v>
      </c>
      <c r="P41" s="584">
        <f>SUM(P40:P40)</f>
        <v>0</v>
      </c>
      <c r="Q41" s="584">
        <f>SUM(Q40:Q40)</f>
        <v>0</v>
      </c>
      <c r="R41" s="584">
        <f>SUM(R40:R40)</f>
        <v>0</v>
      </c>
      <c r="S41" s="584">
        <f>SUM(S40:S40)</f>
        <v>0</v>
      </c>
      <c r="T41" s="584">
        <f>SUM(T40:T40)</f>
        <v>0</v>
      </c>
      <c r="U41" s="584">
        <f>SUM(U40:U40)</f>
        <v>0</v>
      </c>
      <c r="V41" s="584">
        <f>SUM(V40:V40)</f>
        <v>0</v>
      </c>
      <c r="W41" s="584">
        <f>SUM(W40:W40)</f>
        <v>0</v>
      </c>
      <c r="X41" s="585"/>
      <c r="Y41" s="585"/>
      <c r="Z41" s="586"/>
    </row>
    <row r="42" spans="1:27" s="564" customFormat="1">
      <c r="A42" s="582" t="s">
        <v>286</v>
      </c>
      <c r="B42" s="583"/>
      <c r="C42" s="583"/>
      <c r="D42" s="583"/>
      <c r="E42" s="583"/>
      <c r="F42" s="583"/>
      <c r="G42" s="583"/>
      <c r="H42" s="583"/>
      <c r="I42" s="583"/>
      <c r="J42" s="583"/>
      <c r="K42" s="583"/>
      <c r="L42" s="584"/>
      <c r="M42" s="584">
        <f>SUMIF($Z$40:$Z$40,"industrie",M40:M40)</f>
        <v>0</v>
      </c>
      <c r="N42" s="584">
        <f>SUMIF($Z$40:$Z$40,"industrie",N40:N40)</f>
        <v>0</v>
      </c>
      <c r="O42" s="584">
        <f>SUMIF($Z$40:$Z$40,"industrie",O40:O40)</f>
        <v>0</v>
      </c>
      <c r="P42" s="584">
        <f>SUMIF($Z$40:$Z$40,"industrie",P40:P40)</f>
        <v>0</v>
      </c>
      <c r="Q42" s="584">
        <f>SUMIF($Z$40:$Z$40,"industrie",Q40:Q40)</f>
        <v>0</v>
      </c>
      <c r="R42" s="584">
        <f>SUMIF($Z$40:$Z$40,"industrie",R40:R40)</f>
        <v>0</v>
      </c>
      <c r="S42" s="584">
        <f>SUMIF($Z$40:$Z$40,"industrie",S40:S40)</f>
        <v>0</v>
      </c>
      <c r="T42" s="584">
        <f>SUMIF($Z$40:$Z$40,"industrie",T40:T40)</f>
        <v>0</v>
      </c>
      <c r="U42" s="584">
        <f>SUMIF($Z$40:$Z$40,"industrie",U40:U40)</f>
        <v>0</v>
      </c>
      <c r="V42" s="584">
        <f>SUMIF($Z$40:$Z$40,"industrie",V40:V40)</f>
        <v>0</v>
      </c>
      <c r="W42" s="584">
        <f>SUMIF($Z$40:$Z$40,"industrie",W40:W40)</f>
        <v>0</v>
      </c>
      <c r="X42" s="585"/>
      <c r="Y42" s="585"/>
      <c r="Z42" s="586"/>
    </row>
    <row r="43" spans="1:27" s="564" customFormat="1">
      <c r="A43" s="582" t="s">
        <v>287</v>
      </c>
      <c r="B43" s="583"/>
      <c r="C43" s="583"/>
      <c r="D43" s="583"/>
      <c r="E43" s="583"/>
      <c r="F43" s="583"/>
      <c r="G43" s="583"/>
      <c r="H43" s="583"/>
      <c r="I43" s="583"/>
      <c r="J43" s="583"/>
      <c r="K43" s="583"/>
      <c r="L43" s="584"/>
      <c r="M43" s="584">
        <f>SUMIF($Z$40:$Z$41,"tertiair",M40:M41)</f>
        <v>0</v>
      </c>
      <c r="N43" s="584">
        <f>SUMIF($Z$40:$Z$41,"tertiair",N40:N41)</f>
        <v>0</v>
      </c>
      <c r="O43" s="584">
        <f>SUMIF($Z$40:$Z$41,"tertiair",O40:O41)</f>
        <v>0</v>
      </c>
      <c r="P43" s="584">
        <f>SUMIF($Z$40:$Z$41,"tertiair",P40:P41)</f>
        <v>0</v>
      </c>
      <c r="Q43" s="584">
        <f>SUMIF($Z$40:$Z$41,"tertiair",Q40:Q41)</f>
        <v>0</v>
      </c>
      <c r="R43" s="584">
        <f>SUMIF($Z$40:$Z$41,"tertiair",R40:R41)</f>
        <v>0</v>
      </c>
      <c r="S43" s="584">
        <f>SUMIF($Z$40:$Z$41,"tertiair",S40:S41)</f>
        <v>0</v>
      </c>
      <c r="T43" s="584">
        <f>SUMIF($Z$40:$Z$41,"tertiair",T40:T41)</f>
        <v>0</v>
      </c>
      <c r="U43" s="584">
        <f>SUMIF($Z$40:$Z$41,"tertiair",U40:U41)</f>
        <v>0</v>
      </c>
      <c r="V43" s="584">
        <f>SUMIF($Z$40:$Z$41,"tertiair",V40:V41)</f>
        <v>0</v>
      </c>
      <c r="W43" s="584">
        <f>SUMIF($Z$40:$Z$41,"tertiair",W40:W41)</f>
        <v>0</v>
      </c>
      <c r="X43" s="585"/>
      <c r="Y43" s="585"/>
      <c r="Z43" s="586"/>
    </row>
    <row r="44" spans="1:27" s="564" customFormat="1" ht="15.75" thickBot="1">
      <c r="A44" s="587" t="s">
        <v>288</v>
      </c>
      <c r="B44" s="588"/>
      <c r="C44" s="588"/>
      <c r="D44" s="588"/>
      <c r="E44" s="588"/>
      <c r="F44" s="588"/>
      <c r="G44" s="588"/>
      <c r="H44" s="588"/>
      <c r="I44" s="588"/>
      <c r="J44" s="588"/>
      <c r="K44" s="588"/>
      <c r="L44" s="589"/>
      <c r="M44" s="589">
        <f>SUMIF($Z$40:$Z$42,"landbouw",M40:M42)</f>
        <v>0</v>
      </c>
      <c r="N44" s="589">
        <f>SUMIF($Z$40:$Z$42,"landbouw",N40:N42)</f>
        <v>0</v>
      </c>
      <c r="O44" s="589">
        <f>SUMIF($Z$40:$Z$42,"landbouw",O40:O42)</f>
        <v>0</v>
      </c>
      <c r="P44" s="589">
        <f>SUMIF($Z$40:$Z$42,"landbouw",P40:P42)</f>
        <v>0</v>
      </c>
      <c r="Q44" s="589">
        <f>SUMIF($Z$40:$Z$42,"landbouw",Q40:Q42)</f>
        <v>0</v>
      </c>
      <c r="R44" s="589">
        <f>SUMIF($Z$40:$Z$42,"landbouw",R40:R42)</f>
        <v>0</v>
      </c>
      <c r="S44" s="589">
        <f>SUMIF($Z$40:$Z$42,"landbouw",S40:S42)</f>
        <v>0</v>
      </c>
      <c r="T44" s="589">
        <f>SUMIF($Z$40:$Z$42,"landbouw",T40:T42)</f>
        <v>0</v>
      </c>
      <c r="U44" s="589">
        <f>SUMIF($Z$40:$Z$42,"landbouw",U40:U42)</f>
        <v>0</v>
      </c>
      <c r="V44" s="589">
        <f>SUMIF($Z$40:$Z$42,"landbouw",V40:V42)</f>
        <v>0</v>
      </c>
      <c r="W44" s="589">
        <f>SUMIF($Z$40:$Z$42,"landbouw",W40:W42)</f>
        <v>0</v>
      </c>
      <c r="X44" s="590"/>
      <c r="Y44" s="590"/>
      <c r="Z44" s="591"/>
    </row>
    <row r="45" spans="1:27" s="596" customForma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row>
    <row r="46" spans="1:27" s="596" customFormat="1" ht="15.75" thickBot="1">
      <c r="A46" s="592"/>
      <c r="B46" s="576"/>
      <c r="C46" s="576"/>
      <c r="D46" s="576"/>
      <c r="E46" s="576"/>
      <c r="F46" s="576"/>
      <c r="G46" s="576"/>
      <c r="H46" s="576"/>
      <c r="I46" s="576"/>
      <c r="J46" s="576"/>
      <c r="K46" s="576"/>
      <c r="L46" s="576"/>
      <c r="M46" s="576"/>
      <c r="N46" s="576"/>
      <c r="O46" s="576"/>
      <c r="P46" s="576"/>
      <c r="Q46" s="576"/>
      <c r="R46" s="576"/>
      <c r="S46" s="576"/>
      <c r="T46" s="576"/>
      <c r="U46" s="576"/>
      <c r="V46" s="576"/>
      <c r="W46" s="576"/>
      <c r="X46" s="576"/>
      <c r="Y46" s="576"/>
      <c r="Z46" s="576"/>
      <c r="AA46" s="576"/>
    </row>
    <row r="47" spans="1:27">
      <c r="A47" s="597" t="s">
        <v>281</v>
      </c>
      <c r="B47" s="598"/>
      <c r="C47" s="598"/>
      <c r="D47" s="598"/>
      <c r="E47" s="598"/>
      <c r="F47" s="598"/>
      <c r="G47" s="598"/>
      <c r="H47" s="598"/>
      <c r="I47" s="599"/>
      <c r="J47" s="600"/>
      <c r="K47" s="600"/>
      <c r="L47" s="601"/>
      <c r="M47" s="601"/>
      <c r="N47" s="601"/>
      <c r="O47" s="601"/>
      <c r="P47" s="601"/>
    </row>
    <row r="48" spans="1:27">
      <c r="A48" s="603"/>
      <c r="B48" s="593"/>
      <c r="C48" s="593"/>
      <c r="D48" s="593"/>
      <c r="E48" s="593"/>
      <c r="F48" s="593"/>
      <c r="G48" s="593"/>
      <c r="H48" s="593"/>
      <c r="I48" s="604"/>
      <c r="J48" s="593"/>
      <c r="K48" s="593"/>
      <c r="L48" s="601"/>
      <c r="M48" s="601"/>
      <c r="N48" s="601"/>
      <c r="O48" s="601"/>
      <c r="P48" s="601"/>
    </row>
    <row r="49" spans="1:16">
      <c r="A49" s="605"/>
      <c r="B49" s="606" t="s">
        <v>282</v>
      </c>
      <c r="C49" s="606" t="s">
        <v>283</v>
      </c>
      <c r="D49" s="606"/>
      <c r="E49" s="606"/>
      <c r="F49" s="606"/>
      <c r="G49" s="606"/>
      <c r="H49" s="606"/>
      <c r="I49" s="607"/>
      <c r="J49" s="606"/>
      <c r="K49" s="606"/>
      <c r="L49" s="606"/>
      <c r="M49" s="606"/>
      <c r="N49" s="606"/>
      <c r="O49" s="606"/>
      <c r="P49" s="601"/>
    </row>
    <row r="50" spans="1:16">
      <c r="A50" s="603" t="s">
        <v>279</v>
      </c>
      <c r="B50" s="608">
        <f>IF(ISERROR(O34/(O34+N34)),0,O34/(O34+N34))</f>
        <v>0.58823529411764697</v>
      </c>
      <c r="C50" s="609">
        <f>IF(ISERROR(N34/(O34+N34)),0,N34/(N34+O34))</f>
        <v>0.41176470588235292</v>
      </c>
      <c r="D50" s="576"/>
      <c r="E50" s="576"/>
      <c r="F50" s="576"/>
      <c r="G50" s="576"/>
      <c r="H50" s="576"/>
      <c r="I50" s="610"/>
      <c r="J50" s="576"/>
      <c r="K50" s="576"/>
      <c r="L50" s="611"/>
      <c r="M50" s="611"/>
      <c r="N50" s="611"/>
      <c r="O50" s="611"/>
      <c r="P50" s="601"/>
    </row>
    <row r="51" spans="1:16">
      <c r="A51" s="603"/>
      <c r="B51" s="612"/>
      <c r="C51" s="612"/>
      <c r="D51" s="612"/>
      <c r="E51" s="612"/>
      <c r="F51" s="612"/>
      <c r="G51" s="612"/>
      <c r="H51" s="612"/>
      <c r="I51" s="613"/>
      <c r="J51" s="612"/>
      <c r="K51" s="612"/>
      <c r="L51" s="614"/>
      <c r="M51" s="614"/>
      <c r="N51" s="614"/>
      <c r="O51" s="614"/>
      <c r="P51" s="601"/>
    </row>
    <row r="52" spans="1:16" ht="30">
      <c r="A52" s="615"/>
      <c r="B52" s="616" t="s">
        <v>533</v>
      </c>
      <c r="C52" s="616" t="s">
        <v>102</v>
      </c>
      <c r="D52" s="616" t="s">
        <v>103</v>
      </c>
      <c r="E52" s="616" t="s">
        <v>104</v>
      </c>
      <c r="F52" s="616" t="s">
        <v>105</v>
      </c>
      <c r="G52" s="616" t="s">
        <v>106</v>
      </c>
      <c r="H52" s="616" t="s">
        <v>107</v>
      </c>
      <c r="I52" s="617" t="s">
        <v>108</v>
      </c>
      <c r="J52" s="606"/>
      <c r="K52" s="606"/>
      <c r="L52" s="614"/>
      <c r="M52" s="614"/>
      <c r="N52" s="614"/>
      <c r="O52" s="601"/>
      <c r="P52" s="601"/>
    </row>
    <row r="53" spans="1:16">
      <c r="A53" s="605" t="s">
        <v>284</v>
      </c>
      <c r="B53" s="618">
        <f t="shared" ref="B53:I53" si="2">$C$50*P34</f>
        <v>31752.794117647059</v>
      </c>
      <c r="C53" s="618">
        <f t="shared" si="2"/>
        <v>9684.2647058823532</v>
      </c>
      <c r="D53" s="618">
        <f t="shared" si="2"/>
        <v>0</v>
      </c>
      <c r="E53" s="618">
        <f t="shared" si="2"/>
        <v>0</v>
      </c>
      <c r="F53" s="618">
        <f t="shared" si="2"/>
        <v>0</v>
      </c>
      <c r="G53" s="618">
        <f t="shared" si="2"/>
        <v>0</v>
      </c>
      <c r="H53" s="618">
        <f t="shared" si="2"/>
        <v>0</v>
      </c>
      <c r="I53" s="619">
        <f t="shared" si="2"/>
        <v>0</v>
      </c>
      <c r="J53" s="576"/>
      <c r="K53" s="576"/>
      <c r="L53" s="614"/>
      <c r="M53" s="614"/>
      <c r="N53" s="614"/>
      <c r="O53" s="601"/>
      <c r="P53" s="601"/>
    </row>
    <row r="54" spans="1:16" ht="15.75" thickBot="1">
      <c r="A54" s="620" t="s">
        <v>285</v>
      </c>
      <c r="B54" s="621">
        <f t="shared" ref="B54:I54" si="3">$B$50*P34</f>
        <v>45361.134453781509</v>
      </c>
      <c r="C54" s="621">
        <f t="shared" si="3"/>
        <v>13834.663865546217</v>
      </c>
      <c r="D54" s="621">
        <f t="shared" si="3"/>
        <v>0</v>
      </c>
      <c r="E54" s="621">
        <f t="shared" si="3"/>
        <v>0</v>
      </c>
      <c r="F54" s="621">
        <f t="shared" si="3"/>
        <v>0</v>
      </c>
      <c r="G54" s="621">
        <f t="shared" si="3"/>
        <v>0</v>
      </c>
      <c r="H54" s="621">
        <f t="shared" si="3"/>
        <v>0</v>
      </c>
      <c r="I54" s="622">
        <f t="shared" si="3"/>
        <v>0</v>
      </c>
      <c r="J54" s="576"/>
      <c r="K54" s="576"/>
      <c r="L54" s="614"/>
      <c r="M54" s="614"/>
      <c r="N54" s="614"/>
      <c r="O54" s="601"/>
      <c r="P54" s="601"/>
    </row>
    <row r="55" spans="1:16">
      <c r="J55" s="562"/>
      <c r="K55" s="562"/>
      <c r="L55" s="562"/>
      <c r="M55" s="562"/>
      <c r="N55" s="562"/>
    </row>
    <row r="56" spans="1:16">
      <c r="J56" s="562"/>
      <c r="K56" s="562"/>
      <c r="L56" s="562"/>
      <c r="M56" s="562"/>
      <c r="N56"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15320.137533938083</v>
      </c>
      <c r="C4" s="451">
        <f>huishoudens!C8</f>
        <v>0</v>
      </c>
      <c r="D4" s="451">
        <f>huishoudens!D8</f>
        <v>30662.002173467466</v>
      </c>
      <c r="E4" s="451">
        <f>huishoudens!E8</f>
        <v>15516.162640288827</v>
      </c>
      <c r="F4" s="451">
        <f>huishoudens!F8</f>
        <v>14343.013882882682</v>
      </c>
      <c r="G4" s="451">
        <f>huishoudens!G8</f>
        <v>0</v>
      </c>
      <c r="H4" s="451">
        <f>huishoudens!H8</f>
        <v>0</v>
      </c>
      <c r="I4" s="451">
        <f>huishoudens!I8</f>
        <v>0</v>
      </c>
      <c r="J4" s="451">
        <f>huishoudens!J8</f>
        <v>899.24796044675452</v>
      </c>
      <c r="K4" s="451">
        <f>huishoudens!K8</f>
        <v>0</v>
      </c>
      <c r="L4" s="451">
        <f>huishoudens!L8</f>
        <v>0</v>
      </c>
      <c r="M4" s="451">
        <f>huishoudens!M8</f>
        <v>0</v>
      </c>
      <c r="N4" s="451">
        <f>huishoudens!N8</f>
        <v>12831.332565692072</v>
      </c>
      <c r="O4" s="451">
        <f>huishoudens!O8</f>
        <v>240.75333333333336</v>
      </c>
      <c r="P4" s="452">
        <f>huishoudens!P8</f>
        <v>572</v>
      </c>
      <c r="Q4" s="453">
        <f>SUM(B4:P4)</f>
        <v>90384.650090049225</v>
      </c>
    </row>
    <row r="5" spans="1:17">
      <c r="A5" s="450" t="s">
        <v>155</v>
      </c>
      <c r="B5" s="451">
        <f ca="1">tertiair!B16</f>
        <v>9317.411961225509</v>
      </c>
      <c r="C5" s="451">
        <f ca="1">tertiair!C16</f>
        <v>0</v>
      </c>
      <c r="D5" s="451">
        <f ca="1">tertiair!D16</f>
        <v>9243.8065822357203</v>
      </c>
      <c r="E5" s="451">
        <f>tertiair!E16</f>
        <v>182.51985616391971</v>
      </c>
      <c r="F5" s="451">
        <f ca="1">tertiair!F16</f>
        <v>1640.1067415191851</v>
      </c>
      <c r="G5" s="451">
        <f>tertiair!G16</f>
        <v>0</v>
      </c>
      <c r="H5" s="451">
        <f>tertiair!H16</f>
        <v>0</v>
      </c>
      <c r="I5" s="451">
        <f>tertiair!I16</f>
        <v>0</v>
      </c>
      <c r="J5" s="451">
        <f>tertiair!J16</f>
        <v>1.4516501751554053E-2</v>
      </c>
      <c r="K5" s="451">
        <f>tertiair!K16</f>
        <v>0</v>
      </c>
      <c r="L5" s="451">
        <f ca="1">tertiair!L16</f>
        <v>0</v>
      </c>
      <c r="M5" s="451">
        <f>tertiair!M16</f>
        <v>0</v>
      </c>
      <c r="N5" s="451">
        <f ca="1">tertiair!N16</f>
        <v>587.13617324740255</v>
      </c>
      <c r="O5" s="451">
        <f>tertiair!O16</f>
        <v>4.6900000000000004</v>
      </c>
      <c r="P5" s="452">
        <f>tertiair!P16</f>
        <v>38.133333333333333</v>
      </c>
      <c r="Q5" s="450">
        <f t="shared" ref="Q5:Q14" ca="1" si="0">SUM(B5:P5)</f>
        <v>21013.819164226825</v>
      </c>
    </row>
    <row r="6" spans="1:17">
      <c r="A6" s="450" t="s">
        <v>193</v>
      </c>
      <c r="B6" s="451">
        <f>'openbare verlichting'!B8</f>
        <v>685.822</v>
      </c>
      <c r="C6" s="451"/>
      <c r="D6" s="451"/>
      <c r="E6" s="451"/>
      <c r="F6" s="451"/>
      <c r="G6" s="451"/>
      <c r="H6" s="451"/>
      <c r="I6" s="451"/>
      <c r="J6" s="451"/>
      <c r="K6" s="451"/>
      <c r="L6" s="451"/>
      <c r="M6" s="451"/>
      <c r="N6" s="451"/>
      <c r="O6" s="451"/>
      <c r="P6" s="452"/>
      <c r="Q6" s="450">
        <f t="shared" si="0"/>
        <v>685.822</v>
      </c>
    </row>
    <row r="7" spans="1:17">
      <c r="A7" s="450" t="s">
        <v>111</v>
      </c>
      <c r="B7" s="451">
        <f>landbouw!B8</f>
        <v>7892.6215208370395</v>
      </c>
      <c r="C7" s="451">
        <f>landbouw!C8</f>
        <v>47642.142857142855</v>
      </c>
      <c r="D7" s="451">
        <f>landbouw!D8</f>
        <v>0</v>
      </c>
      <c r="E7" s="451">
        <f>landbouw!E8</f>
        <v>231.98825334597379</v>
      </c>
      <c r="F7" s="451">
        <f>landbouw!F8</f>
        <v>32880.234760925843</v>
      </c>
      <c r="G7" s="451">
        <f>landbouw!G8</f>
        <v>0</v>
      </c>
      <c r="H7" s="451">
        <f>landbouw!H8</f>
        <v>0</v>
      </c>
      <c r="I7" s="451">
        <f>landbouw!I8</f>
        <v>0</v>
      </c>
      <c r="J7" s="451">
        <f>landbouw!J8</f>
        <v>1143.4713623819255</v>
      </c>
      <c r="K7" s="451">
        <f>landbouw!K8</f>
        <v>0</v>
      </c>
      <c r="L7" s="451">
        <f>landbouw!L8</f>
        <v>0</v>
      </c>
      <c r="M7" s="451">
        <f>landbouw!M8</f>
        <v>0</v>
      </c>
      <c r="N7" s="451">
        <f>landbouw!N8</f>
        <v>0</v>
      </c>
      <c r="O7" s="451">
        <f>landbouw!O8</f>
        <v>0</v>
      </c>
      <c r="P7" s="452">
        <f>landbouw!P8</f>
        <v>0</v>
      </c>
      <c r="Q7" s="450">
        <f t="shared" si="0"/>
        <v>89790.458754633641</v>
      </c>
    </row>
    <row r="8" spans="1:17">
      <c r="A8" s="450" t="s">
        <v>634</v>
      </c>
      <c r="B8" s="451">
        <f>industrie!B18</f>
        <v>203556.14439856459</v>
      </c>
      <c r="C8" s="451">
        <f>industrie!C18</f>
        <v>2674.2857142857142</v>
      </c>
      <c r="D8" s="451">
        <f>industrie!D18</f>
        <v>104957.33425516637</v>
      </c>
      <c r="E8" s="451">
        <f>industrie!E18</f>
        <v>4827.6121942760437</v>
      </c>
      <c r="F8" s="451">
        <f>industrie!F18</f>
        <v>24026.673920573998</v>
      </c>
      <c r="G8" s="451">
        <f>industrie!G18</f>
        <v>0</v>
      </c>
      <c r="H8" s="451">
        <f>industrie!H18</f>
        <v>0</v>
      </c>
      <c r="I8" s="451">
        <f>industrie!I18</f>
        <v>0</v>
      </c>
      <c r="J8" s="451">
        <f>industrie!J18</f>
        <v>262.38410082242041</v>
      </c>
      <c r="K8" s="451">
        <f>industrie!K18</f>
        <v>0</v>
      </c>
      <c r="L8" s="451">
        <f>industrie!L18</f>
        <v>0</v>
      </c>
      <c r="M8" s="451">
        <f>industrie!M18</f>
        <v>0</v>
      </c>
      <c r="N8" s="451">
        <f>industrie!N18</f>
        <v>9603.5256790495496</v>
      </c>
      <c r="O8" s="451">
        <f>industrie!O18</f>
        <v>0</v>
      </c>
      <c r="P8" s="452">
        <f>industrie!P18</f>
        <v>0</v>
      </c>
      <c r="Q8" s="450">
        <f t="shared" si="0"/>
        <v>349907.96026273875</v>
      </c>
    </row>
    <row r="9" spans="1:17" s="456" customFormat="1">
      <c r="A9" s="454" t="s">
        <v>560</v>
      </c>
      <c r="B9" s="455">
        <f>transport!B14</f>
        <v>51.318755314435634</v>
      </c>
      <c r="C9" s="455">
        <f>transport!C14</f>
        <v>0</v>
      </c>
      <c r="D9" s="455">
        <f>transport!D14</f>
        <v>137.88305764575577</v>
      </c>
      <c r="E9" s="455">
        <f>transport!E14</f>
        <v>263.62613082126722</v>
      </c>
      <c r="F9" s="455">
        <f>transport!F14</f>
        <v>0</v>
      </c>
      <c r="G9" s="455">
        <f>transport!G14</f>
        <v>126421.68638958935</v>
      </c>
      <c r="H9" s="455">
        <f>transport!H14</f>
        <v>23842.356264989652</v>
      </c>
      <c r="I9" s="455">
        <f>transport!I14</f>
        <v>0</v>
      </c>
      <c r="J9" s="455">
        <f>transport!J14</f>
        <v>0</v>
      </c>
      <c r="K9" s="455">
        <f>transport!K14</f>
        <v>0</v>
      </c>
      <c r="L9" s="455">
        <f>transport!L14</f>
        <v>0</v>
      </c>
      <c r="M9" s="455">
        <f>transport!M14</f>
        <v>8088.1627201646143</v>
      </c>
      <c r="N9" s="455">
        <f>transport!N14</f>
        <v>0</v>
      </c>
      <c r="O9" s="455">
        <f>transport!O14</f>
        <v>0</v>
      </c>
      <c r="P9" s="455">
        <f>transport!P14</f>
        <v>0</v>
      </c>
      <c r="Q9" s="454">
        <f>SUM(B9:P9)</f>
        <v>158805.03331852506</v>
      </c>
    </row>
    <row r="10" spans="1:17">
      <c r="A10" s="450" t="s">
        <v>550</v>
      </c>
      <c r="B10" s="451">
        <f>transport!B54</f>
        <v>0</v>
      </c>
      <c r="C10" s="451">
        <f>transport!C54</f>
        <v>0</v>
      </c>
      <c r="D10" s="451">
        <f>transport!D54</f>
        <v>0</v>
      </c>
      <c r="E10" s="451">
        <f>transport!E54</f>
        <v>0</v>
      </c>
      <c r="F10" s="451">
        <f>transport!F54</f>
        <v>0</v>
      </c>
      <c r="G10" s="451">
        <f>transport!G54</f>
        <v>927.78274541304404</v>
      </c>
      <c r="H10" s="451">
        <f>transport!H54</f>
        <v>0</v>
      </c>
      <c r="I10" s="451">
        <f>transport!I54</f>
        <v>0</v>
      </c>
      <c r="J10" s="451">
        <f>transport!J54</f>
        <v>0</v>
      </c>
      <c r="K10" s="451">
        <f>transport!K54</f>
        <v>0</v>
      </c>
      <c r="L10" s="451">
        <f>transport!L54</f>
        <v>0</v>
      </c>
      <c r="M10" s="451">
        <f>transport!M54</f>
        <v>52.689983714643134</v>
      </c>
      <c r="N10" s="451">
        <f>transport!N54</f>
        <v>0</v>
      </c>
      <c r="O10" s="451">
        <f>transport!O54</f>
        <v>0</v>
      </c>
      <c r="P10" s="452">
        <f>transport!P54</f>
        <v>0</v>
      </c>
      <c r="Q10" s="450">
        <f t="shared" si="0"/>
        <v>980.47272912768722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510.64338749125699</v>
      </c>
      <c r="C14" s="458"/>
      <c r="D14" s="458">
        <f>'SEAP template'!E25</f>
        <v>1033.15539565059</v>
      </c>
      <c r="E14" s="458"/>
      <c r="F14" s="458"/>
      <c r="G14" s="458"/>
      <c r="H14" s="458"/>
      <c r="I14" s="458"/>
      <c r="J14" s="458"/>
      <c r="K14" s="458"/>
      <c r="L14" s="458"/>
      <c r="M14" s="458"/>
      <c r="N14" s="458"/>
      <c r="O14" s="458"/>
      <c r="P14" s="459"/>
      <c r="Q14" s="450">
        <f t="shared" si="0"/>
        <v>1543.798783141847</v>
      </c>
    </row>
    <row r="15" spans="1:17" s="460" customFormat="1">
      <c r="A15" s="1005" t="s">
        <v>554</v>
      </c>
      <c r="B15" s="953">
        <f ca="1">SUM(B4:B14)</f>
        <v>237334.09955737091</v>
      </c>
      <c r="C15" s="953">
        <f t="shared" ref="C15:Q15" ca="1" si="1">SUM(C4:C14)</f>
        <v>50316.428571428572</v>
      </c>
      <c r="D15" s="953">
        <f t="shared" ca="1" si="1"/>
        <v>146034.18146416591</v>
      </c>
      <c r="E15" s="953">
        <f t="shared" si="1"/>
        <v>21021.90907489603</v>
      </c>
      <c r="F15" s="953">
        <f t="shared" ca="1" si="1"/>
        <v>72890.029305901713</v>
      </c>
      <c r="G15" s="953">
        <f t="shared" si="1"/>
        <v>127349.46913500239</v>
      </c>
      <c r="H15" s="953">
        <f t="shared" si="1"/>
        <v>23842.356264989652</v>
      </c>
      <c r="I15" s="953">
        <f t="shared" si="1"/>
        <v>0</v>
      </c>
      <c r="J15" s="953">
        <f t="shared" si="1"/>
        <v>2305.117940152852</v>
      </c>
      <c r="K15" s="953">
        <f t="shared" si="1"/>
        <v>0</v>
      </c>
      <c r="L15" s="953">
        <f t="shared" ca="1" si="1"/>
        <v>0</v>
      </c>
      <c r="M15" s="953">
        <f t="shared" si="1"/>
        <v>8140.8527038792572</v>
      </c>
      <c r="N15" s="953">
        <f t="shared" ca="1" si="1"/>
        <v>23021.994417989023</v>
      </c>
      <c r="O15" s="953">
        <f t="shared" si="1"/>
        <v>245.44333333333336</v>
      </c>
      <c r="P15" s="953">
        <f t="shared" si="1"/>
        <v>610.13333333333333</v>
      </c>
      <c r="Q15" s="953">
        <f t="shared" ca="1" si="1"/>
        <v>713112.01510244305</v>
      </c>
    </row>
    <row r="17" spans="1:17">
      <c r="A17" s="461" t="s">
        <v>555</v>
      </c>
      <c r="B17" s="760">
        <f ca="1">huishoudens!B10</f>
        <v>0.20729168953645896</v>
      </c>
      <c r="C17" s="760">
        <f ca="1">huishoudens!C10</f>
        <v>0.18210650914256082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3175.7371933409449</v>
      </c>
      <c r="C22" s="451">
        <f t="shared" ref="C22:C32" ca="1" si="3">C4*$C$17</f>
        <v>0</v>
      </c>
      <c r="D22" s="451">
        <f t="shared" ref="D22:D32" si="4">D4*$D$17</f>
        <v>6193.7244390404285</v>
      </c>
      <c r="E22" s="451">
        <f t="shared" ref="E22:E32" si="5">E4*$E$17</f>
        <v>3522.1689193455636</v>
      </c>
      <c r="F22" s="451">
        <f t="shared" ref="F22:F32" si="6">F4*$F$17</f>
        <v>3829.5847067296763</v>
      </c>
      <c r="G22" s="451">
        <f t="shared" ref="G22:G32" si="7">G4*$G$17</f>
        <v>0</v>
      </c>
      <c r="H22" s="451">
        <f t="shared" ref="H22:H32" si="8">H4*$H$17</f>
        <v>0</v>
      </c>
      <c r="I22" s="451">
        <f t="shared" ref="I22:I32" si="9">I4*$I$17</f>
        <v>0</v>
      </c>
      <c r="J22" s="451">
        <f t="shared" ref="J22:J32" si="10">J4*$J$17</f>
        <v>318.33377799815111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17039.549036454766</v>
      </c>
    </row>
    <row r="23" spans="1:17">
      <c r="A23" s="450" t="s">
        <v>155</v>
      </c>
      <c r="B23" s="451">
        <f t="shared" ca="1" si="2"/>
        <v>1931.4220675496474</v>
      </c>
      <c r="C23" s="451">
        <f t="shared" ca="1" si="3"/>
        <v>0</v>
      </c>
      <c r="D23" s="451">
        <f t="shared" ca="1" si="4"/>
        <v>1867.2489296116157</v>
      </c>
      <c r="E23" s="451">
        <f t="shared" si="5"/>
        <v>41.432007349209776</v>
      </c>
      <c r="F23" s="451">
        <f t="shared" ca="1" si="6"/>
        <v>437.90849998562243</v>
      </c>
      <c r="G23" s="451">
        <f t="shared" si="7"/>
        <v>0</v>
      </c>
      <c r="H23" s="451">
        <f t="shared" si="8"/>
        <v>0</v>
      </c>
      <c r="I23" s="451">
        <f t="shared" si="9"/>
        <v>0</v>
      </c>
      <c r="J23" s="451">
        <f t="shared" si="10"/>
        <v>5.1388416200501344E-3</v>
      </c>
      <c r="K23" s="451">
        <f t="shared" si="11"/>
        <v>0</v>
      </c>
      <c r="L23" s="451">
        <f t="shared" ca="1" si="12"/>
        <v>0</v>
      </c>
      <c r="M23" s="451">
        <f t="shared" si="13"/>
        <v>0</v>
      </c>
      <c r="N23" s="451">
        <f t="shared" ca="1" si="14"/>
        <v>0</v>
      </c>
      <c r="O23" s="451">
        <f t="shared" si="15"/>
        <v>0</v>
      </c>
      <c r="P23" s="452">
        <f t="shared" si="16"/>
        <v>0</v>
      </c>
      <c r="Q23" s="450">
        <f t="shared" ref="Q23:Q32" ca="1" si="17">SUM(B23:P23)</f>
        <v>4278.0166433377162</v>
      </c>
    </row>
    <row r="24" spans="1:17">
      <c r="A24" s="450" t="s">
        <v>193</v>
      </c>
      <c r="B24" s="451">
        <f t="shared" ca="1" si="2"/>
        <v>142.16520110127337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142.16520110127337</v>
      </c>
    </row>
    <row r="25" spans="1:17">
      <c r="A25" s="450" t="s">
        <v>111</v>
      </c>
      <c r="B25" s="451">
        <f t="shared" ca="1" si="2"/>
        <v>1636.0748499261263</v>
      </c>
      <c r="C25" s="451">
        <f t="shared" ca="1" si="3"/>
        <v>8675.9443237854739</v>
      </c>
      <c r="D25" s="451">
        <f t="shared" si="4"/>
        <v>0</v>
      </c>
      <c r="E25" s="451">
        <f t="shared" si="5"/>
        <v>52.66133350953605</v>
      </c>
      <c r="F25" s="451">
        <f t="shared" si="6"/>
        <v>8779.0226811672001</v>
      </c>
      <c r="G25" s="451">
        <f t="shared" si="7"/>
        <v>0</v>
      </c>
      <c r="H25" s="451">
        <f t="shared" si="8"/>
        <v>0</v>
      </c>
      <c r="I25" s="451">
        <f t="shared" si="9"/>
        <v>0</v>
      </c>
      <c r="J25" s="451">
        <f t="shared" si="10"/>
        <v>404.78886228320158</v>
      </c>
      <c r="K25" s="451">
        <f t="shared" si="11"/>
        <v>0</v>
      </c>
      <c r="L25" s="451">
        <f t="shared" si="12"/>
        <v>0</v>
      </c>
      <c r="M25" s="451">
        <f t="shared" si="13"/>
        <v>0</v>
      </c>
      <c r="N25" s="451">
        <f t="shared" si="14"/>
        <v>0</v>
      </c>
      <c r="O25" s="451">
        <f t="shared" si="15"/>
        <v>0</v>
      </c>
      <c r="P25" s="452">
        <f t="shared" si="16"/>
        <v>0</v>
      </c>
      <c r="Q25" s="450">
        <f t="shared" ca="1" si="17"/>
        <v>19548.492050671539</v>
      </c>
    </row>
    <row r="26" spans="1:17">
      <c r="A26" s="450" t="s">
        <v>634</v>
      </c>
      <c r="B26" s="451">
        <f t="shared" ca="1" si="2"/>
        <v>42195.49708790586</v>
      </c>
      <c r="C26" s="451">
        <f t="shared" ca="1" si="3"/>
        <v>487.00483587839125</v>
      </c>
      <c r="D26" s="451">
        <f t="shared" si="4"/>
        <v>21201.381519543607</v>
      </c>
      <c r="E26" s="451">
        <f t="shared" si="5"/>
        <v>1095.867968100662</v>
      </c>
      <c r="F26" s="451">
        <f t="shared" si="6"/>
        <v>6415.1219367932581</v>
      </c>
      <c r="G26" s="451">
        <f t="shared" si="7"/>
        <v>0</v>
      </c>
      <c r="H26" s="451">
        <f t="shared" si="8"/>
        <v>0</v>
      </c>
      <c r="I26" s="451">
        <f t="shared" si="9"/>
        <v>0</v>
      </c>
      <c r="J26" s="451">
        <f t="shared" si="10"/>
        <v>92.883971691136821</v>
      </c>
      <c r="K26" s="451">
        <f t="shared" si="11"/>
        <v>0</v>
      </c>
      <c r="L26" s="451">
        <f t="shared" si="12"/>
        <v>0</v>
      </c>
      <c r="M26" s="451">
        <f t="shared" si="13"/>
        <v>0</v>
      </c>
      <c r="N26" s="451">
        <f t="shared" si="14"/>
        <v>0</v>
      </c>
      <c r="O26" s="451">
        <f t="shared" si="15"/>
        <v>0</v>
      </c>
      <c r="P26" s="452">
        <f t="shared" si="16"/>
        <v>0</v>
      </c>
      <c r="Q26" s="450">
        <f t="shared" ca="1" si="17"/>
        <v>71487.757319912911</v>
      </c>
    </row>
    <row r="27" spans="1:17" s="456" customFormat="1">
      <c r="A27" s="454" t="s">
        <v>560</v>
      </c>
      <c r="B27" s="754">
        <f t="shared" ca="1" si="2"/>
        <v>10.637951494037495</v>
      </c>
      <c r="C27" s="455">
        <f t="shared" ca="1" si="3"/>
        <v>0</v>
      </c>
      <c r="D27" s="455">
        <f t="shared" si="4"/>
        <v>27.852377644442669</v>
      </c>
      <c r="E27" s="455">
        <f t="shared" si="5"/>
        <v>59.843131696427662</v>
      </c>
      <c r="F27" s="455">
        <f t="shared" si="6"/>
        <v>0</v>
      </c>
      <c r="G27" s="455">
        <f t="shared" si="7"/>
        <v>33754.590266020357</v>
      </c>
      <c r="H27" s="455">
        <f t="shared" si="8"/>
        <v>5936.7467099824235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39789.670436837689</v>
      </c>
    </row>
    <row r="28" spans="1:17">
      <c r="A28" s="450" t="s">
        <v>550</v>
      </c>
      <c r="B28" s="451">
        <f t="shared" ca="1" si="2"/>
        <v>0</v>
      </c>
      <c r="C28" s="451">
        <f t="shared" ca="1" si="3"/>
        <v>0</v>
      </c>
      <c r="D28" s="451">
        <f t="shared" si="4"/>
        <v>0</v>
      </c>
      <c r="E28" s="451">
        <f t="shared" si="5"/>
        <v>0</v>
      </c>
      <c r="F28" s="451">
        <f t="shared" si="6"/>
        <v>0</v>
      </c>
      <c r="G28" s="451">
        <f t="shared" si="7"/>
        <v>247.71799302528277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247.71799302528277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105.85213054368336</v>
      </c>
      <c r="C32" s="451">
        <f t="shared" ca="1" si="3"/>
        <v>0</v>
      </c>
      <c r="D32" s="451">
        <f t="shared" si="4"/>
        <v>208.69738992141919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314.54952046510255</v>
      </c>
    </row>
    <row r="33" spans="1:17" s="460" customFormat="1">
      <c r="A33" s="1005" t="s">
        <v>554</v>
      </c>
      <c r="B33" s="953">
        <f ca="1">SUM(B22:B32)</f>
        <v>49197.386481861569</v>
      </c>
      <c r="C33" s="953">
        <f t="shared" ref="C33:Q33" ca="1" si="18">SUM(C22:C32)</f>
        <v>9162.9491596638654</v>
      </c>
      <c r="D33" s="953">
        <f t="shared" ca="1" si="18"/>
        <v>29498.904655761515</v>
      </c>
      <c r="E33" s="953">
        <f t="shared" si="18"/>
        <v>4771.9733600013997</v>
      </c>
      <c r="F33" s="953">
        <f t="shared" ca="1" si="18"/>
        <v>19461.637824675756</v>
      </c>
      <c r="G33" s="953">
        <f t="shared" si="18"/>
        <v>34002.30825904564</v>
      </c>
      <c r="H33" s="953">
        <f t="shared" si="18"/>
        <v>5936.7467099824235</v>
      </c>
      <c r="I33" s="953">
        <f t="shared" si="18"/>
        <v>0</v>
      </c>
      <c r="J33" s="953">
        <f t="shared" si="18"/>
        <v>816.01175081410952</v>
      </c>
      <c r="K33" s="953">
        <f t="shared" si="18"/>
        <v>0</v>
      </c>
      <c r="L33" s="953">
        <f t="shared" ca="1" si="18"/>
        <v>0</v>
      </c>
      <c r="M33" s="953">
        <f t="shared" si="18"/>
        <v>0</v>
      </c>
      <c r="N33" s="953">
        <f t="shared" ca="1" si="18"/>
        <v>0</v>
      </c>
      <c r="O33" s="953">
        <f t="shared" si="18"/>
        <v>0</v>
      </c>
      <c r="P33" s="953">
        <f t="shared" si="18"/>
        <v>0</v>
      </c>
      <c r="Q33" s="953">
        <f t="shared" ca="1" si="18"/>
        <v>152847.91820180629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8522.9069324982302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8231.625</v>
      </c>
      <c r="C8" s="1022">
        <f>'SEAP template'!C76</f>
        <v>26989.875</v>
      </c>
      <c r="D8" s="1022">
        <f>'SEAP template'!D76</f>
        <v>31752.794117647059</v>
      </c>
      <c r="E8" s="1022">
        <f>'SEAP template'!E76</f>
        <v>0</v>
      </c>
      <c r="F8" s="1022">
        <f>'SEAP template'!F76</f>
        <v>0</v>
      </c>
      <c r="G8" s="1022">
        <f>'SEAP template'!G76</f>
        <v>0</v>
      </c>
      <c r="H8" s="1022">
        <f>'SEAP template'!H76</f>
        <v>0</v>
      </c>
      <c r="I8" s="1022">
        <f>'SEAP template'!I76</f>
        <v>0</v>
      </c>
      <c r="J8" s="1022">
        <f>'SEAP template'!J76</f>
        <v>9684.2647058823532</v>
      </c>
      <c r="K8" s="1022">
        <f>'SEAP template'!K76</f>
        <v>0</v>
      </c>
      <c r="L8" s="1022">
        <f>'SEAP template'!L76</f>
        <v>0</v>
      </c>
      <c r="M8" s="1022">
        <f>'SEAP template'!M76</f>
        <v>0</v>
      </c>
      <c r="N8" s="1022">
        <f>'SEAP template'!N76</f>
        <v>0</v>
      </c>
      <c r="O8" s="1022">
        <f>'SEAP template'!O76</f>
        <v>0</v>
      </c>
      <c r="P8" s="1023">
        <f>'SEAP template'!Q76</f>
        <v>6414.0644117647062</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16754.53193249823</v>
      </c>
      <c r="C10" s="1026">
        <f>SUM(C4:C9)</f>
        <v>26989.875</v>
      </c>
      <c r="D10" s="1026">
        <f t="shared" ref="D10:H10" si="0">SUM(D8:D9)</f>
        <v>31752.794117647059</v>
      </c>
      <c r="E10" s="1026">
        <f t="shared" si="0"/>
        <v>0</v>
      </c>
      <c r="F10" s="1026">
        <f t="shared" si="0"/>
        <v>0</v>
      </c>
      <c r="G10" s="1026">
        <f t="shared" si="0"/>
        <v>0</v>
      </c>
      <c r="H10" s="1026">
        <f t="shared" si="0"/>
        <v>0</v>
      </c>
      <c r="I10" s="1026">
        <f>SUM(I8:I9)</f>
        <v>0</v>
      </c>
      <c r="J10" s="1026">
        <f>SUM(J8:J9)</f>
        <v>9684.2647058823532</v>
      </c>
      <c r="K10" s="1026">
        <f t="shared" ref="K10:L10" si="1">SUM(K8:K9)</f>
        <v>0</v>
      </c>
      <c r="L10" s="1026">
        <f t="shared" si="1"/>
        <v>0</v>
      </c>
      <c r="M10" s="1026">
        <f>SUM(M8:M9)</f>
        <v>0</v>
      </c>
      <c r="N10" s="1026">
        <f>SUM(N8:N9)</f>
        <v>0</v>
      </c>
      <c r="O10" s="1026">
        <f>SUM(O8:O9)</f>
        <v>0</v>
      </c>
      <c r="P10" s="1026">
        <f>SUM(P8:P9)</f>
        <v>6414.0644117647062</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0.20729168953645896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11759.464285714286</v>
      </c>
      <c r="C17" s="1028">
        <f>'SEAP template'!C87</f>
        <v>38556.96428571429</v>
      </c>
      <c r="D17" s="1023">
        <f>'SEAP template'!D87</f>
        <v>45361.134453781509</v>
      </c>
      <c r="E17" s="1023">
        <f>'SEAP template'!E87</f>
        <v>0</v>
      </c>
      <c r="F17" s="1023">
        <f>'SEAP template'!F87</f>
        <v>0</v>
      </c>
      <c r="G17" s="1023">
        <f>'SEAP template'!G87</f>
        <v>0</v>
      </c>
      <c r="H17" s="1023">
        <f>'SEAP template'!H87</f>
        <v>0</v>
      </c>
      <c r="I17" s="1023">
        <f>'SEAP template'!I87</f>
        <v>0</v>
      </c>
      <c r="J17" s="1023">
        <f>'SEAP template'!J87</f>
        <v>13834.663865546217</v>
      </c>
      <c r="K17" s="1023">
        <f>'SEAP template'!K87</f>
        <v>0</v>
      </c>
      <c r="L17" s="1023">
        <f>'SEAP template'!L87</f>
        <v>0</v>
      </c>
      <c r="M17" s="1023">
        <f>'SEAP template'!M87</f>
        <v>0</v>
      </c>
      <c r="N17" s="1023">
        <f>'SEAP template'!N87</f>
        <v>0</v>
      </c>
      <c r="O17" s="1023">
        <f>'SEAP template'!O87</f>
        <v>0</v>
      </c>
      <c r="P17" s="1023">
        <f>'SEAP template'!Q87</f>
        <v>9162.9491596638654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11759.464285714286</v>
      </c>
      <c r="C20" s="1026">
        <f>SUM(C17:C19)</f>
        <v>38556.96428571429</v>
      </c>
      <c r="D20" s="1026">
        <f t="shared" ref="D20:H20" si="2">SUM(D17:D19)</f>
        <v>45361.134453781509</v>
      </c>
      <c r="E20" s="1026">
        <f t="shared" si="2"/>
        <v>0</v>
      </c>
      <c r="F20" s="1026">
        <f t="shared" si="2"/>
        <v>0</v>
      </c>
      <c r="G20" s="1026">
        <f t="shared" si="2"/>
        <v>0</v>
      </c>
      <c r="H20" s="1026">
        <f t="shared" si="2"/>
        <v>0</v>
      </c>
      <c r="I20" s="1026">
        <f>SUM(I17:I19)</f>
        <v>0</v>
      </c>
      <c r="J20" s="1026">
        <f>SUM(J17:J19)</f>
        <v>13834.663865546217</v>
      </c>
      <c r="K20" s="1026">
        <f t="shared" ref="K20:L20" si="3">SUM(K17:K19)</f>
        <v>0</v>
      </c>
      <c r="L20" s="1026">
        <f t="shared" si="3"/>
        <v>0</v>
      </c>
      <c r="M20" s="1026">
        <f>SUM(M17:M19)</f>
        <v>0</v>
      </c>
      <c r="N20" s="1026">
        <f>SUM(N17:N19)</f>
        <v>0</v>
      </c>
      <c r="O20" s="1026">
        <f>SUM(O17:O19)</f>
        <v>0</v>
      </c>
      <c r="P20" s="1026">
        <f>SUM(P17:P19)</f>
        <v>9162.9491596638654</v>
      </c>
    </row>
    <row r="22" spans="1:16">
      <c r="A22" s="461" t="s">
        <v>848</v>
      </c>
      <c r="B22" s="760" t="s">
        <v>842</v>
      </c>
      <c r="C22" s="760">
        <f ca="1">'EF ele_warmte'!B22</f>
        <v>0.18210650914256082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0.20729168953645896</v>
      </c>
      <c r="C17" s="498">
        <f ca="1">'EF ele_warmte'!B22</f>
        <v>0.18210650914256082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2020-06-20T15:45:24Z</dcterms:modified>
</cp:coreProperties>
</file>