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D13" i="15" s="1"/>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C13" i="15"/>
  <c r="C47" i="18"/>
  <c r="C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50" i="18"/>
  <c r="F50" i="18"/>
  <c r="H50" i="18"/>
  <c r="D50" i="18"/>
  <c r="I51" i="18"/>
  <c r="H17" i="18" s="1"/>
  <c r="E51" i="18"/>
  <c r="E17" i="18" s="1"/>
  <c r="C51" i="18"/>
  <c r="B51" i="18"/>
  <c r="C17" i="18" s="1"/>
  <c r="H51" i="18"/>
  <c r="D51" i="18"/>
  <c r="G51" i="18"/>
  <c r="F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8" i="18" s="1"/>
  <c r="I8" i="18"/>
  <c r="B50" i="18"/>
  <c r="C8" i="18" s="1"/>
  <c r="O8" i="18" s="1"/>
  <c r="O10" i="18" s="1"/>
  <c r="M77" i="14"/>
  <c r="M9" i="61" s="1"/>
  <c r="E50" i="18"/>
  <c r="E8" i="18" s="1"/>
  <c r="F76" i="14" s="1"/>
  <c r="H78" i="14"/>
  <c r="H9" i="61"/>
  <c r="H10" i="61" s="1"/>
  <c r="O90" i="14"/>
  <c r="O18" i="61"/>
  <c r="O20" i="61" s="1"/>
  <c r="B88" i="14"/>
  <c r="B18" i="61" s="1"/>
  <c r="Q77" i="14"/>
  <c r="P9" i="61" s="1"/>
  <c r="J17" i="18"/>
  <c r="H20" i="18"/>
  <c r="M87" i="14"/>
  <c r="J8" i="18"/>
  <c r="M76" i="14"/>
  <c r="H10" i="18"/>
  <c r="E20" i="18"/>
  <c r="F87" i="14"/>
  <c r="C77" i="14"/>
  <c r="C9" i="61" s="1"/>
  <c r="C20" i="18"/>
  <c r="D87" i="14"/>
  <c r="D17" i="61" s="1"/>
  <c r="D20" i="61" s="1"/>
  <c r="D76" i="14"/>
  <c r="D8" i="61" s="1"/>
  <c r="D10" i="61" s="1"/>
  <c r="C88" i="14"/>
  <c r="C18" i="61" s="1"/>
  <c r="E10" i="18"/>
  <c r="I17" i="18"/>
  <c r="I10" i="18"/>
  <c r="I76" i="14"/>
  <c r="I8" i="61" s="1"/>
  <c r="I10" i="61" s="1"/>
  <c r="Q88" i="14"/>
  <c r="P18" i="61" s="1"/>
  <c r="I33" i="48"/>
  <c r="B77" i="14" l="1"/>
  <c r="B9" i="61" s="1"/>
  <c r="C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J20" i="15"/>
  <c r="K40" i="14"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<sst xmlns="http://schemas.openxmlformats.org/spreadsheetml/2006/main" count="2425" uniqueCount="901">
  <si>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</si>
  <si>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</si>
  <si>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</si>
  <si>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</si>
  <si>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</si>
  <si>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</si>
  <si>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</si>
  <si>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</si>
  <si>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</si>
  <si>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</si>
  <si>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</si>
  <si>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</si>
  <si>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</si>
  <si>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</si>
  <si>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</si>
  <si>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</si>
  <si>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</si>
  <si>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</si>
  <si>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</si>
  <si>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</si>
  <si>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</si>
  <si>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</si>
  <si>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</si>
  <si>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</si>
  <si>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</si>
  <si>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</si>
  <si>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</si>
  <si>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</si>
  <si>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</si>
  <si>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</si>
  <si>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</si>
  <si>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</si>
  <si>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</si>
  <si>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</si>
  <si>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</si>
  <si>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</si>
  <si>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</si>
  <si>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</si>
  <si>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</si>
  <si>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</si>
  <si>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</si>
  <si>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</si>
  <si>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</si>
  <si>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</si>
  <si>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</si>
  <si>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</si>
  <si>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</si>
  <si>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</si>
  <si>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</si>
  <si>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</si>
  <si>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</si>
  <si>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</si>
  <si>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</si>
  <si>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</si>
  <si>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</si>
  <si>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</si>
  <si>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</si>
  <si>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</si>
  <si>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</si>
  <si>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</si>
  <si>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</si>
  <si>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</si>
  <si>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</si>
  <si>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</si>
  <si>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</si>
  <si>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</si>
  <si>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</si>
  <si>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</si>
  <si>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</si>
  <si>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</si>
  <si>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</si>
  <si>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</si>
  <si>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</si>
  <si>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</si>
  <si>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</si>
  <si>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</si>
  <si>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</si>
  <si>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</si>
  <si>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</si>
  <si>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</si>
  <si>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</si>
  <si>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</si>
  <si>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</si>
  <si>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</si>
  <si>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</si>
  <si>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</si>
  <si>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</si>
  <si>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</si>
  <si>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</si>
  <si>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</si>
  <si>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</si>
  <si>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</si>
  <si>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</si>
  <si>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</si>
  <si>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</si>
  <si>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</si>
  <si>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</si>
  <si>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</si>
  <si>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</si>
  <si>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</si>
  <si>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</si>
  <si>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</si>
  <si>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</si>
  <si>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</si>
  <si>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</si>
  <si>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</si>
  <si>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</si>
  <si>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</si>
  <si>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</si>
  <si>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</si>
  <si>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</si>
  <si>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</si>
  <si>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</si>
  <si>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</si>
  <si>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</si>
  <si>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</si>
  <si>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</si>
  <si>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</si>
  <si>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</si>
  <si>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</si>
  <si>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</si>
  <si>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</si>
  <si>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</si>
  <si>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</si>
  <si>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</si>
  <si>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</si>
  <si>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</si>
  <si>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</si>
  <si>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</si>
  <si>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</si>
  <si>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</si>
  <si>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</si>
  <si>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</si>
  <si>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</si>
  <si>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</si>
  <si>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</si>
  <si>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</si>
  <si>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</si>
  <si>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</si>
  <si>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</si>
  <si>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</si>
  <si>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</si>
  <si>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</si>
  <si>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</si>
  <si>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</si>
  <si>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</si>
  <si>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</si>
  <si>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</si>
  <si>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</si>
  <si>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</si>
  <si>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</si>
  <si>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</si>
  <si>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</si>
  <si>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</si>
  <si>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</si>
  <si>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</si>
  <si>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</si>
  <si>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</si>
  <si>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</si>
  <si>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</si>
  <si>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</si>
  <si>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</si>
  <si>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</si>
  <si>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</si>
  <si>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</si>
  <si>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</si>
  <si>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</si>
  <si>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</si>
  <si>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</si>
  <si>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</si>
  <si>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</si>
  <si>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</si>
  <si>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</si>
  <si>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</si>
  <si>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</si>
  <si>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</si>
  <si>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</si>
  <si>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</si>
  <si>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</si>
  <si>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</si>
  <si>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</si>
  <si>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</si>
  <si>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</si>
  <si>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</si>
  <si>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</si>
  <si>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</si>
  <si>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</si>
  <si>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</si>
  <si>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</si>
  <si>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</si>
  <si>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</si>
  <si>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</si>
  <si>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</si>
  <si>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</si>
  <si>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</si>
  <si>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</si>
  <si>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</si>
  <si>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</si>
  <si>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</si>
  <si>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</si>
  <si>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</si>
  <si>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</si>
  <si>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</si>
  <si>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</si>
  <si>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</si>
  <si>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</si>
  <si>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</si>
  <si>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</si>
  <si>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</si>
  <si>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</si>
  <si>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</si>
  <si>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</si>
  <si>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</si>
  <si>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</si>
  <si>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</si>
  <si>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</si>
  <si>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</si>
  <si>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</si>
  <si>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</si>
  <si>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</si>
  <si>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</si>
  <si>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</si>
  <si>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</si>
  <si>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</si>
  <si>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</si>
  <si>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</si>
  <si>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</si>
  <si>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</si>
  <si>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</si>
  <si>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</si>
  <si>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</si>
  <si>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</si>
  <si>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</si>
  <si>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</si>
  <si>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</si>
  <si>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</si>
  <si>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</si>
  <si>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</si>
  <si>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</si>
  <si>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</si>
  <si>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</si>
  <si>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</si>
  <si>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</si>
  <si>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</si>
  <si>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</si>
  <si>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</si>
  <si>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</si>
  <si>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</si>
  <si>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</si>
  <si>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</si>
  <si>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</si>
  <si>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</si>
  <si>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</si>
  <si>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</si>
  <si>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</si>
  <si>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</si>
  <si>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</si>
  <si>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</si>
  <si>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</si>
  <si>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</si>
  <si>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</si>
  <si>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</si>
  <si>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</si>
  <si>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</si>
  <si>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</si>
  <si>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</si>
  <si>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</si>
  <si>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</si>
  <si>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</si>
  <si>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</si>
  <si>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</si>
  <si>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</si>
  <si>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</si>
  <si>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</si>
  <si>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</si>
  <si>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</si>
  <si>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</si>
  <si>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</si>
  <si>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</si>
  <si>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</si>
  <si>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</si>
  <si>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</si>
  <si>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</si>
  <si>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</si>
  <si>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</si>
  <si>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</si>
  <si>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</si>
  <si>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</si>
  <si>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</si>
  <si>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</si>
  <si>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</si>
  <si>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</si>
  <si>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</si>
  <si>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</si>
  <si>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</si>
  <si>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</si>
  <si>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</si>
  <si>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</si>
  <si>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</si>
  <si>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</si>
  <si>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</si>
  <si>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</si>
  <si>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</si>
  <si>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</si>
  <si>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</si>
  <si>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</si>
  <si>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</si>
  <si>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</si>
  <si>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</si>
  <si>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</si>
  <si>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</si>
  <si>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</si>
  <si>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</si>
  <si>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</si>
  <si>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</si>
  <si>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</si>
  <si>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</si>
  <si>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</si>
  <si>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</si>
  <si>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</si>
  <si>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</si>
  <si>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</si>
  <si>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</si>
  <si>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</si>
  <si>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</si>
  <si>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</si>
  <si>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</si>
  <si>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</si>
  <si>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</si>
  <si>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</si>
  <si>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</si>
  <si>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</si>
  <si>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</si>
  <si>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</si>
  <si>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</si>
  <si>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</si>
  <si>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</si>
  <si>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</si>
  <si>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</si>
  <si>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</si>
  <si>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</si>
  <si>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</si>
  <si>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</si>
  <si>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</si>
  <si>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</si>
  <si>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</si>
  <si>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</si>
  <si>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</si>
  <si>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</si>
  <si>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</si>
  <si>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</si>
  <si>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</si>
  <si>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</si>
  <si>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</si>
  <si>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</si>
  <si>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</si>
  <si>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</si>
  <si>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</si>
  <si>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</si>
  <si>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</si>
  <si>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</si>
  <si>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</si>
  <si>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</si>
  <si>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</si>
  <si>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</si>
  <si>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</si>
  <si>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</si>
  <si>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</si>
  <si>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</si>
  <si>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</si>
  <si>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</si>
  <si>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</si>
  <si>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</si>
  <si>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</si>
  <si>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</si>
  <si>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</si>
  <si>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</si>
  <si>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</si>
  <si>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</si>
  <si>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</si>
  <si>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</si>
  <si>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</si>
  <si>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</si>
  <si>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</si>
  <si>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</si>
  <si>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</si>
  <si>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</si>
  <si>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</si>
  <si>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</si>
  <si>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</si>
  <si>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</si>
  <si>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</si>
  <si>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</si>
  <si>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</si>
  <si>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</si>
  <si>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</si>
  <si>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</si>
  <si>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</si>
  <si>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</si>
  <si>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</si>
  <si>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</si>
  <si>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</si>
  <si>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</si>
  <si>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</si>
  <si>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</si>
  <si>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</si>
  <si>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</si>
  <si>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</si>
  <si>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</si>
  <si>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</si>
  <si>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</si>
  <si>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</si>
  <si>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</si>
  <si>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</si>
  <si>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</si>
  <si>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</si>
  <si>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</si>
  <si>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</si>
  <si>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</si>
  <si>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</si>
  <si>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</si>
  <si>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</si>
  <si>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</si>
  <si>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</si>
  <si>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</si>
  <si>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</si>
  <si>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</si>
  <si>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</si>
  <si>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</si>
  <si>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</si>
  <si>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</si>
  <si>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</si>
  <si>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</si>
  <si>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</si>
  <si>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</si>
  <si>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</si>
  <si>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</si>
  <si>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</si>
  <si>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</si>
  <si>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</si>
  <si>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</si>
  <si>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</si>
  <si>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</si>
  <si>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</si>
  <si>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</si>
  <si>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</si>
  <si>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</si>
  <si>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</si>
  <si>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</si>
  <si>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</si>
  <si>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</si>
  <si>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</si>
  <si>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</si>
  <si>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</si>
  <si>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</si>
  <si>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</si>
  <si>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</si>
  <si>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</si>
  <si>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</si>
  <si>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</si>
  <si>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</si>
  <si>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</si>
  <si>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</si>
  <si>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</si>
  <si>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</si>
  <si>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</si>
  <si>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</si>
  <si>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</si>
  <si>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</si>
  <si>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</si>
  <si>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</si>
  <si>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</si>
  <si>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</si>
  <si>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</si>
  <si>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</si>
  <si>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</si>
  <si>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</si>
  <si>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</si>
  <si>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</si>
  <si>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</si>
  <si>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</si>
  <si>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</si>
  <si>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</si>
  <si>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</si>
  <si>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</si>
  <si>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</si>
  <si>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</si>
  <si>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</si>
  <si>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</si>
  <si>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</si>
  <si>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</si>
  <si>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</si>
  <si>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</si>
  <si>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</si>
  <si>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</si>
  <si>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</si>
  <si>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</si>
  <si>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</si>
  <si>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</si>
  <si>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</si>
  <si>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</si>
  <si>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</si>
  <si>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</si>
  <si>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</si>
  <si>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</si>
  <si>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</si>
  <si>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</si>
  <si>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</si>
  <si>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</si>
  <si>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</si>
  <si>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</si>
  <si>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</si>
  <si>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</si>
  <si>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</si>
  <si>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</si>
  <si>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</si>
  <si>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</si>
  <si>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</si>
  <si>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</si>
  <si>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</si>
  <si>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</si>
  <si>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</si>
  <si>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</si>
  <si>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</si>
  <si>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</si>
  <si>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</si>
  <si>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</si>
  <si>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</si>
  <si>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</si>
  <si>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</si>
  <si>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</si>
  <si>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</si>
  <si>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</si>
  <si>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</si>
  <si>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</si>
  <si>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</si>
  <si>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</si>
  <si>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</si>
  <si>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</si>
  <si>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</si>
  <si>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</si>
  <si>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</si>
  <si>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</si>
  <si>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</si>
  <si>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</si>
  <si>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</si>
  <si>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</si>
  <si>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</si>
  <si>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</si>
  <si>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</si>
  <si>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</si>
  <si>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</si>
  <si>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</si>
  <si>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</si>
  <si>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</si>
  <si>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</si>
  <si>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</si>
  <si>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</si>
  <si>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</si>
  <si>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</si>
  <si>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</si>
  <si>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</si>
  <si>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</si>
  <si>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</si>
  <si>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</si>
  <si>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</si>
  <si>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</si>
  <si>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</si>
  <si>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</si>
  <si>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</si>
  <si>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</si>
  <si>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</si>
  <si>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</si>
  <si>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</si>
  <si>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</si>
  <si>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</si>
  <si>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</si>
  <si>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</si>
  <si>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</si>
  <si>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</si>
  <si>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</si>
  <si>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</si>
  <si>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</si>
  <si>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</si>
  <si>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</si>
  <si>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</si>
  <si>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</si>
  <si>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</si>
  <si>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</si>
  <si>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</si>
  <si>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</si>
  <si>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</si>
  <si>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</si>
  <si>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</si>
  <si>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</si>
  <si>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</si>
  <si>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</si>
  <si>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</si>
  <si>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</si>
  <si>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</si>
  <si>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</si>
  <si>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</si>
  <si>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</si>
  <si>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</si>
  <si>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</si>
  <si>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</si>
  <si>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</si>
  <si>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</si>
  <si>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</si>
  <si>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</si>
  <si>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</si>
  <si>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</si>
  <si>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</si>
  <si>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</si>
  <si>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</si>
  <si>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</si>
  <si>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</si>
  <si>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</si>
  <si>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</si>
  <si>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</si>
  <si>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</si>
  <si>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</si>
  <si>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</si>
  <si>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</si>
  <si>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</si>
  <si>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</si>
  <si>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</si>
  <si>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</si>
  <si>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</si>
  <si>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</si>
  <si>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</si>
  <si>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</si>
  <si>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</si>
  <si>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</si>
  <si>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</si>
  <si>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</si>
  <si>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</si>
  <si>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</si>
  <si>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</si>
  <si>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</si>
  <si>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</si>
  <si>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</si>
  <si>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</si>
  <si>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</si>
  <si>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</si>
  <si>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</si>
  <si>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</si>
  <si>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</si>
  <si>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</si>
  <si>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</si>
  <si>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</si>
  <si>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</si>
  <si>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</si>
  <si>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</si>
  <si>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</si>
  <si>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</si>
  <si>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</si>
  <si>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</si>
  <si>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</si>
  <si>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</si>
  <si>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</si>
  <si>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</si>
  <si>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</si>
  <si>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</si>
  <si>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</si>
  <si>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</si>
  <si>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</si>
  <si>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</si>
  <si>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</si>
  <si>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</si>
  <si>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</si>
  <si>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</si>
  <si>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</si>
  <si>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</si>
  <si>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</si>
  <si>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</si>
  <si>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</si>
  <si>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</si>
  <si>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</si>
  <si>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</si>
  <si>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</si>
  <si>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</si>
  <si>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</si>
  <si>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</si>
  <si>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</si>
  <si>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</si>
  <si>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</si>
  <si>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</si>
  <si>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</si>
  <si>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</si>
  <si>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</si>
  <si>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</si>
  <si>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</si>
  <si>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</si>
  <si>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</si>
  <si>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</si>
  <si>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</si>
  <si>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</si>
  <si>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</si>
  <si>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</si>
  <si>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</si>
  <si>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</si>
  <si>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</si>
  <si>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</si>
  <si>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</si>
  <si>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</si>
  <si>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</si>
  <si>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</si>
  <si>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</si>
  <si>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</si>
  <si>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</si>
  <si>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</si>
  <si>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</si>
  <si>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</si>
  <si>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</si>
  <si>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</si>
  <si>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</si>
  <si>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</si>
  <si>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</si>
  <si>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</si>
  <si>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</si>
  <si>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</si>
  <si>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</si>
  <si>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</si>
  <si>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</si>
  <si>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</si>
  <si>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</si>
  <si>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</si>
  <si>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</si>
  <si>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</si>
  <si>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</si>
  <si>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</si>
  <si>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</si>
  <si>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</si>
  <si>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</si>
  <si>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</si>
  <si>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</si>
  <si>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</si>
  <si>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</si>
  <si>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</si>
  <si>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</si>
  <si>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</si>
  <si>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</si>
  <si>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</si>
  <si>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</si>
  <si>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</si>
  <si>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</si>
  <si>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</si>
  <si>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</si>
  <si>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</si>
  <si>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</si>
  <si>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</si>
  <si>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</si>
  <si>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</si>
  <si>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</si>
  <si>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</si>
  <si>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</si>
  <si>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</si>
  <si>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</si>
  <si>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</si>
  <si>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</si>
  <si>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</si>
  <si>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</si>
  <si>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</si>
  <si>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</si>
  <si>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</si>
  <si>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</si>
  <si>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</si>
  <si>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</si>
  <si>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</si>
  <si>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</si>
  <si>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</si>
  <si>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</si>
  <si>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</si>
  <si>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</si>
  <si>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</si>
  <si>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</si>
  <si>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</si>
  <si>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</si>
  <si>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</si>
  <si>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</si>
  <si>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</si>
  <si>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</si>
  <si>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</si>
  <si>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</si>
  <si>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</si>
  <si>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</si>
  <si>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</si>
  <si>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</si>
  <si>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</si>
  <si>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</si>
  <si>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</si>
  <si>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</si>
  <si>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</si>
  <si>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</si>
  <si>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</si>
  <si>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</si>
  <si>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</si>
  <si>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</si>
  <si>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</si>
  <si>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</si>
  <si>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</si>
  <si>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</si>
  <si>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</si>
  <si>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</si>
  <si>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</si>
  <si>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</si>
  <si>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</si>
  <si>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</si>
  <si>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</si>
  <si>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</si>
  <si>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</si>
  <si>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</si>
  <si>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</si>
  <si>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</si>
  <si>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</si>
  <si>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</si>
  <si>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</si>
  <si>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</si>
  <si>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</si>
  <si>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</si>
  <si>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</si>
  <si>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</si>
  <si>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</si>
  <si>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</si>
  <si>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</si>
  <si>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</si>
  <si>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</si>
  <si>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</si>
  <si>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</si>
  <si>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</si>
  <si>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</si>
  <si>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</si>
  <si>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</si>
  <si>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</si>
  <si>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</si>
  <si>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</si>
  <si>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</si>
  <si>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</si>
  <si>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</si>
  <si>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</si>
  <si>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</si>
  <si>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</si>
  <si>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</si>
  <si>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</si>
  <si>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</si>
  <si>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</si>
  <si>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</si>
  <si>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</si>
  <si>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</si>
  <si>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</si>
  <si>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</si>
  <si>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</si>
  <si>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</si>
  <si>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</si>
  <si>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</si>
  <si>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</si>
  <si>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</si>
  <si>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</si>
  <si>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</si>
  <si>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</si>
  <si>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</si>
  <si>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</si>
  <si>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</si>
  <si>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</si>
  <si>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</si>
  <si>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</si>
  <si>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</si>
  <si>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</si>
  <si>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</si>
  <si>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</si>
  <si>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</si>
  <si>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</si>
  <si>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</si>
  <si>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</si>
  <si>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</si>
  <si>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</si>
  <si>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</si>
  <si>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</si>
  <si>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</si>
  <si>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</si>
  <si>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</si>
  <si>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</si>
  <si>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37011</t>
  </si>
  <si>
    <t>PITTEM</t>
  </si>
  <si>
    <t>Fluvius</t>
  </si>
  <si>
    <t>referentietaak LNE (2017); Jaarverslag De Lijn</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</si>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</sst>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61919.666696509339</c:v>
                </c:pt>
                <c:pt idx="1">
                  <c:v>29005.083006705358</c:v>
                </c:pt>
                <c:pt idx="2">
                  <c:v>621.53200000000004</c:v>
                </c:pt>
                <c:pt idx="3">
                  <c:v>118406.78379570812</c:v>
                </c:pt>
                <c:pt idx="4">
                  <c:v>15809.881880629069</c:v>
                </c:pt>
                <c:pt idx="5">
                  <c:v>56992.786813259474</c:v>
                </c:pt>
                <c:pt idx="6">
                  <c:v>627.57646544017337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61919.666696509339</c:v>
                </c:pt>
                <c:pt idx="1">
                  <c:v>29005.083006705358</c:v>
                </c:pt>
                <c:pt idx="2">
                  <c:v>621.53200000000004</c:v>
                </c:pt>
                <c:pt idx="3">
                  <c:v>118406.78379570812</c:v>
                </c:pt>
                <c:pt idx="4">
                  <c:v>15809.881880629069</c:v>
                </c:pt>
                <c:pt idx="5">
                  <c:v>56992.786813259474</c:v>
                </c:pt>
                <c:pt idx="6">
                  <c:v>627.57646544017337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8920.6046773909948</c:v>
                </c:pt>
                <c:pt idx="2">
                  <c:v>3227.1249126832836</c:v>
                </c:pt>
                <c:pt idx="3">
                  <c:v>0.84578720031686061</c:v>
                </c:pt>
                <c:pt idx="4">
                  <c:v>10548.397323353591</c:v>
                </c:pt>
                <c:pt idx="5">
                  <c:v>1424.7683788293307</c:v>
                </c:pt>
                <c:pt idx="6">
                  <c:v>14272.787361222354</c:v>
                </c:pt>
                <c:pt idx="7">
                  <c:v>158.55819123807024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8920.6046773909948</c:v>
                </c:pt>
                <c:pt idx="2">
                  <c:v>3227.1249126832836</c:v>
                </c:pt>
                <c:pt idx="3">
                  <c:v>0.84578720031686061</c:v>
                </c:pt>
                <c:pt idx="4">
                  <c:v>10548.397323353591</c:v>
                </c:pt>
                <c:pt idx="5">
                  <c:v>1424.7683788293307</c:v>
                </c:pt>
                <c:pt idx="6">
                  <c:v>14272.787361222354</c:v>
                </c:pt>
                <c:pt idx="7">
                  <c:v>158.55819123807024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37011</v>
      </c>
      <c r="B6" s="390"/>
      <c r="C6" s="391"/>
    </row>
    <row r="7" spans="1:7" s="388" customFormat="1" ht="15.75" customHeight="1">
      <c r="A7" s="392" t="str">
        <f>txtMunicipality</f>
        <v>PITTEM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1.3608103851722206E-3</v>
      </c>
      <c r="C17" s="498">
        <f ca="1">'EF ele_warmte'!B22</f>
        <v>1.5151921047132767E-3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1.3608103851722206E-3</v>
      </c>
      <c r="C29" s="499">
        <f ca="1">'EF ele_warmte'!B22</f>
        <v>1.5151921047132767E-3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2719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2503.89</v>
      </c>
      <c r="C14" s="330"/>
      <c r="D14" s="330"/>
      <c r="E14" s="330"/>
      <c r="F14" s="330"/>
    </row>
    <row r="15" spans="1:6">
      <c r="A15" s="1293" t="s">
        <v>183</v>
      </c>
      <c r="B15" s="1294">
        <v>23</v>
      </c>
      <c r="C15" s="330"/>
      <c r="D15" s="330"/>
      <c r="E15" s="330"/>
      <c r="F15" s="330"/>
    </row>
    <row r="16" spans="1:6">
      <c r="A16" s="1293" t="s">
        <v>6</v>
      </c>
      <c r="B16" s="1294">
        <v>652</v>
      </c>
      <c r="C16" s="330"/>
      <c r="D16" s="330"/>
      <c r="E16" s="330"/>
      <c r="F16" s="330"/>
    </row>
    <row r="17" spans="1:6">
      <c r="A17" s="1293" t="s">
        <v>7</v>
      </c>
      <c r="B17" s="1294">
        <v>892</v>
      </c>
      <c r="C17" s="330"/>
      <c r="D17" s="330"/>
      <c r="E17" s="330"/>
      <c r="F17" s="330"/>
    </row>
    <row r="18" spans="1:6">
      <c r="A18" s="1293" t="s">
        <v>8</v>
      </c>
      <c r="B18" s="1294">
        <v>1044</v>
      </c>
      <c r="C18" s="330"/>
      <c r="D18" s="330"/>
      <c r="E18" s="330"/>
      <c r="F18" s="330"/>
    </row>
    <row r="19" spans="1:6">
      <c r="A19" s="1293" t="s">
        <v>9</v>
      </c>
      <c r="B19" s="1294">
        <v>982</v>
      </c>
      <c r="C19" s="330"/>
      <c r="D19" s="330"/>
      <c r="E19" s="330"/>
      <c r="F19" s="330"/>
    </row>
    <row r="20" spans="1:6">
      <c r="A20" s="1293" t="s">
        <v>10</v>
      </c>
      <c r="B20" s="1294">
        <v>654</v>
      </c>
      <c r="C20" s="330"/>
      <c r="D20" s="330"/>
      <c r="E20" s="330"/>
      <c r="F20" s="330"/>
    </row>
    <row r="21" spans="1:6">
      <c r="A21" s="1293" t="s">
        <v>11</v>
      </c>
      <c r="B21" s="1294">
        <v>43699</v>
      </c>
      <c r="C21" s="330"/>
      <c r="D21" s="330"/>
      <c r="E21" s="330"/>
      <c r="F21" s="330"/>
    </row>
    <row r="22" spans="1:6">
      <c r="A22" s="1293" t="s">
        <v>12</v>
      </c>
      <c r="B22" s="1294">
        <v>68401</v>
      </c>
      <c r="C22" s="330"/>
      <c r="D22" s="330"/>
      <c r="E22" s="330"/>
      <c r="F22" s="330"/>
    </row>
    <row r="23" spans="1:6">
      <c r="A23" s="1293" t="s">
        <v>13</v>
      </c>
      <c r="B23" s="1294">
        <v>2248</v>
      </c>
      <c r="C23" s="330"/>
      <c r="D23" s="330"/>
      <c r="E23" s="330"/>
      <c r="F23" s="330"/>
    </row>
    <row r="24" spans="1:6">
      <c r="A24" s="1293" t="s">
        <v>14</v>
      </c>
      <c r="B24" s="1294">
        <v>94</v>
      </c>
      <c r="C24" s="330"/>
      <c r="D24" s="330"/>
      <c r="E24" s="330"/>
      <c r="F24" s="330"/>
    </row>
    <row r="25" spans="1:6">
      <c r="A25" s="1293" t="s">
        <v>15</v>
      </c>
      <c r="B25" s="1294">
        <v>10307</v>
      </c>
      <c r="C25" s="330"/>
      <c r="D25" s="330"/>
      <c r="E25" s="330"/>
      <c r="F25" s="330"/>
    </row>
    <row r="26" spans="1:6">
      <c r="A26" s="1293" t="s">
        <v>16</v>
      </c>
      <c r="B26" s="1294">
        <v>201</v>
      </c>
      <c r="C26" s="330"/>
      <c r="D26" s="330"/>
      <c r="E26" s="330"/>
      <c r="F26" s="330"/>
    </row>
    <row r="27" spans="1:6">
      <c r="A27" s="1293" t="s">
        <v>17</v>
      </c>
      <c r="B27" s="1294">
        <v>0</v>
      </c>
      <c r="C27" s="330"/>
      <c r="D27" s="330"/>
      <c r="E27" s="330"/>
      <c r="F27" s="330"/>
    </row>
    <row r="28" spans="1:6" s="43" customFormat="1">
      <c r="A28" s="1295" t="s">
        <v>18</v>
      </c>
      <c r="B28" s="1296">
        <v>199977</v>
      </c>
      <c r="C28" s="336"/>
      <c r="D28" s="336"/>
      <c r="E28" s="336"/>
      <c r="F28" s="336"/>
    </row>
    <row r="29" spans="1:6">
      <c r="A29" s="1295" t="s">
        <v>734</v>
      </c>
      <c r="B29" s="1296">
        <v>90</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6</v>
      </c>
      <c r="F36" s="1294">
        <v>33261.999979009997</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3215.4542322779998</v>
      </c>
    </row>
    <row r="39" spans="1:6">
      <c r="A39" s="1293" t="s">
        <v>29</v>
      </c>
      <c r="B39" s="1293" t="s">
        <v>30</v>
      </c>
      <c r="C39" s="1294">
        <v>1551</v>
      </c>
      <c r="D39" s="1294">
        <v>24648654.360481702</v>
      </c>
      <c r="E39" s="1294">
        <v>2407</v>
      </c>
      <c r="F39" s="1294">
        <v>9420471.6161369495</v>
      </c>
    </row>
    <row r="40" spans="1:6">
      <c r="A40" s="1293" t="s">
        <v>29</v>
      </c>
      <c r="B40" s="1293" t="s">
        <v>28</v>
      </c>
      <c r="C40" s="1294">
        <v>0</v>
      </c>
      <c r="D40" s="1294">
        <v>0</v>
      </c>
      <c r="E40" s="1294">
        <v>0</v>
      </c>
      <c r="F40" s="1294">
        <v>0</v>
      </c>
    </row>
    <row r="41" spans="1:6">
      <c r="A41" s="1293" t="s">
        <v>31</v>
      </c>
      <c r="B41" s="1293" t="s">
        <v>32</v>
      </c>
      <c r="C41" s="1294">
        <v>33</v>
      </c>
      <c r="D41" s="1294">
        <v>760869.41521565896</v>
      </c>
      <c r="E41" s="1294">
        <v>84</v>
      </c>
      <c r="F41" s="1294">
        <v>1404183.15895176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60099.970375355602</v>
      </c>
      <c r="E44" s="1294">
        <v>25</v>
      </c>
      <c r="F44" s="1294">
        <v>784882.21243243304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24</v>
      </c>
      <c r="D48" s="1294">
        <v>1952381.0647481999</v>
      </c>
      <c r="E48" s="1294">
        <v>48</v>
      </c>
      <c r="F48" s="1294">
        <v>6696267.6017296501</v>
      </c>
    </row>
    <row r="49" spans="1:6">
      <c r="A49" s="1293" t="s">
        <v>31</v>
      </c>
      <c r="B49" s="1293" t="s">
        <v>39</v>
      </c>
      <c r="C49" s="1294">
        <v>0</v>
      </c>
      <c r="D49" s="1294">
        <v>0</v>
      </c>
      <c r="E49" s="1294">
        <v>0</v>
      </c>
      <c r="F49" s="1294">
        <v>0</v>
      </c>
    </row>
    <row r="50" spans="1:6">
      <c r="A50" s="1293" t="s">
        <v>31</v>
      </c>
      <c r="B50" s="1293" t="s">
        <v>40</v>
      </c>
      <c r="C50" s="1294">
        <v>4</v>
      </c>
      <c r="D50" s="1294">
        <v>220737.88107795999</v>
      </c>
      <c r="E50" s="1294">
        <v>6</v>
      </c>
      <c r="F50" s="1294">
        <v>258046.11708459799</v>
      </c>
    </row>
    <row r="51" spans="1:6">
      <c r="A51" s="1293" t="s">
        <v>41</v>
      </c>
      <c r="B51" s="1293" t="s">
        <v>42</v>
      </c>
      <c r="C51" s="1294">
        <v>17</v>
      </c>
      <c r="D51" s="1294">
        <v>1924870.6520072301</v>
      </c>
      <c r="E51" s="1294">
        <v>198</v>
      </c>
      <c r="F51" s="1294">
        <v>8349056.7906239498</v>
      </c>
    </row>
    <row r="52" spans="1:6">
      <c r="A52" s="1293" t="s">
        <v>41</v>
      </c>
      <c r="B52" s="1293" t="s">
        <v>28</v>
      </c>
      <c r="C52" s="1294">
        <v>6</v>
      </c>
      <c r="D52" s="1294">
        <v>2370914.99030763</v>
      </c>
      <c r="E52" s="1294">
        <v>3</v>
      </c>
      <c r="F52" s="1294">
        <v>49982.963800565798</v>
      </c>
    </row>
    <row r="53" spans="1:6">
      <c r="A53" s="1293" t="s">
        <v>43</v>
      </c>
      <c r="B53" s="1293" t="s">
        <v>44</v>
      </c>
      <c r="C53" s="1294">
        <v>32</v>
      </c>
      <c r="D53" s="1294">
        <v>580935.84234997304</v>
      </c>
      <c r="E53" s="1294">
        <v>75</v>
      </c>
      <c r="F53" s="1294">
        <v>587315.62201985798</v>
      </c>
    </row>
    <row r="54" spans="1:6">
      <c r="A54" s="1293" t="s">
        <v>45</v>
      </c>
      <c r="B54" s="1293" t="s">
        <v>46</v>
      </c>
      <c r="C54" s="1294">
        <v>0</v>
      </c>
      <c r="D54" s="1294">
        <v>0</v>
      </c>
      <c r="E54" s="1294">
        <v>1</v>
      </c>
      <c r="F54" s="1294">
        <v>621532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v>
      </c>
      <c r="D57" s="1294">
        <v>745922.26604580099</v>
      </c>
      <c r="E57" s="1294">
        <v>64</v>
      </c>
      <c r="F57" s="1294">
        <v>1760492.5444493799</v>
      </c>
    </row>
    <row r="58" spans="1:6">
      <c r="A58" s="1293" t="s">
        <v>48</v>
      </c>
      <c r="B58" s="1293" t="s">
        <v>50</v>
      </c>
      <c r="C58" s="1294">
        <v>13</v>
      </c>
      <c r="D58" s="1294">
        <v>1350574.48329285</v>
      </c>
      <c r="E58" s="1294">
        <v>20</v>
      </c>
      <c r="F58" s="1294">
        <v>383355.90069531399</v>
      </c>
    </row>
    <row r="59" spans="1:6">
      <c r="A59" s="1293" t="s">
        <v>48</v>
      </c>
      <c r="B59" s="1293" t="s">
        <v>51</v>
      </c>
      <c r="C59" s="1294">
        <v>41</v>
      </c>
      <c r="D59" s="1294">
        <v>4871393.0034702001</v>
      </c>
      <c r="E59" s="1294">
        <v>97</v>
      </c>
      <c r="F59" s="1294">
        <v>4703611.3976467596</v>
      </c>
    </row>
    <row r="60" spans="1:6">
      <c r="A60" s="1293" t="s">
        <v>48</v>
      </c>
      <c r="B60" s="1293" t="s">
        <v>52</v>
      </c>
      <c r="C60" s="1294">
        <v>20</v>
      </c>
      <c r="D60" s="1294">
        <v>928684.29248560104</v>
      </c>
      <c r="E60" s="1294">
        <v>30</v>
      </c>
      <c r="F60" s="1294">
        <v>780250.31555259204</v>
      </c>
    </row>
    <row r="61" spans="1:6">
      <c r="A61" s="1293" t="s">
        <v>48</v>
      </c>
      <c r="B61" s="1293" t="s">
        <v>53</v>
      </c>
      <c r="C61" s="1294">
        <v>35</v>
      </c>
      <c r="D61" s="1294">
        <v>1565427.2227545499</v>
      </c>
      <c r="E61" s="1294">
        <v>78</v>
      </c>
      <c r="F61" s="1294">
        <v>2000303.35931996</v>
      </c>
    </row>
    <row r="62" spans="1:6">
      <c r="A62" s="1293" t="s">
        <v>48</v>
      </c>
      <c r="B62" s="1293" t="s">
        <v>54</v>
      </c>
      <c r="C62" s="1294">
        <v>4</v>
      </c>
      <c r="D62" s="1294">
        <v>456472.8732501</v>
      </c>
      <c r="E62" s="1294">
        <v>4</v>
      </c>
      <c r="F62" s="1294">
        <v>40455.814857126599</v>
      </c>
    </row>
    <row r="63" spans="1:6">
      <c r="A63" s="1293" t="s">
        <v>48</v>
      </c>
      <c r="B63" s="1293" t="s">
        <v>28</v>
      </c>
      <c r="C63" s="1294">
        <v>54</v>
      </c>
      <c r="D63" s="1294">
        <v>4138039.85199431</v>
      </c>
      <c r="E63" s="1294">
        <v>78</v>
      </c>
      <c r="F63" s="1294">
        <v>2428943.9137218702</v>
      </c>
    </row>
    <row r="64" spans="1:6">
      <c r="A64" s="1293" t="s">
        <v>55</v>
      </c>
      <c r="B64" s="1293" t="s">
        <v>56</v>
      </c>
      <c r="C64" s="1294">
        <v>0</v>
      </c>
      <c r="D64" s="1294">
        <v>0</v>
      </c>
      <c r="E64" s="1294">
        <v>0</v>
      </c>
      <c r="F64" s="1294">
        <v>0</v>
      </c>
    </row>
    <row r="65" spans="1:6">
      <c r="A65" s="1293" t="s">
        <v>55</v>
      </c>
      <c r="B65" s="1293" t="s">
        <v>28</v>
      </c>
      <c r="C65" s="1294">
        <v>1</v>
      </c>
      <c r="D65" s="1294">
        <v>244437.153091313</v>
      </c>
      <c r="E65" s="1294">
        <v>0</v>
      </c>
      <c r="F65" s="1294">
        <v>0</v>
      </c>
    </row>
    <row r="66" spans="1:6">
      <c r="A66" s="1293" t="s">
        <v>55</v>
      </c>
      <c r="B66" s="1293" t="s">
        <v>57</v>
      </c>
      <c r="C66" s="1294">
        <v>0</v>
      </c>
      <c r="D66" s="1294">
        <v>0</v>
      </c>
      <c r="E66" s="1294">
        <v>8</v>
      </c>
      <c r="F66" s="1294">
        <v>104351.06317064801</v>
      </c>
    </row>
    <row r="67" spans="1:6">
      <c r="A67" s="1295" t="s">
        <v>55</v>
      </c>
      <c r="B67" s="1295" t="s">
        <v>58</v>
      </c>
      <c r="C67" s="1294">
        <v>0</v>
      </c>
      <c r="D67" s="1294">
        <v>0</v>
      </c>
      <c r="E67" s="1294">
        <v>0</v>
      </c>
      <c r="F67" s="1294">
        <v>0</v>
      </c>
    </row>
    <row r="68" spans="1:6">
      <c r="A68" s="1288" t="s">
        <v>55</v>
      </c>
      <c r="B68" s="1288" t="s">
        <v>59</v>
      </c>
      <c r="C68" s="1297">
        <v>4</v>
      </c>
      <c r="D68" s="1297">
        <v>106887.885995666</v>
      </c>
      <c r="E68" s="1297">
        <v>18</v>
      </c>
      <c r="F68" s="1297">
        <v>241722.18514006399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47304618</v>
      </c>
      <c r="E73" s="449"/>
      <c r="F73" s="330"/>
    </row>
    <row r="74" spans="1:6">
      <c r="A74" s="1293" t="s">
        <v>63</v>
      </c>
      <c r="B74" s="1293" t="s">
        <v>656</v>
      </c>
      <c r="C74" s="1307" t="s">
        <v>658</v>
      </c>
      <c r="D74" s="1308">
        <v>5402415</v>
      </c>
      <c r="E74" s="449"/>
      <c r="F74" s="330"/>
    </row>
    <row r="75" spans="1:6">
      <c r="A75" s="1293" t="s">
        <v>64</v>
      </c>
      <c r="B75" s="1293" t="s">
        <v>655</v>
      </c>
      <c r="C75" s="1307" t="s">
        <v>659</v>
      </c>
      <c r="D75" s="1308">
        <v>9428841</v>
      </c>
      <c r="E75" s="449"/>
      <c r="F75" s="330"/>
    </row>
    <row r="76" spans="1:6">
      <c r="A76" s="1293" t="s">
        <v>64</v>
      </c>
      <c r="B76" s="1293" t="s">
        <v>656</v>
      </c>
      <c r="C76" s="1307" t="s">
        <v>660</v>
      </c>
      <c r="D76" s="1308">
        <v>1236566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171160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2382.3131933386858</v>
      </c>
      <c r="C91" s="330"/>
      <c r="D91" s="330"/>
      <c r="E91" s="330"/>
      <c r="F91" s="330"/>
    </row>
    <row r="92" spans="1:6">
      <c r="A92" s="1288" t="s">
        <v>68</v>
      </c>
      <c r="B92" s="1289">
        <v>3222.6602312434275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1016</v>
      </c>
      <c r="C97" s="330"/>
      <c r="D97" s="330"/>
      <c r="E97" s="330"/>
      <c r="F97" s="330"/>
    </row>
    <row r="98" spans="1:6">
      <c r="A98" s="1293" t="s">
        <v>71</v>
      </c>
      <c r="B98" s="1294">
        <v>1</v>
      </c>
      <c r="C98" s="330"/>
      <c r="D98" s="330"/>
      <c r="E98" s="330"/>
      <c r="F98" s="330"/>
    </row>
    <row r="99" spans="1:6">
      <c r="A99" s="1293" t="s">
        <v>72</v>
      </c>
      <c r="B99" s="1294">
        <v>73</v>
      </c>
      <c r="C99" s="330"/>
      <c r="D99" s="330"/>
      <c r="E99" s="330"/>
      <c r="F99" s="330"/>
    </row>
    <row r="100" spans="1:6">
      <c r="A100" s="1293" t="s">
        <v>73</v>
      </c>
      <c r="B100" s="1294">
        <v>183</v>
      </c>
      <c r="C100" s="330"/>
      <c r="D100" s="330"/>
      <c r="E100" s="330"/>
      <c r="F100" s="330"/>
    </row>
    <row r="101" spans="1:6">
      <c r="A101" s="1293" t="s">
        <v>74</v>
      </c>
      <c r="B101" s="1294">
        <v>65</v>
      </c>
      <c r="C101" s="330"/>
      <c r="D101" s="330"/>
      <c r="E101" s="330"/>
      <c r="F101" s="330"/>
    </row>
    <row r="102" spans="1:6">
      <c r="A102" s="1293" t="s">
        <v>75</v>
      </c>
      <c r="B102" s="1294">
        <v>48</v>
      </c>
      <c r="C102" s="330"/>
      <c r="D102" s="330"/>
      <c r="E102" s="330"/>
      <c r="F102" s="330"/>
    </row>
    <row r="103" spans="1:6">
      <c r="A103" s="1293" t="s">
        <v>76</v>
      </c>
      <c r="B103" s="1294">
        <v>98</v>
      </c>
      <c r="C103" s="330"/>
      <c r="D103" s="330"/>
      <c r="E103" s="330"/>
      <c r="F103" s="330"/>
    </row>
    <row r="104" spans="1:6">
      <c r="A104" s="1293" t="s">
        <v>77</v>
      </c>
      <c r="B104" s="1294">
        <v>920</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31</v>
      </c>
      <c r="C123" s="1294">
        <v>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58</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42670.438222424069</v>
      </c>
      <c r="C3" s="43" t="s">
        <v>169</v>
      </c>
      <c r="D3" s="43"/>
      <c r="E3" s="154"/>
      <c r="F3" s="43"/>
      <c r="G3" s="43"/>
      <c r="H3" s="43"/>
      <c r="I3" s="43"/>
      <c r="J3" s="43"/>
      <c r="K3" s="96"/>
    </row>
    <row r="4" spans="1:11">
      <c r="A4" s="358" t="s">
        <v>170</v>
      </c>
      <c r="B4" s="49">
        <f>IF(ISERROR('SEAP template'!B78+'SEAP template'!C78),0,'SEAP template'!B78+'SEAP template'!C78)</f>
        <v>55010.473424582116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74.858823529411794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1.3608103851722206E-3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106.94117647058827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70579.28571428571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1.5151921047132767E-3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621.53200000000004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621.53200000000004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1.3608103851722206E-3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0.84578720031686061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9420.4716161369488</v>
      </c>
      <c r="C5" s="17">
        <f>IF(ISERROR('Eigen informatie GS &amp; warmtenet'!B57),0,'Eigen informatie GS &amp; warmtenet'!B57)</f>
        <v>0</v>
      </c>
      <c r="D5" s="30">
        <f>(SUM(HH_hh_gas_kWh,HH_rest_gas_kWh)/1000)*0.902</f>
        <v>22233.086233154496</v>
      </c>
      <c r="E5" s="17">
        <f>B46*B57</f>
        <v>7744.0318169109496</v>
      </c>
      <c r="F5" s="17">
        <f>B51*B62</f>
        <v>9146.9045777255033</v>
      </c>
      <c r="G5" s="18"/>
      <c r="H5" s="17"/>
      <c r="I5" s="17"/>
      <c r="J5" s="17">
        <f>B50*B61+C50*C61</f>
        <v>602.6586481909726</v>
      </c>
      <c r="K5" s="17"/>
      <c r="L5" s="17"/>
      <c r="M5" s="17"/>
      <c r="N5" s="17">
        <f>B48*B59+C48*C59</f>
        <v>9503.7239443851267</v>
      </c>
      <c r="O5" s="17">
        <f>B69*B70*B71</f>
        <v>104.74333333333335</v>
      </c>
      <c r="P5" s="17">
        <f>B77*B78*B79/1000-B77*B78*B79/1000/B80</f>
        <v>781.73333333333335</v>
      </c>
    </row>
    <row r="6" spans="1:16">
      <c r="A6" s="16" t="s">
        <v>620</v>
      </c>
      <c r="B6" s="762">
        <f>kWh_PV_kleiner_dan_10kW</f>
        <v>2382.3131933386858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11802.784809475634</v>
      </c>
      <c r="C8" s="21">
        <f>C5</f>
        <v>0</v>
      </c>
      <c r="D8" s="21">
        <f>D5</f>
        <v>22233.086233154496</v>
      </c>
      <c r="E8" s="21">
        <f>E5</f>
        <v>7744.0318169109496</v>
      </c>
      <c r="F8" s="21">
        <f>F5</f>
        <v>9146.9045777255033</v>
      </c>
      <c r="G8" s="21"/>
      <c r="H8" s="21"/>
      <c r="I8" s="21"/>
      <c r="J8" s="21">
        <f>J5</f>
        <v>602.6586481909726</v>
      </c>
      <c r="K8" s="21"/>
      <c r="L8" s="21">
        <f>L5</f>
        <v>0</v>
      </c>
      <c r="M8" s="21">
        <f>M5</f>
        <v>0</v>
      </c>
      <c r="N8" s="21">
        <f>N5</f>
        <v>9503.7239443851267</v>
      </c>
      <c r="O8" s="21">
        <f>O5</f>
        <v>104.74333333333335</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1.3608103851722206E-3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16.061352142687372</v>
      </c>
      <c r="C12" s="23">
        <f ca="1">C10*C8</f>
        <v>0</v>
      </c>
      <c r="D12" s="23">
        <f>D8*D10</f>
        <v>4491.0834190972082</v>
      </c>
      <c r="E12" s="23">
        <f>E10*E8</f>
        <v>1757.8952224387856</v>
      </c>
      <c r="F12" s="23">
        <f>F10*F8</f>
        <v>2442.2235222527097</v>
      </c>
      <c r="G12" s="23"/>
      <c r="H12" s="23"/>
      <c r="I12" s="23"/>
      <c r="J12" s="23">
        <f>J10*J8</f>
        <v>213.34116145960428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22.741433021806852</v>
      </c>
      <c r="D20" s="229"/>
      <c r="E20" s="15"/>
    </row>
    <row r="21" spans="1:7">
      <c r="A21" s="171" t="s">
        <v>73</v>
      </c>
      <c r="B21" s="37">
        <f>aantalw2001_elektriciteit</f>
        <v>183</v>
      </c>
      <c r="C21" s="167">
        <f>IF(ISERROR(B21/SUM($B$20,$B$21,$B$22)*100),0,B21/SUM($B$20,$B$21,$B$22)*100)</f>
        <v>57.009345794392516</v>
      </c>
      <c r="D21" s="229"/>
      <c r="E21" s="15"/>
    </row>
    <row r="22" spans="1:7">
      <c r="A22" s="171" t="s">
        <v>74</v>
      </c>
      <c r="B22" s="37">
        <f>aantalw2001_hout</f>
        <v>65</v>
      </c>
      <c r="C22" s="167">
        <f>IF(ISERROR(B22/SUM($B$20,$B$21,$B$22)*100),0,B22/SUM($B$20,$B$21,$B$22)*100)</f>
        <v>20.249221183800621</v>
      </c>
      <c r="D22" s="229"/>
      <c r="E22" s="15"/>
    </row>
    <row r="23" spans="1:7">
      <c r="A23" s="171" t="s">
        <v>75</v>
      </c>
      <c r="B23" s="37">
        <f>aantalw2001_niet_gespec</f>
        <v>48</v>
      </c>
      <c r="C23" s="166" t="s">
        <v>110</v>
      </c>
      <c r="D23" s="228"/>
      <c r="E23" s="15"/>
    </row>
    <row r="24" spans="1:7">
      <c r="A24" s="171" t="s">
        <v>76</v>
      </c>
      <c r="B24" s="37">
        <f>aantalw2001_steenkool</f>
        <v>98</v>
      </c>
      <c r="C24" s="166" t="s">
        <v>110</v>
      </c>
      <c r="D24" s="229"/>
      <c r="E24" s="15"/>
    </row>
    <row r="25" spans="1:7">
      <c r="A25" s="171" t="s">
        <v>77</v>
      </c>
      <c r="B25" s="37">
        <f>aantalw2001_stookolie</f>
        <v>920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2719</v>
      </c>
      <c r="C28" s="36"/>
      <c r="D28" s="228"/>
    </row>
    <row r="29" spans="1:7" s="15" customFormat="1">
      <c r="A29" s="230" t="s">
        <v>781</v>
      </c>
      <c r="B29" s="37">
        <f>SUM(HH_hh_gas_aantal,HH_rest_gas_aantal)</f>
        <v>1551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1551</v>
      </c>
      <c r="C32" s="167">
        <f>IF(ISERROR(B32/SUM($B$32,$B$34,$B$35,$B$36,$B$38,$B$39)*100),0,B32/SUM($B$32,$B$34,$B$35,$B$36,$B$38,$B$39)*100)</f>
        <v>57.916355489171025</v>
      </c>
      <c r="D32" s="233"/>
      <c r="G32" s="15"/>
    </row>
    <row r="33" spans="1:7">
      <c r="A33" s="171" t="s">
        <v>71</v>
      </c>
      <c r="B33" s="34" t="s">
        <v>110</v>
      </c>
      <c r="C33" s="167"/>
      <c r="D33" s="233"/>
      <c r="G33" s="15"/>
    </row>
    <row r="34" spans="1:7">
      <c r="A34" s="171" t="s">
        <v>72</v>
      </c>
      <c r="B34" s="33">
        <f>IF((($B$28-$B$32-$B$39-$B$77-$B$38)*C20/100)&lt;0,0,($B$28-$B$32-$B$39-$B$77-$B$38)*C20/100)</f>
        <v>146.45482866043614</v>
      </c>
      <c r="C34" s="167">
        <f>IF(ISERROR(B34/SUM($B$32,$B$34,$B$35,$B$36,$B$38,$B$39)*100),0,B34/SUM($B$32,$B$34,$B$35,$B$36,$B$38,$B$39)*100)</f>
        <v>5.4688136168945531</v>
      </c>
      <c r="D34" s="233"/>
      <c r="G34" s="15"/>
    </row>
    <row r="35" spans="1:7">
      <c r="A35" s="171" t="s">
        <v>73</v>
      </c>
      <c r="B35" s="33">
        <f>IF((($B$28-$B$32-$B$39-$B$77-$B$38)*C21/100)&lt;0,0,($B$28-$B$32-$B$39-$B$77-$B$38)*C21/100)</f>
        <v>367.14018691588785</v>
      </c>
      <c r="C35" s="167">
        <f>IF(ISERROR(B35/SUM($B$32,$B$34,$B$35,$B$36,$B$38,$B$39)*100),0,B35/SUM($B$32,$B$34,$B$35,$B$36,$B$38,$B$39)*100)</f>
        <v>13.70949166974936</v>
      </c>
      <c r="D35" s="233"/>
      <c r="G35" s="15"/>
    </row>
    <row r="36" spans="1:7">
      <c r="A36" s="171" t="s">
        <v>74</v>
      </c>
      <c r="B36" s="33">
        <f>IF((($B$28-$B$32-$B$39-$B$77-$B$38)*C22/100)&lt;0,0,($B$28-$B$32-$B$39-$B$77-$B$38)*C22/100)</f>
        <v>130.40498442367598</v>
      </c>
      <c r="C36" s="167">
        <f>IF(ISERROR(B36/SUM($B$32,$B$34,$B$35,$B$36,$B$38,$B$39)*100),0,B36/SUM($B$32,$B$34,$B$35,$B$36,$B$38,$B$39)*100)</f>
        <v>4.8694915766869302</v>
      </c>
      <c r="D36" s="233"/>
      <c r="G36" s="15"/>
    </row>
    <row r="37" spans="1:7">
      <c r="A37" s="171" t="s">
        <v>75</v>
      </c>
      <c r="B37" s="34" t="s">
        <v>110</v>
      </c>
      <c r="C37" s="167"/>
      <c r="D37" s="173"/>
      <c r="G37" s="15"/>
    </row>
    <row r="38" spans="1:7">
      <c r="A38" s="171" t="s">
        <v>76</v>
      </c>
      <c r="B38" s="33">
        <f>IF((B24-(B29-B18)*0.1)&lt;0,0,B24-(B29-B18)*0.1)</f>
        <v>44.5</v>
      </c>
      <c r="C38" s="167">
        <f>IF(ISERROR(B38/SUM($B$32,$B$34,$B$35,$B$36,$B$38,$B$39)*100),0,B38/SUM($B$32,$B$34,$B$35,$B$36,$B$38,$B$39)*100)</f>
        <v>1.6616878267363706</v>
      </c>
      <c r="D38" s="234"/>
      <c r="G38" s="15"/>
    </row>
    <row r="39" spans="1:7">
      <c r="A39" s="171" t="s">
        <v>77</v>
      </c>
      <c r="B39" s="33">
        <f>IF((B25-(B29-B18))&lt;0,0,B25-(B29-B18)*0.9)</f>
        <v>438.5</v>
      </c>
      <c r="C39" s="167">
        <f>IF(ISERROR(B39/SUM($B$32,$B$34,$B$35,$B$36,$B$38,$B$39)*100),0,B39/SUM($B$32,$B$34,$B$35,$B$36,$B$38,$B$39)*100)</f>
        <v>16.374159820761765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1551</v>
      </c>
      <c r="C44" s="34" t="s">
        <v>110</v>
      </c>
      <c r="D44" s="174"/>
    </row>
    <row r="45" spans="1:7">
      <c r="A45" s="171" t="s">
        <v>71</v>
      </c>
      <c r="B45" s="33" t="str">
        <f t="shared" si="0"/>
        <v>-</v>
      </c>
      <c r="C45" s="34" t="s">
        <v>110</v>
      </c>
      <c r="D45" s="174"/>
    </row>
    <row r="46" spans="1:7">
      <c r="A46" s="171" t="s">
        <v>72</v>
      </c>
      <c r="B46" s="33">
        <f t="shared" si="0"/>
        <v>146.45482866043614</v>
      </c>
      <c r="C46" s="34" t="s">
        <v>110</v>
      </c>
      <c r="D46" s="174"/>
    </row>
    <row r="47" spans="1:7">
      <c r="A47" s="171" t="s">
        <v>73</v>
      </c>
      <c r="B47" s="33">
        <f t="shared" si="0"/>
        <v>367.14018691588785</v>
      </c>
      <c r="C47" s="34" t="s">
        <v>110</v>
      </c>
      <c r="D47" s="174"/>
    </row>
    <row r="48" spans="1:7">
      <c r="A48" s="171" t="s">
        <v>74</v>
      </c>
      <c r="B48" s="33">
        <f t="shared" si="0"/>
        <v>130.40498442367598</v>
      </c>
      <c r="C48" s="33">
        <f>B48*10</f>
        <v>1304.0498442367598</v>
      </c>
      <c r="D48" s="234"/>
    </row>
    <row r="49" spans="1:6">
      <c r="A49" s="171" t="s">
        <v>75</v>
      </c>
      <c r="B49" s="33" t="str">
        <f t="shared" si="0"/>
        <v>-</v>
      </c>
      <c r="C49" s="34" t="s">
        <v>110</v>
      </c>
      <c r="D49" s="234"/>
    </row>
    <row r="50" spans="1:6">
      <c r="A50" s="171" t="s">
        <v>76</v>
      </c>
      <c r="B50" s="33">
        <f t="shared" si="0"/>
        <v>44.5</v>
      </c>
      <c r="C50" s="33">
        <f>B50*2</f>
        <v>89</v>
      </c>
      <c r="D50" s="234"/>
    </row>
    <row r="51" spans="1:6">
      <c r="A51" s="171" t="s">
        <v>77</v>
      </c>
      <c r="B51" s="33">
        <f t="shared" si="0"/>
        <v>438.5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12097.413246243003</v>
      </c>
      <c r="C5" s="17">
        <f>IF(ISERROR('Eigen informatie GS &amp; warmtenet'!B58),0,'Eigen informatie GS &amp; warmtenet'!B58)</f>
        <v>0</v>
      </c>
      <c r="D5" s="30">
        <f>SUM(D6:D12)</f>
        <v>12678.975621950658</v>
      </c>
      <c r="E5" s="17">
        <f>SUM(E6:E12)</f>
        <v>214.68043899493949</v>
      </c>
      <c r="F5" s="17">
        <f>SUM(F6:F12)</f>
        <v>2250.0430042629669</v>
      </c>
      <c r="G5" s="18"/>
      <c r="H5" s="17"/>
      <c r="I5" s="17"/>
      <c r="J5" s="17">
        <f>SUM(J6:J12)</f>
        <v>4.4095141184934905E-2</v>
      </c>
      <c r="K5" s="17"/>
      <c r="L5" s="17"/>
      <c r="M5" s="17"/>
      <c r="N5" s="17">
        <f>SUM(N6:N12)</f>
        <v>1744.8599334459439</v>
      </c>
      <c r="O5" s="17">
        <f>B38*B39*B40</f>
        <v>0</v>
      </c>
      <c r="P5" s="17">
        <f>B46*B47*B48/1000-B46*B47*B48/1000/B49</f>
        <v>19.066666666666666</v>
      </c>
      <c r="R5" s="32"/>
    </row>
    <row r="6" spans="1:18">
      <c r="A6" s="32" t="s">
        <v>53</v>
      </c>
      <c r="B6" s="37">
        <f>B26</f>
        <v>2000.30335931996</v>
      </c>
      <c r="C6" s="33"/>
      <c r="D6" s="37">
        <f>IF(ISERROR(TER_kantoor_gas_kWh/1000),0,TER_kantoor_gas_kWh/1000)*0.902</f>
        <v>1412.0153549246043</v>
      </c>
      <c r="E6" s="33">
        <f>$C$26*'E Balans VL '!I12/100/3.6*1000000</f>
        <v>1.2537236165742913E-2</v>
      </c>
      <c r="F6" s="33">
        <f>$C$26*('E Balans VL '!L12+'E Balans VL '!N12)/100/3.6*1000000</f>
        <v>300.58970109912792</v>
      </c>
      <c r="G6" s="34"/>
      <c r="H6" s="33"/>
      <c r="I6" s="33"/>
      <c r="J6" s="33">
        <f>$C$26*('E Balans VL '!D12+'E Balans VL '!E12)/100/3.6*1000000</f>
        <v>0</v>
      </c>
      <c r="K6" s="33"/>
      <c r="L6" s="33"/>
      <c r="M6" s="33"/>
      <c r="N6" s="33">
        <f>$C$26*'E Balans VL '!Y12/100/3.6*1000000</f>
        <v>1.9129935856688698</v>
      </c>
      <c r="O6" s="33"/>
      <c r="P6" s="33"/>
      <c r="R6" s="32"/>
    </row>
    <row r="7" spans="1:18">
      <c r="A7" s="32" t="s">
        <v>52</v>
      </c>
      <c r="B7" s="37">
        <f t="shared" ref="B7:B12" si="0">B27</f>
        <v>780.25031555259204</v>
      </c>
      <c r="C7" s="33"/>
      <c r="D7" s="37">
        <f>IF(ISERROR(TER_horeca_gas_kWh/1000),0,TER_horeca_gas_kWh/1000)*0.902</f>
        <v>837.67323182201221</v>
      </c>
      <c r="E7" s="33">
        <f>$C$27*'E Balans VL '!I9/100/3.6*1000000</f>
        <v>11.173054553820601</v>
      </c>
      <c r="F7" s="33">
        <f>$C$27*('E Balans VL '!L9+'E Balans VL '!N9)/100/3.6*1000000</f>
        <v>98.805423595776048</v>
      </c>
      <c r="G7" s="34"/>
      <c r="H7" s="33"/>
      <c r="I7" s="33"/>
      <c r="J7" s="33">
        <f>$C$27*('E Balans VL '!D9+'E Balans VL '!E9)/100/3.6*1000000</f>
        <v>0</v>
      </c>
      <c r="K7" s="33"/>
      <c r="L7" s="33"/>
      <c r="M7" s="33"/>
      <c r="N7" s="33">
        <f>$C$27*'E Balans VL '!Y9/100/3.6*1000000</f>
        <v>0.22430476267861574</v>
      </c>
      <c r="O7" s="33"/>
      <c r="P7" s="33"/>
      <c r="R7" s="32"/>
    </row>
    <row r="8" spans="1:18">
      <c r="A8" s="6" t="s">
        <v>51</v>
      </c>
      <c r="B8" s="37">
        <f t="shared" si="0"/>
        <v>4703.6113976467595</v>
      </c>
      <c r="C8" s="33"/>
      <c r="D8" s="37">
        <f>IF(ISERROR(TER_handel_gas_kWh/1000),0,TER_handel_gas_kWh/1000)*0.902</f>
        <v>4393.9964891301206</v>
      </c>
      <c r="E8" s="33">
        <f>$C$28*'E Balans VL '!I13/100/3.6*1000000</f>
        <v>170.59940536927635</v>
      </c>
      <c r="F8" s="33">
        <f>$C$28*('E Balans VL '!L13+'E Balans VL '!N13)/100/3.6*1000000</f>
        <v>905.96318228020311</v>
      </c>
      <c r="G8" s="34"/>
      <c r="H8" s="33"/>
      <c r="I8" s="33"/>
      <c r="J8" s="33">
        <f>$C$28*('E Balans VL '!D13+'E Balans VL '!E13)/100/3.6*1000000</f>
        <v>0</v>
      </c>
      <c r="K8" s="33"/>
      <c r="L8" s="33"/>
      <c r="M8" s="33"/>
      <c r="N8" s="33">
        <f>$C$28*'E Balans VL '!Y13/100/3.6*1000000</f>
        <v>6.5155840384563355</v>
      </c>
      <c r="O8" s="33"/>
      <c r="P8" s="33"/>
      <c r="R8" s="32"/>
    </row>
    <row r="9" spans="1:18">
      <c r="A9" s="32" t="s">
        <v>50</v>
      </c>
      <c r="B9" s="37">
        <f t="shared" si="0"/>
        <v>383.35590069531401</v>
      </c>
      <c r="C9" s="33"/>
      <c r="D9" s="37">
        <f>IF(ISERROR(TER_gezond_gas_kWh/1000),0,TER_gezond_gas_kWh/1000)*0.902</f>
        <v>1218.2181839301506</v>
      </c>
      <c r="E9" s="33">
        <f>$C$29*'E Balans VL '!I10/100/3.6*1000000</f>
        <v>2.4001864339254234E-2</v>
      </c>
      <c r="F9" s="33">
        <f>$C$29*('E Balans VL '!L10+'E Balans VL '!N10)/100/3.6*1000000</f>
        <v>56.948686255847548</v>
      </c>
      <c r="G9" s="34"/>
      <c r="H9" s="33"/>
      <c r="I9" s="33"/>
      <c r="J9" s="33">
        <f>$C$29*('E Balans VL '!D10+'E Balans VL '!E10)/100/3.6*1000000</f>
        <v>0</v>
      </c>
      <c r="K9" s="33"/>
      <c r="L9" s="33"/>
      <c r="M9" s="33"/>
      <c r="N9" s="33">
        <f>$C$29*'E Balans VL '!Y10/100/3.6*1000000</f>
        <v>5.9297860626375654</v>
      </c>
      <c r="O9" s="33"/>
      <c r="P9" s="33"/>
      <c r="R9" s="32"/>
    </row>
    <row r="10" spans="1:18">
      <c r="A10" s="32" t="s">
        <v>49</v>
      </c>
      <c r="B10" s="37">
        <f t="shared" si="0"/>
        <v>1760.4925444493799</v>
      </c>
      <c r="C10" s="33"/>
      <c r="D10" s="37">
        <f>IF(ISERROR(TER_ander_gas_kWh/1000),0,TER_ander_gas_kWh/1000)*0.902</f>
        <v>672.82188397331242</v>
      </c>
      <c r="E10" s="33">
        <f>$C$30*'E Balans VL '!I14/100/3.6*1000000</f>
        <v>2.0984442036099384</v>
      </c>
      <c r="F10" s="33">
        <f>$C$30*('E Balans VL '!L14+'E Balans VL '!N14)/100/3.6*1000000</f>
        <v>460.62311497927743</v>
      </c>
      <c r="G10" s="34"/>
      <c r="H10" s="33"/>
      <c r="I10" s="33"/>
      <c r="J10" s="33">
        <f>$C$30*('E Balans VL '!D14+'E Balans VL '!E14)/100/3.6*1000000</f>
        <v>3.8213392199770276E-2</v>
      </c>
      <c r="K10" s="33"/>
      <c r="L10" s="33"/>
      <c r="M10" s="33"/>
      <c r="N10" s="33">
        <f>$C$30*'E Balans VL '!Y14/100/3.6*1000000</f>
        <v>1494.9671901002257</v>
      </c>
      <c r="O10" s="33"/>
      <c r="P10" s="33"/>
      <c r="R10" s="32"/>
    </row>
    <row r="11" spans="1:18">
      <c r="A11" s="32" t="s">
        <v>54</v>
      </c>
      <c r="B11" s="37">
        <f t="shared" si="0"/>
        <v>40.455814857126597</v>
      </c>
      <c r="C11" s="33"/>
      <c r="D11" s="37">
        <f>IF(ISERROR(TER_onderwijs_gas_kWh/1000),0,TER_onderwijs_gas_kWh/1000)*0.902</f>
        <v>411.73853167159024</v>
      </c>
      <c r="E11" s="33">
        <f>$C$31*'E Balans VL '!I11/100/3.6*1000000</f>
        <v>0.61041308590814125</v>
      </c>
      <c r="F11" s="33">
        <f>$C$31*('E Balans VL '!L11+'E Balans VL '!N11)/100/3.6*1000000</f>
        <v>7.0885050638381566</v>
      </c>
      <c r="G11" s="34"/>
      <c r="H11" s="33"/>
      <c r="I11" s="33"/>
      <c r="J11" s="33">
        <f>$C$31*('E Balans VL '!D11+'E Balans VL '!E11)/100/3.6*1000000</f>
        <v>0</v>
      </c>
      <c r="K11" s="33"/>
      <c r="L11" s="33"/>
      <c r="M11" s="33"/>
      <c r="N11" s="33">
        <f>$C$31*'E Balans VL '!Y11/100/3.6*1000000</f>
        <v>0.11384573857612307</v>
      </c>
      <c r="O11" s="33"/>
      <c r="P11" s="33"/>
      <c r="R11" s="32"/>
    </row>
    <row r="12" spans="1:18">
      <c r="A12" s="32" t="s">
        <v>259</v>
      </c>
      <c r="B12" s="37">
        <f t="shared" si="0"/>
        <v>2428.9439137218701</v>
      </c>
      <c r="C12" s="33"/>
      <c r="D12" s="37">
        <f>IF(ISERROR(TER_rest_gas_kWh/1000),0,TER_rest_gas_kWh/1000)*0.902</f>
        <v>3732.5119464988679</v>
      </c>
      <c r="E12" s="33">
        <f>$C$32*'E Balans VL '!I8/100/3.6*1000000</f>
        <v>30.162582681819462</v>
      </c>
      <c r="F12" s="33">
        <f>$C$32*('E Balans VL '!L8+'E Balans VL '!N8)/100/3.6*1000000</f>
        <v>420.02439098889641</v>
      </c>
      <c r="G12" s="34"/>
      <c r="H12" s="33"/>
      <c r="I12" s="33"/>
      <c r="J12" s="33">
        <f>$C$32*('E Balans VL '!D8+'E Balans VL '!E8)/100/3.6*1000000</f>
        <v>5.8817489851646313E-3</v>
      </c>
      <c r="K12" s="33"/>
      <c r="L12" s="33"/>
      <c r="M12" s="33"/>
      <c r="N12" s="33">
        <f>$C$32*'E Balans VL '!Y8/100/3.6*1000000</f>
        <v>235.19622915770051</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12097.413246243003</v>
      </c>
      <c r="C16" s="21">
        <f t="shared" ca="1" si="1"/>
        <v>0</v>
      </c>
      <c r="D16" s="21">
        <f t="shared" ca="1" si="1"/>
        <v>12678.975621950658</v>
      </c>
      <c r="E16" s="21">
        <f t="shared" si="1"/>
        <v>214.68043899493949</v>
      </c>
      <c r="F16" s="21">
        <f t="shared" ca="1" si="1"/>
        <v>2250.0430042629669</v>
      </c>
      <c r="G16" s="21">
        <f t="shared" si="1"/>
        <v>0</v>
      </c>
      <c r="H16" s="21">
        <f t="shared" si="1"/>
        <v>0</v>
      </c>
      <c r="I16" s="21">
        <f t="shared" si="1"/>
        <v>0</v>
      </c>
      <c r="J16" s="21">
        <f t="shared" si="1"/>
        <v>4.4095141184934905E-2</v>
      </c>
      <c r="K16" s="21">
        <f t="shared" si="1"/>
        <v>0</v>
      </c>
      <c r="L16" s="21">
        <f t="shared" ca="1" si="1"/>
        <v>0</v>
      </c>
      <c r="M16" s="21">
        <f t="shared" si="1"/>
        <v>0</v>
      </c>
      <c r="N16" s="21">
        <f t="shared" ca="1" si="1"/>
        <v>1744.8599334459439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1.3608103851722206E-3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16.462285579207464</v>
      </c>
      <c r="C20" s="23">
        <f t="shared" ref="C20:P20" ca="1" si="2">C16*C18</f>
        <v>0</v>
      </c>
      <c r="D20" s="23">
        <f t="shared" ca="1" si="2"/>
        <v>2561.153075634033</v>
      </c>
      <c r="E20" s="23">
        <f t="shared" si="2"/>
        <v>48.732459651851265</v>
      </c>
      <c r="F20" s="23">
        <f t="shared" ca="1" si="2"/>
        <v>600.76148213821216</v>
      </c>
      <c r="G20" s="23">
        <f t="shared" si="2"/>
        <v>0</v>
      </c>
      <c r="H20" s="23">
        <f t="shared" si="2"/>
        <v>0</v>
      </c>
      <c r="I20" s="23">
        <f t="shared" si="2"/>
        <v>0</v>
      </c>
      <c r="J20" s="23">
        <f t="shared" si="2"/>
        <v>1.5609679979466955E-2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2000.30335931996</v>
      </c>
      <c r="C26" s="39">
        <f>IF(ISERROR(B26*3.6/1000000/'E Balans VL '!Z12*100),0,B26*3.6/1000000/'E Balans VL '!Z12*100)</f>
        <v>4.2283244279547882E-2</v>
      </c>
      <c r="D26" s="237" t="s">
        <v>744</v>
      </c>
      <c r="F26" s="6"/>
    </row>
    <row r="27" spans="1:18">
      <c r="A27" s="231" t="s">
        <v>52</v>
      </c>
      <c r="B27" s="33">
        <f>IF(ISERROR(TER_horeca_ele_kWh/1000),0,TER_horeca_ele_kWh/1000)</f>
        <v>780.25031555259204</v>
      </c>
      <c r="C27" s="39">
        <f>IF(ISERROR(B27*3.6/1000000/'E Balans VL '!Z9*100),0,B27*3.6/1000000/'E Balans VL '!Z9*100)</f>
        <v>6.1506841560871633E-2</v>
      </c>
      <c r="D27" s="237" t="s">
        <v>744</v>
      </c>
      <c r="F27" s="6"/>
    </row>
    <row r="28" spans="1:18">
      <c r="A28" s="171" t="s">
        <v>51</v>
      </c>
      <c r="B28" s="33">
        <f>IF(ISERROR(TER_handel_ele_kWh/1000),0,TER_handel_ele_kWh/1000)</f>
        <v>4703.6113976467595</v>
      </c>
      <c r="C28" s="39">
        <f>IF(ISERROR(B28*3.6/1000000/'E Balans VL '!Z13*100),0,B28*3.6/1000000/'E Balans VL '!Z13*100)</f>
        <v>0.1365178074793503</v>
      </c>
      <c r="D28" s="237" t="s">
        <v>744</v>
      </c>
      <c r="F28" s="6"/>
    </row>
    <row r="29" spans="1:18">
      <c r="A29" s="231" t="s">
        <v>50</v>
      </c>
      <c r="B29" s="33">
        <f>IF(ISERROR(TER_gezond_ele_kWh/1000),0,TER_gezond_ele_kWh/1000)</f>
        <v>383.35590069531401</v>
      </c>
      <c r="C29" s="39">
        <f>IF(ISERROR(B29*3.6/1000000/'E Balans VL '!Z10*100),0,B29*3.6/1000000/'E Balans VL '!Z10*100)</f>
        <v>4.0373671213266224E-2</v>
      </c>
      <c r="D29" s="237" t="s">
        <v>744</v>
      </c>
      <c r="F29" s="6"/>
    </row>
    <row r="30" spans="1:18">
      <c r="A30" s="231" t="s">
        <v>49</v>
      </c>
      <c r="B30" s="33">
        <f>IF(ISERROR(TER_ander_ele_kWh/1000),0,TER_ander_ele_kWh/1000)</f>
        <v>1760.4925444493799</v>
      </c>
      <c r="C30" s="39">
        <f>IF(ISERROR(B30*3.6/1000000/'E Balans VL '!Z14*100),0,B30*3.6/1000000/'E Balans VL '!Z14*100)</f>
        <v>0.12985431245566484</v>
      </c>
      <c r="D30" s="237" t="s">
        <v>744</v>
      </c>
      <c r="F30" s="6"/>
    </row>
    <row r="31" spans="1:18">
      <c r="A31" s="231" t="s">
        <v>54</v>
      </c>
      <c r="B31" s="33">
        <f>IF(ISERROR(TER_onderwijs_ele_kWh/1000),0,TER_onderwijs_ele_kWh/1000)</f>
        <v>40.455814857126597</v>
      </c>
      <c r="C31" s="39">
        <f>IF(ISERROR(B31*3.6/1000000/'E Balans VL '!Z11*100),0,B31*3.6/1000000/'E Balans VL '!Z11*100)</f>
        <v>1.0047073890996544E-2</v>
      </c>
      <c r="D31" s="237" t="s">
        <v>744</v>
      </c>
    </row>
    <row r="32" spans="1:18">
      <c r="A32" s="231" t="s">
        <v>259</v>
      </c>
      <c r="B32" s="33">
        <f>IF(ISERROR(TER_rest_ele_kWh/1000),0,TER_rest_ele_kWh/1000)</f>
        <v>2428.9439137218701</v>
      </c>
      <c r="C32" s="39">
        <f>IF(ISERROR(B32*3.6/1000000/'E Balans VL '!Z8*100),0,B32*3.6/1000000/'E Balans VL '!Z8*100)</f>
        <v>1.998698431462332E-2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9143.3790901984412</v>
      </c>
      <c r="C5" s="17">
        <f>IF(ISERROR('Eigen informatie GS &amp; warmtenet'!B59),0,'Eigen informatie GS &amp; warmtenet'!B59)</f>
        <v>0</v>
      </c>
      <c r="D5" s="30">
        <f>SUM(D6:D15)</f>
        <v>2700.6676749382914</v>
      </c>
      <c r="E5" s="17">
        <f>SUM(E6:E15)</f>
        <v>787.97292662554116</v>
      </c>
      <c r="F5" s="17">
        <f>SUM(F6:F15)</f>
        <v>2544.7003001700614</v>
      </c>
      <c r="G5" s="18"/>
      <c r="H5" s="17"/>
      <c r="I5" s="17"/>
      <c r="J5" s="17">
        <f>SUM(J6:J15)</f>
        <v>23.972510680460015</v>
      </c>
      <c r="K5" s="17"/>
      <c r="L5" s="17"/>
      <c r="M5" s="17"/>
      <c r="N5" s="17">
        <f>SUM(N6:N15)</f>
        <v>609.18937801627408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784.88221243243299</v>
      </c>
      <c r="C8" s="33"/>
      <c r="D8" s="37">
        <f>IF( ISERROR(IND_metaal_Gas_kWH/1000),0,IND_metaal_Gas_kWH/1000)*0.902</f>
        <v>54.210173278570757</v>
      </c>
      <c r="E8" s="33">
        <f>C30*'E Balans VL '!I18/100/3.6*1000000</f>
        <v>7.2162338968664104</v>
      </c>
      <c r="F8" s="33">
        <f>C30*'E Balans VL '!L18/100/3.6*1000000+C30*'E Balans VL '!N18/100/3.6*1000000</f>
        <v>73.595820152172848</v>
      </c>
      <c r="G8" s="34"/>
      <c r="H8" s="33"/>
      <c r="I8" s="33"/>
      <c r="J8" s="40">
        <f>C30*'E Balans VL '!D18/100/3.6*1000000+C30*'E Balans VL '!E18/100/3.6*1000000</f>
        <v>0</v>
      </c>
      <c r="K8" s="33"/>
      <c r="L8" s="33"/>
      <c r="M8" s="33"/>
      <c r="N8" s="33">
        <f>C30*'E Balans VL '!Y18/100/3.6*1000000</f>
        <v>11.197641832825783</v>
      </c>
      <c r="O8" s="33"/>
      <c r="P8" s="33"/>
      <c r="R8" s="32"/>
    </row>
    <row r="9" spans="1:18">
      <c r="A9" s="6" t="s">
        <v>32</v>
      </c>
      <c r="B9" s="37">
        <f t="shared" si="0"/>
        <v>1404.1831589517601</v>
      </c>
      <c r="C9" s="33"/>
      <c r="D9" s="37">
        <f>IF( ISERROR(IND_andere_gas_kWh/1000),0,IND_andere_gas_kWh/1000)*0.902</f>
        <v>686.30421252452436</v>
      </c>
      <c r="E9" s="33">
        <f>C31*'E Balans VL '!I19/100/3.6*1000000</f>
        <v>410.47007358341546</v>
      </c>
      <c r="F9" s="33">
        <f>C31*'E Balans VL '!L19/100/3.6*1000000+C31*'E Balans VL '!N19/100/3.6*1000000</f>
        <v>1128.3674551166021</v>
      </c>
      <c r="G9" s="34"/>
      <c r="H9" s="33"/>
      <c r="I9" s="33"/>
      <c r="J9" s="40">
        <f>C31*'E Balans VL '!D19/100/3.6*1000000+C31*'E Balans VL '!E19/100/3.6*1000000</f>
        <v>0</v>
      </c>
      <c r="K9" s="33"/>
      <c r="L9" s="33"/>
      <c r="M9" s="33"/>
      <c r="N9" s="33">
        <f>C31*'E Balans VL '!Y19/100/3.6*1000000</f>
        <v>110.14221987032157</v>
      </c>
      <c r="O9" s="33"/>
      <c r="P9" s="33"/>
      <c r="R9" s="32"/>
    </row>
    <row r="10" spans="1:18">
      <c r="A10" s="6" t="s">
        <v>40</v>
      </c>
      <c r="B10" s="37">
        <f t="shared" si="0"/>
        <v>258.046117084598</v>
      </c>
      <c r="C10" s="33"/>
      <c r="D10" s="37">
        <f>IF( ISERROR(IND_voed_gas_kWh/1000),0,IND_voed_gas_kWh/1000)*0.902</f>
        <v>199.10556873231991</v>
      </c>
      <c r="E10" s="33">
        <f>C32*'E Balans VL '!I20/100/3.6*1000000</f>
        <v>0.54590056174490043</v>
      </c>
      <c r="F10" s="33">
        <f>C32*'E Balans VL '!L20/100/3.6*1000000+C32*'E Balans VL '!N20/100/3.6*1000000</f>
        <v>16.406835710617791</v>
      </c>
      <c r="G10" s="34"/>
      <c r="H10" s="33"/>
      <c r="I10" s="33"/>
      <c r="J10" s="40">
        <f>C32*'E Balans VL '!D20/100/3.6*1000000+C32*'E Balans VL '!E20/100/3.6*1000000</f>
        <v>0</v>
      </c>
      <c r="K10" s="33"/>
      <c r="L10" s="33"/>
      <c r="M10" s="33"/>
      <c r="N10" s="33">
        <f>C32*'E Balans VL '!Y20/100/3.6*1000000</f>
        <v>17.807728540142367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6696.2676017296499</v>
      </c>
      <c r="C15" s="33"/>
      <c r="D15" s="37">
        <f>IF( ISERROR(IND_rest_gas_kWh/1000),0,IND_rest_gas_kWh/1000)*0.902</f>
        <v>1761.0477204028764</v>
      </c>
      <c r="E15" s="33">
        <f>C37*'E Balans VL '!I15/100/3.6*1000000</f>
        <v>369.74071858351442</v>
      </c>
      <c r="F15" s="33">
        <f>C37*'E Balans VL '!L15/100/3.6*1000000+C37*'E Balans VL '!N15/100/3.6*1000000</f>
        <v>1326.3301891906685</v>
      </c>
      <c r="G15" s="34"/>
      <c r="H15" s="33"/>
      <c r="I15" s="33"/>
      <c r="J15" s="40">
        <f>C37*'E Balans VL '!D15/100/3.6*1000000+C37*'E Balans VL '!E15/100/3.6*1000000</f>
        <v>23.972510680460015</v>
      </c>
      <c r="K15" s="33"/>
      <c r="L15" s="33"/>
      <c r="M15" s="33"/>
      <c r="N15" s="33">
        <f>C37*'E Balans VL '!Y15/100/3.6*1000000</f>
        <v>470.04178777298432</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9143.3790901984412</v>
      </c>
      <c r="C18" s="21">
        <f>C5+C16</f>
        <v>0</v>
      </c>
      <c r="D18" s="21">
        <f>MAX((D5+D16),0)</f>
        <v>2700.6676749382914</v>
      </c>
      <c r="E18" s="21">
        <f>MAX((E5+E16),0)</f>
        <v>787.97292662554116</v>
      </c>
      <c r="F18" s="21">
        <f>MAX((F5+F16),0)</f>
        <v>2544.7003001700614</v>
      </c>
      <c r="G18" s="21"/>
      <c r="H18" s="21"/>
      <c r="I18" s="21"/>
      <c r="J18" s="21">
        <f>MAX((J5+J16),0)</f>
        <v>23.972510680460015</v>
      </c>
      <c r="K18" s="21"/>
      <c r="L18" s="21">
        <f>MAX((L5+L16),0)</f>
        <v>0</v>
      </c>
      <c r="M18" s="21"/>
      <c r="N18" s="21">
        <f>MAX((N5+N16),0)</f>
        <v>609.18937801627408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1.3608103851722206E-3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12.442405221508569</v>
      </c>
      <c r="C22" s="23">
        <f ca="1">C18*C20</f>
        <v>0</v>
      </c>
      <c r="D22" s="23">
        <f>D18*D20</f>
        <v>545.53487033753493</v>
      </c>
      <c r="E22" s="23">
        <f>E18*E20</f>
        <v>178.86985434399784</v>
      </c>
      <c r="F22" s="23">
        <f>F18*F20</f>
        <v>679.43498014540637</v>
      </c>
      <c r="G22" s="23"/>
      <c r="H22" s="23"/>
      <c r="I22" s="23"/>
      <c r="J22" s="23">
        <f>J18*J20</f>
        <v>8.4862687808828454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784.88221243243299</v>
      </c>
      <c r="C30" s="39">
        <f>IF(ISERROR(B30*3.6/1000000/'E Balans VL '!Z18*100),0,B30*3.6/1000000/'E Balans VL '!Z18*100)</f>
        <v>4.4481287548170448E-2</v>
      </c>
      <c r="D30" s="237" t="s">
        <v>744</v>
      </c>
    </row>
    <row r="31" spans="1:18">
      <c r="A31" s="6" t="s">
        <v>32</v>
      </c>
      <c r="B31" s="37">
        <f>IF( ISERROR(IND_ander_ele_kWh/1000),0,IND_ander_ele_kWh/1000)</f>
        <v>1404.1831589517601</v>
      </c>
      <c r="C31" s="39">
        <f>IF(ISERROR(B31*3.6/1000000/'E Balans VL '!Z19*100),0,B31*3.6/1000000/'E Balans VL '!Z19*100)</f>
        <v>6.3687901173141756E-2</v>
      </c>
      <c r="D31" s="237" t="s">
        <v>744</v>
      </c>
    </row>
    <row r="32" spans="1:18">
      <c r="A32" s="171" t="s">
        <v>40</v>
      </c>
      <c r="B32" s="37">
        <f>IF( ISERROR(IND_voed_ele_kWh/1000),0,IND_voed_ele_kWh/1000)</f>
        <v>258.046117084598</v>
      </c>
      <c r="C32" s="39">
        <f>IF(ISERROR(B32*3.6/1000000/'E Balans VL '!Z20*100),0,B32*3.6/1000000/'E Balans VL '!Z20*100)</f>
        <v>7.9825378318878707E-3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6696.2676017296499</v>
      </c>
      <c r="C37" s="39">
        <f>IF(ISERROR(B37*3.6/1000000/'E Balans VL '!Z15*100),0,B37*3.6/1000000/'E Balans VL '!Z15*100)</f>
        <v>5.3076144542445247E-2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8399.039754424517</v>
      </c>
      <c r="C5" s="17">
        <f>'Eigen informatie GS &amp; warmtenet'!B60</f>
        <v>0</v>
      </c>
      <c r="D5" s="30">
        <f>IF(ISERROR(SUM(LB_lb_gas_kWh,LB_rest_gas_kWh)/1000),0,SUM(LB_lb_gas_kWh,LB_rest_gas_kWh)/1000)*0.902</f>
        <v>3874.7986493680041</v>
      </c>
      <c r="E5" s="17">
        <f>B17*'E Balans VL '!I25/3.6*1000000/100</f>
        <v>246.87343201092676</v>
      </c>
      <c r="F5" s="17">
        <f>B17*('E Balans VL '!L25/3.6*1000000+'E Balans VL '!N25/3.6*1000000)/100</f>
        <v>34989.945756646273</v>
      </c>
      <c r="G5" s="18"/>
      <c r="H5" s="17"/>
      <c r="I5" s="17"/>
      <c r="J5" s="17">
        <f>('E Balans VL '!D25+'E Balans VL '!E25)/3.6*1000000*landbouw!B17/100</f>
        <v>1216.8404889726946</v>
      </c>
      <c r="K5" s="17"/>
      <c r="L5" s="17">
        <f>L6*(-1)</f>
        <v>0</v>
      </c>
      <c r="M5" s="17"/>
      <c r="N5" s="17">
        <f>N6*(-1)</f>
        <v>140258.57142857142</v>
      </c>
      <c r="O5" s="17"/>
      <c r="P5" s="17"/>
      <c r="R5" s="32"/>
    </row>
    <row r="6" spans="1:18">
      <c r="A6" s="16" t="s">
        <v>487</v>
      </c>
      <c r="B6" s="17" t="s">
        <v>210</v>
      </c>
      <c r="C6" s="17">
        <f>'lokale energieproductie'!O41+'lokale energieproductie'!O34</f>
        <v>70579.28571428571</v>
      </c>
      <c r="D6" s="308">
        <f>('lokale energieproductie'!P34+'lokale energieproductie'!P41)*(-1)</f>
        <v>-900.00000000000023</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8399.039754424517</v>
      </c>
      <c r="C8" s="21">
        <f>C5+C6</f>
        <v>70579.28571428571</v>
      </c>
      <c r="D8" s="21">
        <f>MAX((D5+D6),0)</f>
        <v>2974.7986493680037</v>
      </c>
      <c r="E8" s="21">
        <f>MAX((E5+E6),0)</f>
        <v>246.87343201092676</v>
      </c>
      <c r="F8" s="21">
        <f>MAX((F5+F6),0)</f>
        <v>34989.945756646273</v>
      </c>
      <c r="G8" s="21"/>
      <c r="H8" s="21"/>
      <c r="I8" s="21"/>
      <c r="J8" s="21">
        <f>MAX((J5+J6),0)</f>
        <v>1216.8404889726946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1.3608103851722206E-3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11.42950052329522</v>
      </c>
      <c r="C12" s="23">
        <f ca="1">C8*C10</f>
        <v>106.94117647058827</v>
      </c>
      <c r="D12" s="23">
        <f>D8*D10</f>
        <v>600.90932717233682</v>
      </c>
      <c r="E12" s="23">
        <f>E8*E10</f>
        <v>56.040269066480377</v>
      </c>
      <c r="F12" s="23">
        <f>F8*F10</f>
        <v>9342.3155170245554</v>
      </c>
      <c r="G12" s="23"/>
      <c r="H12" s="23"/>
      <c r="I12" s="23"/>
      <c r="J12" s="23">
        <f>J8*J10</f>
        <v>430.76153309633389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1.1918500923364392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483.34149383816316</v>
      </c>
      <c r="C26" s="247">
        <f>B26*'GWP N2O_CH4'!B5</f>
        <v>10150.171370601427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582.31691267438669</v>
      </c>
      <c r="C27" s="247">
        <f>B27*'GWP N2O_CH4'!B5</f>
        <v>12228.65516616212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7.8222634395982915</v>
      </c>
      <c r="C28" s="247">
        <f>B28*'GWP N2O_CH4'!B4</f>
        <v>2424.9016662754702</v>
      </c>
      <c r="D28" s="50"/>
    </row>
    <row r="29" spans="1:4">
      <c r="A29" s="41" t="s">
        <v>276</v>
      </c>
      <c r="B29" s="247">
        <f>B34*'ha_N2O bodem landbouw'!B4</f>
        <v>16.29091023764585</v>
      </c>
      <c r="C29" s="247">
        <f>B29*'GWP N2O_CH4'!B4</f>
        <v>5050.1821736702132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3.7175295752565562E-3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6.8305320225425093E-5</v>
      </c>
      <c r="C5" s="437" t="s">
        <v>210</v>
      </c>
      <c r="D5" s="422">
        <f>SUM(D6:D11)</f>
        <v>1.8869520810442769E-4</v>
      </c>
      <c r="E5" s="422">
        <f>SUM(E6:E11)</f>
        <v>3.1983288759717678E-4</v>
      </c>
      <c r="F5" s="435" t="s">
        <v>210</v>
      </c>
      <c r="G5" s="422">
        <f>SUM(G6:G11)</f>
        <v>0.16229294194499308</v>
      </c>
      <c r="H5" s="422">
        <f>SUM(H6:H11)</f>
        <v>3.1883564469785318E-2</v>
      </c>
      <c r="I5" s="437" t="s">
        <v>210</v>
      </c>
      <c r="J5" s="437" t="s">
        <v>210</v>
      </c>
      <c r="K5" s="437" t="s">
        <v>210</v>
      </c>
      <c r="L5" s="437" t="s">
        <v>210</v>
      </c>
      <c r="M5" s="422">
        <f>SUM(M6:M11)</f>
        <v>1.0420692697028692E-2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5.6953288898380196E-5</v>
      </c>
      <c r="C6" s="423"/>
      <c r="D6" s="865">
        <f>vkm_GW_PW*SUMIFS(TableVerdeelsleutelVkm[CNG],TableVerdeelsleutelVkm[Voertuigtype],"Lichte voertuigen")*SUMIFS(TableECFTransport[EnergieConsumptieFactor (PJ per km)],TableECFTransport[Index],CONCATENATE($A6,"_CNG_CNG"))</f>
        <v>1.4114415608780769E-4</v>
      </c>
      <c r="E6" s="865">
        <f>vkm_GW_PW*SUMIFS(TableVerdeelsleutelVkm[LPG],TableVerdeelsleutelVkm[Voertuigtype],"Lichte voertuigen")*SUMIFS(TableECFTransport[EnergieConsumptieFactor (PJ per km)],TableECFTransport[Index],CONCATENATE($A6,"_LPG_LPG"))</f>
        <v>2.4230927035695139E-4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7.424707924244521E-2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2.3980981737771221E-2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5.0439394012671652E-3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5.0755029127663082E-2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8.4903931513154172E-7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2.9653907974589375E-3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1.13520313270449E-5</v>
      </c>
      <c r="C8" s="423"/>
      <c r="D8" s="425">
        <f>vkm_NGW_PW*SUMIFS(TableVerdeelsleutelVkm[CNG],TableVerdeelsleutelVkm[Voertuigtype],"Lichte voertuigen")*SUMIFS(TableECFTransport[EnergieConsumptieFactor (PJ per km)],TableECFTransport[Index],CONCATENATE($A8,"_CNG_CNG"))</f>
        <v>4.7551052016619981E-5</v>
      </c>
      <c r="E8" s="425">
        <f>vkm_NGW_PW*SUMIFS(TableVerdeelsleutelVkm[LPG],TableVerdeelsleutelVkm[Voertuigtype],"Lichte voertuigen")*SUMIFS(TableECFTransport[EnergieConsumptieFactor (PJ per km)],TableECFTransport[Index],CONCATENATE($A8,"_LPG_LPG"))</f>
        <v>7.7523617240225385E-5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2.2344146432970152E-2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7.9014256871866376E-3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1.53809228452797E-3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1.4946687141914652E-2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3.0800551232273754E-7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8.7327021377461812E-4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18.973700062618082</v>
      </c>
      <c r="C14" s="21"/>
      <c r="D14" s="21">
        <f t="shared" ref="D14:M14" si="0">((D5)*10^9/3600)+D12</f>
        <v>52.415335584563252</v>
      </c>
      <c r="E14" s="21">
        <f t="shared" si="0"/>
        <v>88.842468776993542</v>
      </c>
      <c r="F14" s="21"/>
      <c r="G14" s="21">
        <f t="shared" si="0"/>
        <v>45081.372762498075</v>
      </c>
      <c r="H14" s="21">
        <f t="shared" si="0"/>
        <v>8856.5456860514769</v>
      </c>
      <c r="I14" s="21"/>
      <c r="J14" s="21"/>
      <c r="K14" s="21"/>
      <c r="L14" s="21"/>
      <c r="M14" s="21">
        <f t="shared" si="0"/>
        <v>2894.6368602857478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1.3608103851722206E-3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2.5819608090353496E-2</v>
      </c>
      <c r="C18" s="23"/>
      <c r="D18" s="23">
        <f t="shared" ref="D18:M18" si="1">D14*D16</f>
        <v>10.587897788081778</v>
      </c>
      <c r="E18" s="23">
        <f t="shared" si="1"/>
        <v>20.167240412377534</v>
      </c>
      <c r="F18" s="23"/>
      <c r="G18" s="23">
        <f t="shared" si="1"/>
        <v>12036.726527586987</v>
      </c>
      <c r="H18" s="23">
        <f t="shared" si="1"/>
        <v>2205.2798758268177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2.1378632526481379E-3</v>
      </c>
      <c r="H50" s="319">
        <f t="shared" si="2"/>
        <v>0</v>
      </c>
      <c r="I50" s="319">
        <f t="shared" si="2"/>
        <v>0</v>
      </c>
      <c r="J50" s="319">
        <f t="shared" si="2"/>
        <v>0</v>
      </c>
      <c r="K50" s="319">
        <f t="shared" si="2"/>
        <v>0</v>
      </c>
      <c r="L50" s="319">
        <f t="shared" si="2"/>
        <v>0</v>
      </c>
      <c r="M50" s="319">
        <f t="shared" si="2"/>
        <v>1.2141202293648592E-4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2.1378632526481379E-3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1.2141202293648592E-4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593.85090351337169</v>
      </c>
      <c r="H54" s="21">
        <f t="shared" si="3"/>
        <v>0</v>
      </c>
      <c r="I54" s="21">
        <f t="shared" si="3"/>
        <v>0</v>
      </c>
      <c r="J54" s="21">
        <f t="shared" si="3"/>
        <v>0</v>
      </c>
      <c r="K54" s="21">
        <f t="shared" si="3"/>
        <v>0</v>
      </c>
      <c r="L54" s="21">
        <f t="shared" si="3"/>
        <v>0</v>
      </c>
      <c r="M54" s="21">
        <f t="shared" si="3"/>
        <v>33.725561926801639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1.3608103851722206E-3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158.55819123807024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12718.945246243002</v>
      </c>
      <c r="D10" s="979">
        <f ca="1">tertiair!C16</f>
        <v>0</v>
      </c>
      <c r="E10" s="979">
        <f ca="1">tertiair!D16</f>
        <v>12678.975621950658</v>
      </c>
      <c r="F10" s="979">
        <f>tertiair!E16</f>
        <v>214.68043899493949</v>
      </c>
      <c r="G10" s="979">
        <f ca="1">tertiair!F16</f>
        <v>2250.0430042629669</v>
      </c>
      <c r="H10" s="979">
        <f>tertiair!G16</f>
        <v>0</v>
      </c>
      <c r="I10" s="979">
        <f>tertiair!H16</f>
        <v>0</v>
      </c>
      <c r="J10" s="979">
        <f>tertiair!I16</f>
        <v>0</v>
      </c>
      <c r="K10" s="979">
        <f>tertiair!J16</f>
        <v>4.4095141184934905E-2</v>
      </c>
      <c r="L10" s="979">
        <f>tertiair!K16</f>
        <v>0</v>
      </c>
      <c r="M10" s="979">
        <f ca="1">tertiair!L16</f>
        <v>0</v>
      </c>
      <c r="N10" s="979">
        <f>tertiair!M16</f>
        <v>0</v>
      </c>
      <c r="O10" s="979">
        <f ca="1">tertiair!N16</f>
        <v>1744.8599334459439</v>
      </c>
      <c r="P10" s="979">
        <f>tertiair!O16</f>
        <v>0</v>
      </c>
      <c r="Q10" s="980">
        <f>tertiair!P16</f>
        <v>19.066666666666666</v>
      </c>
      <c r="R10" s="674">
        <f ca="1">SUM(C10:Q10)</f>
        <v>29626.615006705357</v>
      </c>
      <c r="S10" s="67"/>
    </row>
    <row r="11" spans="1:19" s="447" customFormat="1">
      <c r="A11" s="783" t="s">
        <v>224</v>
      </c>
      <c r="B11" s="788"/>
      <c r="C11" s="979">
        <f>huishoudens!B8</f>
        <v>11802.784809475634</v>
      </c>
      <c r="D11" s="979">
        <f>huishoudens!C8</f>
        <v>0</v>
      </c>
      <c r="E11" s="979">
        <f>huishoudens!D8</f>
        <v>22233.086233154496</v>
      </c>
      <c r="F11" s="979">
        <f>huishoudens!E8</f>
        <v>7744.0318169109496</v>
      </c>
      <c r="G11" s="979">
        <f>huishoudens!F8</f>
        <v>9146.9045777255033</v>
      </c>
      <c r="H11" s="979">
        <f>huishoudens!G8</f>
        <v>0</v>
      </c>
      <c r="I11" s="979">
        <f>huishoudens!H8</f>
        <v>0</v>
      </c>
      <c r="J11" s="979">
        <f>huishoudens!I8</f>
        <v>0</v>
      </c>
      <c r="K11" s="979">
        <f>huishoudens!J8</f>
        <v>602.6586481909726</v>
      </c>
      <c r="L11" s="979">
        <f>huishoudens!K8</f>
        <v>0</v>
      </c>
      <c r="M11" s="979">
        <f>huishoudens!L8</f>
        <v>0</v>
      </c>
      <c r="N11" s="979">
        <f>huishoudens!M8</f>
        <v>0</v>
      </c>
      <c r="O11" s="979">
        <f>huishoudens!N8</f>
        <v>9503.7239443851267</v>
      </c>
      <c r="P11" s="979">
        <f>huishoudens!O8</f>
        <v>104.74333333333335</v>
      </c>
      <c r="Q11" s="980">
        <f>huishoudens!P8</f>
        <v>781.73333333333335</v>
      </c>
      <c r="R11" s="674">
        <f>SUM(C11:Q11)</f>
        <v>61919.666696509339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9143.3790901984412</v>
      </c>
      <c r="D13" s="979">
        <f>industrie!C18</f>
        <v>0</v>
      </c>
      <c r="E13" s="979">
        <f>industrie!D18</f>
        <v>2700.6676749382914</v>
      </c>
      <c r="F13" s="979">
        <f>industrie!E18</f>
        <v>787.97292662554116</v>
      </c>
      <c r="G13" s="979">
        <f>industrie!F18</f>
        <v>2544.7003001700614</v>
      </c>
      <c r="H13" s="979">
        <f>industrie!G18</f>
        <v>0</v>
      </c>
      <c r="I13" s="979">
        <f>industrie!H18</f>
        <v>0</v>
      </c>
      <c r="J13" s="979">
        <f>industrie!I18</f>
        <v>0</v>
      </c>
      <c r="K13" s="979">
        <f>industrie!J18</f>
        <v>23.972510680460015</v>
      </c>
      <c r="L13" s="979">
        <f>industrie!K18</f>
        <v>0</v>
      </c>
      <c r="M13" s="979">
        <f>industrie!L18</f>
        <v>0</v>
      </c>
      <c r="N13" s="979">
        <f>industrie!M18</f>
        <v>0</v>
      </c>
      <c r="O13" s="979">
        <f>industrie!N18</f>
        <v>609.18937801627408</v>
      </c>
      <c r="P13" s="979">
        <f>industrie!O18</f>
        <v>0</v>
      </c>
      <c r="Q13" s="980">
        <f>industrie!P18</f>
        <v>0</v>
      </c>
      <c r="R13" s="674">
        <f>SUM(C13:Q13)</f>
        <v>15809.881880629069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33665.109145917078</v>
      </c>
      <c r="D16" s="706">
        <f t="shared" ref="D16:R16" ca="1" si="0">SUM(D9:D15)</f>
        <v>0</v>
      </c>
      <c r="E16" s="706">
        <f t="shared" ca="1" si="0"/>
        <v>37612.729530043442</v>
      </c>
      <c r="F16" s="706">
        <f t="shared" si="0"/>
        <v>8746.6851825314297</v>
      </c>
      <c r="G16" s="706">
        <f t="shared" ca="1" si="0"/>
        <v>13941.647882158532</v>
      </c>
      <c r="H16" s="706">
        <f t="shared" si="0"/>
        <v>0</v>
      </c>
      <c r="I16" s="706">
        <f t="shared" si="0"/>
        <v>0</v>
      </c>
      <c r="J16" s="706">
        <f t="shared" si="0"/>
        <v>0</v>
      </c>
      <c r="K16" s="706">
        <f t="shared" si="0"/>
        <v>626.67525401261753</v>
      </c>
      <c r="L16" s="706">
        <f t="shared" si="0"/>
        <v>0</v>
      </c>
      <c r="M16" s="706">
        <f t="shared" ca="1" si="0"/>
        <v>0</v>
      </c>
      <c r="N16" s="706">
        <f t="shared" si="0"/>
        <v>0</v>
      </c>
      <c r="O16" s="706">
        <f t="shared" ca="1" si="0"/>
        <v>11857.773255847344</v>
      </c>
      <c r="P16" s="706">
        <f t="shared" si="0"/>
        <v>104.74333333333335</v>
      </c>
      <c r="Q16" s="706">
        <f t="shared" si="0"/>
        <v>800.80000000000007</v>
      </c>
      <c r="R16" s="706">
        <f t="shared" ca="1" si="0"/>
        <v>107356.16358384377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593.85090351337169</v>
      </c>
      <c r="I19" s="979">
        <f>transport!H54</f>
        <v>0</v>
      </c>
      <c r="J19" s="979">
        <f>transport!I54</f>
        <v>0</v>
      </c>
      <c r="K19" s="979">
        <f>transport!J54</f>
        <v>0</v>
      </c>
      <c r="L19" s="979">
        <f>transport!K54</f>
        <v>0</v>
      </c>
      <c r="M19" s="979">
        <f>transport!L54</f>
        <v>0</v>
      </c>
      <c r="N19" s="979">
        <f>transport!M54</f>
        <v>33.725561926801639</v>
      </c>
      <c r="O19" s="979">
        <f>transport!N54</f>
        <v>0</v>
      </c>
      <c r="P19" s="979">
        <f>transport!O54</f>
        <v>0</v>
      </c>
      <c r="Q19" s="980">
        <f>transport!P54</f>
        <v>0</v>
      </c>
      <c r="R19" s="674">
        <f>SUM(C19:Q19)</f>
        <v>627.57646544017337</v>
      </c>
      <c r="S19" s="67"/>
    </row>
    <row r="20" spans="1:19" s="447" customFormat="1">
      <c r="A20" s="783" t="s">
        <v>306</v>
      </c>
      <c r="B20" s="788"/>
      <c r="C20" s="979">
        <f>transport!B14</f>
        <v>18.973700062618082</v>
      </c>
      <c r="D20" s="979">
        <f>transport!C14</f>
        <v>0</v>
      </c>
      <c r="E20" s="979">
        <f>transport!D14</f>
        <v>52.415335584563252</v>
      </c>
      <c r="F20" s="979">
        <f>transport!E14</f>
        <v>88.842468776993542</v>
      </c>
      <c r="G20" s="979">
        <f>transport!F14</f>
        <v>0</v>
      </c>
      <c r="H20" s="979">
        <f>transport!G14</f>
        <v>45081.372762498075</v>
      </c>
      <c r="I20" s="979">
        <f>transport!H14</f>
        <v>8856.5456860514769</v>
      </c>
      <c r="J20" s="979">
        <f>transport!I14</f>
        <v>0</v>
      </c>
      <c r="K20" s="979">
        <f>transport!J14</f>
        <v>0</v>
      </c>
      <c r="L20" s="979">
        <f>transport!K14</f>
        <v>0</v>
      </c>
      <c r="M20" s="979">
        <f>transport!L14</f>
        <v>0</v>
      </c>
      <c r="N20" s="979">
        <f>transport!M14</f>
        <v>2894.6368602857478</v>
      </c>
      <c r="O20" s="979">
        <f>transport!N14</f>
        <v>0</v>
      </c>
      <c r="P20" s="979">
        <f>transport!O14</f>
        <v>0</v>
      </c>
      <c r="Q20" s="980">
        <f>transport!P14</f>
        <v>0</v>
      </c>
      <c r="R20" s="674">
        <f>SUM(C20:Q20)</f>
        <v>56992.786813259474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18.973700062618082</v>
      </c>
      <c r="D22" s="786">
        <f t="shared" ref="D22:R22" si="1">SUM(D18:D21)</f>
        <v>0</v>
      </c>
      <c r="E22" s="786">
        <f t="shared" si="1"/>
        <v>52.415335584563252</v>
      </c>
      <c r="F22" s="786">
        <f t="shared" si="1"/>
        <v>88.842468776993542</v>
      </c>
      <c r="G22" s="786">
        <f t="shared" si="1"/>
        <v>0</v>
      </c>
      <c r="H22" s="786">
        <f t="shared" si="1"/>
        <v>45675.223666011443</v>
      </c>
      <c r="I22" s="786">
        <f t="shared" si="1"/>
        <v>8856.5456860514769</v>
      </c>
      <c r="J22" s="786">
        <f t="shared" si="1"/>
        <v>0</v>
      </c>
      <c r="K22" s="786">
        <f t="shared" si="1"/>
        <v>0</v>
      </c>
      <c r="L22" s="786">
        <f t="shared" si="1"/>
        <v>0</v>
      </c>
      <c r="M22" s="786">
        <f t="shared" si="1"/>
        <v>0</v>
      </c>
      <c r="N22" s="786">
        <f t="shared" si="1"/>
        <v>2928.3624222125495</v>
      </c>
      <c r="O22" s="786">
        <f t="shared" si="1"/>
        <v>0</v>
      </c>
      <c r="P22" s="786">
        <f t="shared" si="1"/>
        <v>0</v>
      </c>
      <c r="Q22" s="786">
        <f t="shared" si="1"/>
        <v>0</v>
      </c>
      <c r="R22" s="786">
        <f t="shared" si="1"/>
        <v>57620.363278699646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8399.039754424517</v>
      </c>
      <c r="D24" s="979">
        <f>+landbouw!C8</f>
        <v>70579.28571428571</v>
      </c>
      <c r="E24" s="979">
        <f>+landbouw!D8</f>
        <v>2974.7986493680037</v>
      </c>
      <c r="F24" s="979">
        <f>+landbouw!E8</f>
        <v>246.87343201092676</v>
      </c>
      <c r="G24" s="979">
        <f>+landbouw!F8</f>
        <v>34989.945756646273</v>
      </c>
      <c r="H24" s="979">
        <f>+landbouw!G8</f>
        <v>0</v>
      </c>
      <c r="I24" s="979">
        <f>+landbouw!H8</f>
        <v>0</v>
      </c>
      <c r="J24" s="979">
        <f>+landbouw!I8</f>
        <v>0</v>
      </c>
      <c r="K24" s="979">
        <f>+landbouw!J8</f>
        <v>1216.8404889726946</v>
      </c>
      <c r="L24" s="979">
        <f>+landbouw!K8</f>
        <v>0</v>
      </c>
      <c r="M24" s="979">
        <f>+landbouw!L8</f>
        <v>0</v>
      </c>
      <c r="N24" s="979">
        <f>+landbouw!M8</f>
        <v>0</v>
      </c>
      <c r="O24" s="979">
        <f>+landbouw!N8</f>
        <v>0</v>
      </c>
      <c r="P24" s="979">
        <f>+landbouw!O8</f>
        <v>0</v>
      </c>
      <c r="Q24" s="980">
        <f>+landbouw!P8</f>
        <v>0</v>
      </c>
      <c r="R24" s="674">
        <f>SUM(C24:Q24)</f>
        <v>118406.78379570812</v>
      </c>
      <c r="S24" s="67"/>
    </row>
    <row r="25" spans="1:19" s="447" customFormat="1" ht="15" thickBot="1">
      <c r="A25" s="805" t="s">
        <v>823</v>
      </c>
      <c r="B25" s="982"/>
      <c r="C25" s="983">
        <f>IF(Onbekend_ele_kWh="---",0,Onbekend_ele_kWh)/1000+IF(REST_rest_ele_kWh="---",0,REST_rest_ele_kWh)/1000</f>
        <v>587.31562201985798</v>
      </c>
      <c r="D25" s="983"/>
      <c r="E25" s="983">
        <f>IF(onbekend_gas_kWh="---",0,onbekend_gas_kWh)/1000+IF(REST_rest_gas_kWh="---",0,REST_rest_gas_kWh)/1000</f>
        <v>580.93584234997309</v>
      </c>
      <c r="F25" s="983"/>
      <c r="G25" s="983"/>
      <c r="H25" s="983"/>
      <c r="I25" s="983"/>
      <c r="J25" s="983"/>
      <c r="K25" s="983"/>
      <c r="L25" s="983"/>
      <c r="M25" s="983"/>
      <c r="N25" s="983"/>
      <c r="O25" s="983"/>
      <c r="P25" s="983"/>
      <c r="Q25" s="984"/>
      <c r="R25" s="674">
        <f>SUM(C25:Q25)</f>
        <v>1168.251464369831</v>
      </c>
      <c r="S25" s="67"/>
    </row>
    <row r="26" spans="1:19" s="447" customFormat="1" ht="15.75" thickBot="1">
      <c r="A26" s="679" t="s">
        <v>824</v>
      </c>
      <c r="B26" s="791"/>
      <c r="C26" s="786">
        <f>SUM(C24:C25)</f>
        <v>8986.355376444375</v>
      </c>
      <c r="D26" s="786">
        <f t="shared" ref="D26:R26" si="2">SUM(D24:D25)</f>
        <v>70579.28571428571</v>
      </c>
      <c r="E26" s="786">
        <f t="shared" si="2"/>
        <v>3555.7344917179767</v>
      </c>
      <c r="F26" s="786">
        <f t="shared" si="2"/>
        <v>246.87343201092676</v>
      </c>
      <c r="G26" s="786">
        <f t="shared" si="2"/>
        <v>34989.945756646273</v>
      </c>
      <c r="H26" s="786">
        <f t="shared" si="2"/>
        <v>0</v>
      </c>
      <c r="I26" s="786">
        <f t="shared" si="2"/>
        <v>0</v>
      </c>
      <c r="J26" s="786">
        <f t="shared" si="2"/>
        <v>0</v>
      </c>
      <c r="K26" s="786">
        <f t="shared" si="2"/>
        <v>1216.8404889726946</v>
      </c>
      <c r="L26" s="786">
        <f t="shared" si="2"/>
        <v>0</v>
      </c>
      <c r="M26" s="786">
        <f t="shared" si="2"/>
        <v>0</v>
      </c>
      <c r="N26" s="786">
        <f t="shared" si="2"/>
        <v>0</v>
      </c>
      <c r="O26" s="786">
        <f t="shared" si="2"/>
        <v>0</v>
      </c>
      <c r="P26" s="786">
        <f t="shared" si="2"/>
        <v>0</v>
      </c>
      <c r="Q26" s="786">
        <f t="shared" si="2"/>
        <v>0</v>
      </c>
      <c r="R26" s="786">
        <f t="shared" si="2"/>
        <v>119575.03526007796</v>
      </c>
      <c r="S26" s="67"/>
    </row>
    <row r="27" spans="1:19" s="447" customFormat="1" ht="17.25" thickTop="1" thickBot="1">
      <c r="A27" s="680" t="s">
        <v>115</v>
      </c>
      <c r="B27" s="779"/>
      <c r="C27" s="681">
        <f ca="1">C22+C16+C26</f>
        <v>42670.438222424069</v>
      </c>
      <c r="D27" s="681">
        <f t="shared" ref="D27:R27" ca="1" si="3">D22+D16+D26</f>
        <v>70579.28571428571</v>
      </c>
      <c r="E27" s="681">
        <f t="shared" ca="1" si="3"/>
        <v>41220.879357345984</v>
      </c>
      <c r="F27" s="681">
        <f t="shared" si="3"/>
        <v>9082.4010833193497</v>
      </c>
      <c r="G27" s="681">
        <f t="shared" ca="1" si="3"/>
        <v>48931.593638804807</v>
      </c>
      <c r="H27" s="681">
        <f t="shared" si="3"/>
        <v>45675.223666011443</v>
      </c>
      <c r="I27" s="681">
        <f t="shared" si="3"/>
        <v>8856.5456860514769</v>
      </c>
      <c r="J27" s="681">
        <f t="shared" si="3"/>
        <v>0</v>
      </c>
      <c r="K27" s="681">
        <f t="shared" si="3"/>
        <v>1843.515742985312</v>
      </c>
      <c r="L27" s="681">
        <f t="shared" si="3"/>
        <v>0</v>
      </c>
      <c r="M27" s="681">
        <f t="shared" ca="1" si="3"/>
        <v>0</v>
      </c>
      <c r="N27" s="681">
        <f t="shared" si="3"/>
        <v>2928.3624222125495</v>
      </c>
      <c r="O27" s="681">
        <f t="shared" ca="1" si="3"/>
        <v>11857.773255847344</v>
      </c>
      <c r="P27" s="681">
        <f t="shared" si="3"/>
        <v>104.74333333333335</v>
      </c>
      <c r="Q27" s="681">
        <f t="shared" si="3"/>
        <v>800.80000000000007</v>
      </c>
      <c r="R27" s="681">
        <f t="shared" ca="1" si="3"/>
        <v>284551.5621226214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17.308072779524323</v>
      </c>
      <c r="D40" s="979">
        <f ca="1">tertiair!C20</f>
        <v>0</v>
      </c>
      <c r="E40" s="979">
        <f ca="1">tertiair!D20</f>
        <v>2561.153075634033</v>
      </c>
      <c r="F40" s="979">
        <f>tertiair!E20</f>
        <v>48.732459651851265</v>
      </c>
      <c r="G40" s="979">
        <f ca="1">tertiair!F20</f>
        <v>600.76148213821216</v>
      </c>
      <c r="H40" s="979">
        <f>tertiair!G20</f>
        <v>0</v>
      </c>
      <c r="I40" s="979">
        <f>tertiair!H20</f>
        <v>0</v>
      </c>
      <c r="J40" s="979">
        <f>tertiair!I20</f>
        <v>0</v>
      </c>
      <c r="K40" s="979">
        <f>tertiair!J20</f>
        <v>1.5609679979466955E-2</v>
      </c>
      <c r="L40" s="979">
        <f>tertiair!K20</f>
        <v>0</v>
      </c>
      <c r="M40" s="979">
        <f ca="1">tertiair!L20</f>
        <v>0</v>
      </c>
      <c r="N40" s="979">
        <f>tertiair!M20</f>
        <v>0</v>
      </c>
      <c r="O40" s="979">
        <f ca="1">tertiair!N20</f>
        <v>0</v>
      </c>
      <c r="P40" s="979">
        <f>tertiair!O20</f>
        <v>0</v>
      </c>
      <c r="Q40" s="748">
        <f>tertiair!P20</f>
        <v>0</v>
      </c>
      <c r="R40" s="824">
        <f t="shared" ca="1" si="4"/>
        <v>3227.9706998836004</v>
      </c>
    </row>
    <row r="41" spans="1:18">
      <c r="A41" s="796" t="s">
        <v>224</v>
      </c>
      <c r="B41" s="803"/>
      <c r="C41" s="979">
        <f ca="1">huishoudens!B12</f>
        <v>16.061352142687372</v>
      </c>
      <c r="D41" s="979">
        <f ca="1">huishoudens!C12</f>
        <v>0</v>
      </c>
      <c r="E41" s="979">
        <f>huishoudens!D12</f>
        <v>4491.0834190972082</v>
      </c>
      <c r="F41" s="979">
        <f>huishoudens!E12</f>
        <v>1757.8952224387856</v>
      </c>
      <c r="G41" s="979">
        <f>huishoudens!F12</f>
        <v>2442.2235222527097</v>
      </c>
      <c r="H41" s="979">
        <f>huishoudens!G12</f>
        <v>0</v>
      </c>
      <c r="I41" s="979">
        <f>huishoudens!H12</f>
        <v>0</v>
      </c>
      <c r="J41" s="979">
        <f>huishoudens!I12</f>
        <v>0</v>
      </c>
      <c r="K41" s="979">
        <f>huishoudens!J12</f>
        <v>213.34116145960428</v>
      </c>
      <c r="L41" s="979">
        <f>huishoudens!K12</f>
        <v>0</v>
      </c>
      <c r="M41" s="979">
        <f>huishoudens!L12</f>
        <v>0</v>
      </c>
      <c r="N41" s="979">
        <f>huishoudens!M12</f>
        <v>0</v>
      </c>
      <c r="O41" s="979">
        <f>huishoudens!N12</f>
        <v>0</v>
      </c>
      <c r="P41" s="979">
        <f>huishoudens!O12</f>
        <v>0</v>
      </c>
      <c r="Q41" s="748">
        <f>huishoudens!P12</f>
        <v>0</v>
      </c>
      <c r="R41" s="824">
        <f t="shared" ca="1" si="4"/>
        <v>8920.6046773909948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12.442405221508569</v>
      </c>
      <c r="D43" s="979">
        <f ca="1">industrie!C22</f>
        <v>0</v>
      </c>
      <c r="E43" s="979">
        <f>industrie!D22</f>
        <v>545.53487033753493</v>
      </c>
      <c r="F43" s="979">
        <f>industrie!E22</f>
        <v>178.86985434399784</v>
      </c>
      <c r="G43" s="979">
        <f>industrie!F22</f>
        <v>679.43498014540637</v>
      </c>
      <c r="H43" s="979">
        <f>industrie!G22</f>
        <v>0</v>
      </c>
      <c r="I43" s="979">
        <f>industrie!H22</f>
        <v>0</v>
      </c>
      <c r="J43" s="979">
        <f>industrie!I22</f>
        <v>0</v>
      </c>
      <c r="K43" s="979">
        <f>industrie!J22</f>
        <v>8.4862687808828454</v>
      </c>
      <c r="L43" s="979">
        <f>industrie!K22</f>
        <v>0</v>
      </c>
      <c r="M43" s="979">
        <f>industrie!L22</f>
        <v>0</v>
      </c>
      <c r="N43" s="979">
        <f>industrie!M22</f>
        <v>0</v>
      </c>
      <c r="O43" s="979">
        <f>industrie!N22</f>
        <v>0</v>
      </c>
      <c r="P43" s="979">
        <f>industrie!O22</f>
        <v>0</v>
      </c>
      <c r="Q43" s="748">
        <f>industrie!P22</f>
        <v>0</v>
      </c>
      <c r="R43" s="823">
        <f t="shared" ca="1" si="4"/>
        <v>1424.7683788293307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45.811830143720258</v>
      </c>
      <c r="D46" s="706">
        <f t="shared" ref="D46:Q46" ca="1" si="5">SUM(D39:D45)</f>
        <v>0</v>
      </c>
      <c r="E46" s="706">
        <f t="shared" ca="1" si="5"/>
        <v>7597.7713650687765</v>
      </c>
      <c r="F46" s="706">
        <f t="shared" si="5"/>
        <v>1985.4975364346346</v>
      </c>
      <c r="G46" s="706">
        <f t="shared" ca="1" si="5"/>
        <v>3722.4199845363282</v>
      </c>
      <c r="H46" s="706">
        <f t="shared" si="5"/>
        <v>0</v>
      </c>
      <c r="I46" s="706">
        <f t="shared" si="5"/>
        <v>0</v>
      </c>
      <c r="J46" s="706">
        <f t="shared" si="5"/>
        <v>0</v>
      </c>
      <c r="K46" s="706">
        <f t="shared" si="5"/>
        <v>221.84303992046659</v>
      </c>
      <c r="L46" s="706">
        <f t="shared" si="5"/>
        <v>0</v>
      </c>
      <c r="M46" s="706">
        <f t="shared" ca="1" si="5"/>
        <v>0</v>
      </c>
      <c r="N46" s="706">
        <f t="shared" si="5"/>
        <v>0</v>
      </c>
      <c r="O46" s="706">
        <f t="shared" ca="1" si="5"/>
        <v>0</v>
      </c>
      <c r="P46" s="706">
        <f t="shared" si="5"/>
        <v>0</v>
      </c>
      <c r="Q46" s="706">
        <f t="shared" si="5"/>
        <v>0</v>
      </c>
      <c r="R46" s="706">
        <f ca="1">SUM(R39:R45)</f>
        <v>13573.343756103926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158.55819123807024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158.55819123807024</v>
      </c>
    </row>
    <row r="50" spans="1:18">
      <c r="A50" s="799" t="s">
        <v>306</v>
      </c>
      <c r="B50" s="809"/>
      <c r="C50" s="677">
        <f ca="1">transport!B18</f>
        <v>2.5819608090353496E-2</v>
      </c>
      <c r="D50" s="677">
        <f>transport!C18</f>
        <v>0</v>
      </c>
      <c r="E50" s="677">
        <f>transport!D18</f>
        <v>10.587897788081778</v>
      </c>
      <c r="F50" s="677">
        <f>transport!E18</f>
        <v>20.167240412377534</v>
      </c>
      <c r="G50" s="677">
        <f>transport!F18</f>
        <v>0</v>
      </c>
      <c r="H50" s="677">
        <f>transport!G18</f>
        <v>12036.726527586987</v>
      </c>
      <c r="I50" s="677">
        <f>transport!H18</f>
        <v>2205.2798758268177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14272.787361222354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2.5819608090353496E-2</v>
      </c>
      <c r="D52" s="706">
        <f t="shared" ref="D52:Q52" ca="1" si="6">SUM(D48:D51)</f>
        <v>0</v>
      </c>
      <c r="E52" s="706">
        <f t="shared" si="6"/>
        <v>10.587897788081778</v>
      </c>
      <c r="F52" s="706">
        <f t="shared" si="6"/>
        <v>20.167240412377534</v>
      </c>
      <c r="G52" s="706">
        <f t="shared" si="6"/>
        <v>0</v>
      </c>
      <c r="H52" s="706">
        <f t="shared" si="6"/>
        <v>12195.284718825056</v>
      </c>
      <c r="I52" s="706">
        <f t="shared" si="6"/>
        <v>2205.2798758268177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14431.345552460423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11.42950052329522</v>
      </c>
      <c r="D54" s="677">
        <f ca="1">+landbouw!C12</f>
        <v>106.94117647058827</v>
      </c>
      <c r="E54" s="677">
        <f>+landbouw!D12</f>
        <v>600.90932717233682</v>
      </c>
      <c r="F54" s="677">
        <f>+landbouw!E12</f>
        <v>56.040269066480377</v>
      </c>
      <c r="G54" s="677">
        <f>+landbouw!F12</f>
        <v>9342.3155170245554</v>
      </c>
      <c r="H54" s="677">
        <f>+landbouw!G12</f>
        <v>0</v>
      </c>
      <c r="I54" s="677">
        <f>+landbouw!H12</f>
        <v>0</v>
      </c>
      <c r="J54" s="677">
        <f>+landbouw!I12</f>
        <v>0</v>
      </c>
      <c r="K54" s="677">
        <f>+landbouw!J12</f>
        <v>430.76153309633389</v>
      </c>
      <c r="L54" s="677">
        <f>+landbouw!K12</f>
        <v>0</v>
      </c>
      <c r="M54" s="677">
        <f>+landbouw!L12</f>
        <v>0</v>
      </c>
      <c r="N54" s="677">
        <f>+landbouw!M12</f>
        <v>0</v>
      </c>
      <c r="O54" s="677">
        <f>+landbouw!N12</f>
        <v>0</v>
      </c>
      <c r="P54" s="677">
        <f>+landbouw!O12</f>
        <v>0</v>
      </c>
      <c r="Q54" s="678">
        <f>+landbouw!P12</f>
        <v>0</v>
      </c>
      <c r="R54" s="705">
        <f ca="1">SUM(C54:Q54)</f>
        <v>10548.397323353591</v>
      </c>
    </row>
    <row r="55" spans="1:18" ht="15" thickBot="1">
      <c r="A55" s="799" t="s">
        <v>823</v>
      </c>
      <c r="B55" s="809"/>
      <c r="C55" s="677">
        <f ca="1">C25*'EF ele_warmte'!B12</f>
        <v>0.79922519781850521</v>
      </c>
      <c r="D55" s="677"/>
      <c r="E55" s="677">
        <f>E25*EF_CO2_aardgas</f>
        <v>117.34904015469458</v>
      </c>
      <c r="F55" s="677"/>
      <c r="G55" s="677"/>
      <c r="H55" s="677"/>
      <c r="I55" s="677"/>
      <c r="J55" s="677"/>
      <c r="K55" s="677"/>
      <c r="L55" s="677"/>
      <c r="M55" s="677"/>
      <c r="N55" s="677"/>
      <c r="O55" s="677"/>
      <c r="P55" s="677"/>
      <c r="Q55" s="678"/>
      <c r="R55" s="705">
        <f ca="1">SUM(C55:Q55)</f>
        <v>118.14826535251308</v>
      </c>
    </row>
    <row r="56" spans="1:18" ht="15.75" thickBot="1">
      <c r="A56" s="797" t="s">
        <v>824</v>
      </c>
      <c r="B56" s="810"/>
      <c r="C56" s="706">
        <f ca="1">SUM(C54:C55)</f>
        <v>12.228725721113724</v>
      </c>
      <c r="D56" s="706">
        <f t="shared" ref="D56:Q56" ca="1" si="7">SUM(D54:D55)</f>
        <v>106.94117647058827</v>
      </c>
      <c r="E56" s="706">
        <f t="shared" si="7"/>
        <v>718.25836732703135</v>
      </c>
      <c r="F56" s="706">
        <f t="shared" si="7"/>
        <v>56.040269066480377</v>
      </c>
      <c r="G56" s="706">
        <f t="shared" si="7"/>
        <v>9342.3155170245554</v>
      </c>
      <c r="H56" s="706">
        <f t="shared" si="7"/>
        <v>0</v>
      </c>
      <c r="I56" s="706">
        <f t="shared" si="7"/>
        <v>0</v>
      </c>
      <c r="J56" s="706">
        <f t="shared" si="7"/>
        <v>0</v>
      </c>
      <c r="K56" s="706">
        <f t="shared" si="7"/>
        <v>430.76153309633389</v>
      </c>
      <c r="L56" s="706">
        <f t="shared" si="7"/>
        <v>0</v>
      </c>
      <c r="M56" s="706">
        <f t="shared" si="7"/>
        <v>0</v>
      </c>
      <c r="N56" s="706">
        <f t="shared" si="7"/>
        <v>0</v>
      </c>
      <c r="O56" s="706">
        <f t="shared" si="7"/>
        <v>0</v>
      </c>
      <c r="P56" s="706">
        <f t="shared" si="7"/>
        <v>0</v>
      </c>
      <c r="Q56" s="707">
        <f t="shared" si="7"/>
        <v>0</v>
      </c>
      <c r="R56" s="708">
        <f ca="1">SUM(R54:R55)</f>
        <v>10666.545588706103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58.066375472924335</v>
      </c>
      <c r="D61" s="714">
        <f t="shared" ref="D61:Q61" ca="1" si="8">D46+D52+D56</f>
        <v>106.94117647058827</v>
      </c>
      <c r="E61" s="714">
        <f t="shared" ca="1" si="8"/>
        <v>8326.6176301838896</v>
      </c>
      <c r="F61" s="714">
        <f t="shared" si="8"/>
        <v>2061.7050459134925</v>
      </c>
      <c r="G61" s="714">
        <f t="shared" ca="1" si="8"/>
        <v>13064.735501560885</v>
      </c>
      <c r="H61" s="714">
        <f t="shared" si="8"/>
        <v>12195.284718825056</v>
      </c>
      <c r="I61" s="714">
        <f t="shared" si="8"/>
        <v>2205.2798758268177</v>
      </c>
      <c r="J61" s="714">
        <f t="shared" si="8"/>
        <v>0</v>
      </c>
      <c r="K61" s="714">
        <f t="shared" si="8"/>
        <v>652.60457301680049</v>
      </c>
      <c r="L61" s="714">
        <f t="shared" si="8"/>
        <v>0</v>
      </c>
      <c r="M61" s="714">
        <f t="shared" ca="1" si="8"/>
        <v>0</v>
      </c>
      <c r="N61" s="714">
        <f t="shared" si="8"/>
        <v>0</v>
      </c>
      <c r="O61" s="714">
        <f t="shared" ca="1" si="8"/>
        <v>0</v>
      </c>
      <c r="P61" s="714">
        <f t="shared" si="8"/>
        <v>0</v>
      </c>
      <c r="Q61" s="714">
        <f t="shared" si="8"/>
        <v>0</v>
      </c>
      <c r="R61" s="714">
        <f ca="1">R46+R52+R56</f>
        <v>38671.234897270449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1.3608103851722203E-3</v>
      </c>
      <c r="D63" s="755">
        <f t="shared" ca="1" si="9"/>
        <v>1.5151921047132767E-3</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5604.9734245821128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49090.5</v>
      </c>
      <c r="C76" s="724">
        <f>'lokale energieproductie'!B8*IFERROR(SUM(D76:H76)/SUM(D76:O76),0)</f>
        <v>315.00000000000011</v>
      </c>
      <c r="D76" s="1000">
        <f>'lokale energieproductie'!C8</f>
        <v>370.58823529411779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57753.529411764706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74.858823529411794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54695.473424582116</v>
      </c>
      <c r="C78" s="729">
        <f>SUM(C72:C77)</f>
        <v>315.00000000000011</v>
      </c>
      <c r="D78" s="730">
        <f t="shared" ref="D78:H78" si="10">SUM(D76:D77)</f>
        <v>370.58823529411779</v>
      </c>
      <c r="E78" s="730">
        <f t="shared" si="10"/>
        <v>0</v>
      </c>
      <c r="F78" s="730">
        <f t="shared" si="10"/>
        <v>0</v>
      </c>
      <c r="G78" s="730">
        <f t="shared" si="10"/>
        <v>0</v>
      </c>
      <c r="H78" s="730">
        <f t="shared" si="10"/>
        <v>0</v>
      </c>
      <c r="I78" s="730">
        <f>SUM(I76:I77)</f>
        <v>0</v>
      </c>
      <c r="J78" s="730">
        <f>SUM(J76:J77)</f>
        <v>57753.529411764706</v>
      </c>
      <c r="K78" s="730">
        <f t="shared" ref="K78:L78" si="11">SUM(K76:K77)</f>
        <v>0</v>
      </c>
      <c r="L78" s="730">
        <f t="shared" si="11"/>
        <v>0</v>
      </c>
      <c r="M78" s="730">
        <f>SUM(M76:M77)</f>
        <v>0</v>
      </c>
      <c r="N78" s="730">
        <f>SUM(N76:N77)</f>
        <v>0</v>
      </c>
      <c r="O78" s="834">
        <f>SUM(O76:O77)</f>
        <v>0</v>
      </c>
      <c r="P78" s="731">
        <v>0</v>
      </c>
      <c r="Q78" s="731">
        <f>SUM(Q76:Q77)</f>
        <v>74.858823529411794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70129.28571428571</v>
      </c>
      <c r="C87" s="740">
        <f>'lokale energieproductie'!B17*IFERROR(SUM(D87:H87)/SUM(D87:O87),0)</f>
        <v>450.00000000000011</v>
      </c>
      <c r="D87" s="751">
        <f>'lokale energieproductie'!C17</f>
        <v>529.41176470588255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82505.042016806721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106.94117647058827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70129.28571428571</v>
      </c>
      <c r="C90" s="729">
        <f>SUM(C87:C89)</f>
        <v>450.00000000000011</v>
      </c>
      <c r="D90" s="729">
        <f t="shared" ref="D90:H90" si="12">SUM(D87:D89)</f>
        <v>529.41176470588255</v>
      </c>
      <c r="E90" s="729">
        <f t="shared" si="12"/>
        <v>0</v>
      </c>
      <c r="F90" s="729">
        <f t="shared" si="12"/>
        <v>0</v>
      </c>
      <c r="G90" s="729">
        <f t="shared" si="12"/>
        <v>0</v>
      </c>
      <c r="H90" s="729">
        <f t="shared" si="12"/>
        <v>0</v>
      </c>
      <c r="I90" s="729">
        <f>SUM(I87:I89)</f>
        <v>0</v>
      </c>
      <c r="J90" s="729">
        <f>SUM(J87:J89)</f>
        <v>82505.042016806721</v>
      </c>
      <c r="K90" s="729">
        <f t="shared" ref="K90:L90" si="13">SUM(K87:K89)</f>
        <v>0</v>
      </c>
      <c r="L90" s="729">
        <f t="shared" si="13"/>
        <v>0</v>
      </c>
      <c r="M90" s="729">
        <f>SUM(M87:M89)</f>
        <v>0</v>
      </c>
      <c r="N90" s="729">
        <f>SUM(N87:N89)</f>
        <v>0</v>
      </c>
      <c r="O90" s="729">
        <f>SUM(O87:O89)</f>
        <v>0</v>
      </c>
      <c r="P90" s="729">
        <v>0</v>
      </c>
      <c r="Q90" s="729">
        <f>SUM(Q87:Q89)</f>
        <v>106.94117647058827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5604.9734245821128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49405.5</v>
      </c>
      <c r="C8" s="544">
        <f>B50</f>
        <v>370.58823529411779</v>
      </c>
      <c r="D8" s="1010"/>
      <c r="E8" s="1010">
        <f>E50</f>
        <v>0</v>
      </c>
      <c r="F8" s="1011"/>
      <c r="G8" s="545"/>
      <c r="H8" s="1010">
        <f>I50</f>
        <v>0</v>
      </c>
      <c r="I8" s="1010">
        <f>G50+F50</f>
        <v>0</v>
      </c>
      <c r="J8" s="1010">
        <f>H50+D50+C50</f>
        <v>57753.529411764706</v>
      </c>
      <c r="K8" s="1010"/>
      <c r="L8" s="1010"/>
      <c r="M8" s="1010"/>
      <c r="N8" s="546"/>
      <c r="O8" s="547">
        <f>C8*$C$12+D8*$D$12+E8*$E$12+F8*$F$12+G8*$G$12+H8*$H$12+I8*$I$12+J8*$J$12</f>
        <v>74.858823529411794</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55010.473424582116</v>
      </c>
      <c r="C10" s="557">
        <f t="shared" ref="C10:L10" si="0">SUM(C8:C9)</f>
        <v>370.58823529411779</v>
      </c>
      <c r="D10" s="557">
        <f t="shared" si="0"/>
        <v>0</v>
      </c>
      <c r="E10" s="557">
        <f t="shared" si="0"/>
        <v>0</v>
      </c>
      <c r="F10" s="557">
        <f t="shared" si="0"/>
        <v>0</v>
      </c>
      <c r="G10" s="557">
        <f t="shared" si="0"/>
        <v>0</v>
      </c>
      <c r="H10" s="557">
        <f t="shared" si="0"/>
        <v>0</v>
      </c>
      <c r="I10" s="557">
        <f t="shared" si="0"/>
        <v>0</v>
      </c>
      <c r="J10" s="557">
        <f t="shared" si="0"/>
        <v>57753.529411764706</v>
      </c>
      <c r="K10" s="557">
        <f t="shared" si="0"/>
        <v>0</v>
      </c>
      <c r="L10" s="557">
        <f t="shared" si="0"/>
        <v>0</v>
      </c>
      <c r="M10" s="1013"/>
      <c r="N10" s="1013"/>
      <c r="O10" s="558">
        <f>SUM(O4:O9)</f>
        <v>74.858823529411794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70579.28571428571</v>
      </c>
      <c r="C17" s="569">
        <f>B51</f>
        <v>529.41176470588255</v>
      </c>
      <c r="D17" s="570"/>
      <c r="E17" s="570">
        <f>E51</f>
        <v>0</v>
      </c>
      <c r="F17" s="1016"/>
      <c r="G17" s="571"/>
      <c r="H17" s="569">
        <f>I51</f>
        <v>0</v>
      </c>
      <c r="I17" s="570">
        <f>G51+F51</f>
        <v>0</v>
      </c>
      <c r="J17" s="570">
        <f>H51+D51+C51</f>
        <v>82505.042016806721</v>
      </c>
      <c r="K17" s="570"/>
      <c r="L17" s="570"/>
      <c r="M17" s="570"/>
      <c r="N17" s="1017"/>
      <c r="O17" s="572">
        <f>C17*$C$22+E17*$E$22+H17*$H$22+I17*$I$22+J17*$J$22+D17*$D$22+F17*$F$22+G17*$G$22+K17*$K$22+L17*$L$22</f>
        <v>106.94117647058827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70579.28571428571</v>
      </c>
      <c r="C20" s="556">
        <f>SUM(C17:C19)</f>
        <v>529.41176470588255</v>
      </c>
      <c r="D20" s="556">
        <f t="shared" ref="D20:L20" si="1">SUM(D17:D19)</f>
        <v>0</v>
      </c>
      <c r="E20" s="556">
        <f t="shared" si="1"/>
        <v>0</v>
      </c>
      <c r="F20" s="556">
        <f t="shared" si="1"/>
        <v>0</v>
      </c>
      <c r="G20" s="556">
        <f t="shared" si="1"/>
        <v>0</v>
      </c>
      <c r="H20" s="556">
        <f t="shared" si="1"/>
        <v>0</v>
      </c>
      <c r="I20" s="556">
        <f t="shared" si="1"/>
        <v>0</v>
      </c>
      <c r="J20" s="556">
        <f t="shared" si="1"/>
        <v>82505.042016806721</v>
      </c>
      <c r="K20" s="556">
        <f t="shared" si="1"/>
        <v>0</v>
      </c>
      <c r="L20" s="556">
        <f t="shared" si="1"/>
        <v>0</v>
      </c>
      <c r="M20" s="556"/>
      <c r="N20" s="556"/>
      <c r="O20" s="575">
        <f>SUM(O17:O19)</f>
        <v>106.94117647058827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37011</v>
      </c>
      <c r="C28" s="770">
        <v>8740</v>
      </c>
      <c r="D28" s="627" t="s">
        <v>887</v>
      </c>
      <c r="E28" s="626" t="s">
        <v>888</v>
      </c>
      <c r="F28" s="626" t="s">
        <v>889</v>
      </c>
      <c r="G28" s="626" t="s">
        <v>890</v>
      </c>
      <c r="H28" s="626" t="s">
        <v>891</v>
      </c>
      <c r="I28" s="626" t="s">
        <v>892</v>
      </c>
      <c r="J28" s="769">
        <v>40084</v>
      </c>
      <c r="K28" s="769">
        <v>40084</v>
      </c>
      <c r="L28" s="626" t="s">
        <v>893</v>
      </c>
      <c r="M28" s="626">
        <v>1975</v>
      </c>
      <c r="N28" s="626">
        <v>8887.5</v>
      </c>
      <c r="O28" s="626">
        <v>12696.428571428572</v>
      </c>
      <c r="P28" s="626">
        <v>0</v>
      </c>
      <c r="Q28" s="626">
        <v>25392.857142857145</v>
      </c>
      <c r="R28" s="626">
        <v>0</v>
      </c>
      <c r="S28" s="626">
        <v>0</v>
      </c>
      <c r="T28" s="626">
        <v>0</v>
      </c>
      <c r="U28" s="626">
        <v>0</v>
      </c>
      <c r="V28" s="626">
        <v>0</v>
      </c>
      <c r="W28" s="626">
        <v>0</v>
      </c>
      <c r="X28" s="626">
        <v>10</v>
      </c>
      <c r="Y28" s="626" t="s">
        <v>111</v>
      </c>
      <c r="Z28" s="628" t="s">
        <v>111</v>
      </c>
    </row>
    <row r="29" spans="1:26" s="580" customFormat="1" ht="25.5">
      <c r="A29" s="579"/>
      <c r="B29" s="770">
        <v>37011</v>
      </c>
      <c r="C29" s="770">
        <v>8740</v>
      </c>
      <c r="D29" s="627" t="s">
        <v>894</v>
      </c>
      <c r="E29" s="626" t="s">
        <v>895</v>
      </c>
      <c r="F29" s="626" t="s">
        <v>896</v>
      </c>
      <c r="G29" s="626" t="s">
        <v>890</v>
      </c>
      <c r="H29" s="626" t="s">
        <v>891</v>
      </c>
      <c r="I29" s="626" t="s">
        <v>897</v>
      </c>
      <c r="J29" s="769">
        <v>40983</v>
      </c>
      <c r="K29" s="769">
        <v>40983</v>
      </c>
      <c r="L29" s="626" t="s">
        <v>893</v>
      </c>
      <c r="M29" s="626">
        <v>8934</v>
      </c>
      <c r="N29" s="626">
        <v>40203</v>
      </c>
      <c r="O29" s="626">
        <v>57432.857142857145</v>
      </c>
      <c r="P29" s="626">
        <v>0</v>
      </c>
      <c r="Q29" s="626">
        <v>114865.71428571429</v>
      </c>
      <c r="R29" s="626">
        <v>0</v>
      </c>
      <c r="S29" s="626">
        <v>0</v>
      </c>
      <c r="T29" s="626">
        <v>0</v>
      </c>
      <c r="U29" s="626">
        <v>0</v>
      </c>
      <c r="V29" s="626">
        <v>0</v>
      </c>
      <c r="W29" s="626">
        <v>0</v>
      </c>
      <c r="X29" s="626">
        <v>10</v>
      </c>
      <c r="Y29" s="626" t="s">
        <v>111</v>
      </c>
      <c r="Z29" s="628" t="s">
        <v>111</v>
      </c>
    </row>
    <row r="30" spans="1:26" s="580" customFormat="1" ht="38.25">
      <c r="A30" s="579"/>
      <c r="B30" s="770">
        <v>37011</v>
      </c>
      <c r="C30" s="770">
        <v>8740</v>
      </c>
      <c r="D30" s="627" t="s">
        <v>898</v>
      </c>
      <c r="E30" s="626" t="s">
        <v>899</v>
      </c>
      <c r="F30" s="626" t="s">
        <v>900</v>
      </c>
      <c r="G30" s="626" t="s">
        <v>890</v>
      </c>
      <c r="H30" s="626" t="s">
        <v>891</v>
      </c>
      <c r="I30" s="626" t="s">
        <v>899</v>
      </c>
      <c r="J30" s="769">
        <v>40452</v>
      </c>
      <c r="K30" s="769">
        <v>41030</v>
      </c>
      <c r="L30" s="626" t="s">
        <v>893</v>
      </c>
      <c r="M30" s="626">
        <v>70</v>
      </c>
      <c r="N30" s="626">
        <v>315.00000000000006</v>
      </c>
      <c r="O30" s="626">
        <v>450.00000000000011</v>
      </c>
      <c r="P30" s="626">
        <v>900.00000000000023</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10979</v>
      </c>
      <c r="N31" s="584">
        <f>SUM(N28:N30)</f>
        <v>49405.5</v>
      </c>
      <c r="O31" s="584">
        <f>SUM(O28:O30)</f>
        <v>70579.28571428571</v>
      </c>
      <c r="P31" s="584">
        <f>SUM(P28:P30)</f>
        <v>900.00000000000023</v>
      </c>
      <c r="Q31" s="584">
        <f>SUM(Q28:Q30)</f>
        <v>140258.57142857142</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10979</v>
      </c>
      <c r="N34" s="589">
        <f>SUMIF($Z$28:$Z$30,"landbouw",N28:N30)</f>
        <v>49405.5</v>
      </c>
      <c r="O34" s="589">
        <f>SUMIF($Z$28:$Z$30,"landbouw",O28:O30)</f>
        <v>70579.28571428571</v>
      </c>
      <c r="P34" s="589">
        <f>SUMIF($Z$28:$Z$30,"landbouw",P28:P30)</f>
        <v>900.00000000000023</v>
      </c>
      <c r="Q34" s="589">
        <f>SUMIF($Z$28:$Z$30,"landbouw",Q28:Q30)</f>
        <v>140258.57142857142</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370.58823529411779</v>
      </c>
      <c r="C50" s="618">
        <f t="shared" si="2"/>
        <v>57753.529411764706</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529.41176470588255</v>
      </c>
      <c r="C51" s="621">
        <f t="shared" si="3"/>
        <v>82505.042016806721</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11802.784809475634</v>
      </c>
      <c r="C4" s="451">
        <f>huishoudens!C8</f>
        <v>0</v>
      </c>
      <c r="D4" s="451">
        <f>huishoudens!D8</f>
        <v>22233.086233154496</v>
      </c>
      <c r="E4" s="451">
        <f>huishoudens!E8</f>
        <v>7744.0318169109496</v>
      </c>
      <c r="F4" s="451">
        <f>huishoudens!F8</f>
        <v>9146.9045777255033</v>
      </c>
      <c r="G4" s="451">
        <f>huishoudens!G8</f>
        <v>0</v>
      </c>
      <c r="H4" s="451">
        <f>huishoudens!H8</f>
        <v>0</v>
      </c>
      <c r="I4" s="451">
        <f>huishoudens!I8</f>
        <v>0</v>
      </c>
      <c r="J4" s="451">
        <f>huishoudens!J8</f>
        <v>602.6586481909726</v>
      </c>
      <c r="K4" s="451">
        <f>huishoudens!K8</f>
        <v>0</v>
      </c>
      <c r="L4" s="451">
        <f>huishoudens!L8</f>
        <v>0</v>
      </c>
      <c r="M4" s="451">
        <f>huishoudens!M8</f>
        <v>0</v>
      </c>
      <c r="N4" s="451">
        <f>huishoudens!N8</f>
        <v>9503.7239443851267</v>
      </c>
      <c r="O4" s="451">
        <f>huishoudens!O8</f>
        <v>104.74333333333335</v>
      </c>
      <c r="P4" s="452">
        <f>huishoudens!P8</f>
        <v>781.73333333333335</v>
      </c>
      <c r="Q4" s="453">
        <f>SUM(B4:P4)</f>
        <v>61919.666696509339</v>
      </c>
    </row>
    <row r="5" spans="1:17">
      <c r="A5" s="450" t="s">
        <v>155</v>
      </c>
      <c r="B5" s="451">
        <f ca="1">tertiair!B16</f>
        <v>12097.413246243003</v>
      </c>
      <c r="C5" s="451">
        <f ca="1">tertiair!C16</f>
        <v>0</v>
      </c>
      <c r="D5" s="451">
        <f ca="1">tertiair!D16</f>
        <v>12678.975621950658</v>
      </c>
      <c r="E5" s="451">
        <f>tertiair!E16</f>
        <v>214.68043899493949</v>
      </c>
      <c r="F5" s="451">
        <f ca="1">tertiair!F16</f>
        <v>2250.0430042629669</v>
      </c>
      <c r="G5" s="451">
        <f>tertiair!G16</f>
        <v>0</v>
      </c>
      <c r="H5" s="451">
        <f>tertiair!H16</f>
        <v>0</v>
      </c>
      <c r="I5" s="451">
        <f>tertiair!I16</f>
        <v>0</v>
      </c>
      <c r="J5" s="451">
        <f>tertiair!J16</f>
        <v>4.4095141184934905E-2</v>
      </c>
      <c r="K5" s="451">
        <f>tertiair!K16</f>
        <v>0</v>
      </c>
      <c r="L5" s="451">
        <f ca="1">tertiair!L16</f>
        <v>0</v>
      </c>
      <c r="M5" s="451">
        <f>tertiair!M16</f>
        <v>0</v>
      </c>
      <c r="N5" s="451">
        <f ca="1">tertiair!N16</f>
        <v>1744.8599334459439</v>
      </c>
      <c r="O5" s="451">
        <f>tertiair!O16</f>
        <v>0</v>
      </c>
      <c r="P5" s="452">
        <f>tertiair!P16</f>
        <v>19.066666666666666</v>
      </c>
      <c r="Q5" s="450">
        <f t="shared" ref="Q5:Q14" ca="1" si="0">SUM(B5:P5)</f>
        <v>29005.083006705358</v>
      </c>
    </row>
    <row r="6" spans="1:17">
      <c r="A6" s="450" t="s">
        <v>193</v>
      </c>
      <c r="B6" s="451">
        <f>'openbare verlichting'!B8</f>
        <v>621.53200000000004</v>
      </c>
      <c r="C6" s="451"/>
      <c r="D6" s="451"/>
      <c r="E6" s="451"/>
      <c r="F6" s="451"/>
      <c r="G6" s="451"/>
      <c r="H6" s="451"/>
      <c r="I6" s="451"/>
      <c r="J6" s="451"/>
      <c r="K6" s="451"/>
      <c r="L6" s="451"/>
      <c r="M6" s="451"/>
      <c r="N6" s="451"/>
      <c r="O6" s="451"/>
      <c r="P6" s="452"/>
      <c r="Q6" s="450">
        <f t="shared" si="0"/>
        <v>621.53200000000004</v>
      </c>
    </row>
    <row r="7" spans="1:17">
      <c r="A7" s="450" t="s">
        <v>111</v>
      </c>
      <c r="B7" s="451">
        <f>landbouw!B8</f>
        <v>8399.039754424517</v>
      </c>
      <c r="C7" s="451">
        <f>landbouw!C8</f>
        <v>70579.28571428571</v>
      </c>
      <c r="D7" s="451">
        <f>landbouw!D8</f>
        <v>2974.7986493680037</v>
      </c>
      <c r="E7" s="451">
        <f>landbouw!E8</f>
        <v>246.87343201092676</v>
      </c>
      <c r="F7" s="451">
        <f>landbouw!F8</f>
        <v>34989.945756646273</v>
      </c>
      <c r="G7" s="451">
        <f>landbouw!G8</f>
        <v>0</v>
      </c>
      <c r="H7" s="451">
        <f>landbouw!H8</f>
        <v>0</v>
      </c>
      <c r="I7" s="451">
        <f>landbouw!I8</f>
        <v>0</v>
      </c>
      <c r="J7" s="451">
        <f>landbouw!J8</f>
        <v>1216.8404889726946</v>
      </c>
      <c r="K7" s="451">
        <f>landbouw!K8</f>
        <v>0</v>
      </c>
      <c r="L7" s="451">
        <f>landbouw!L8</f>
        <v>0</v>
      </c>
      <c r="M7" s="451">
        <f>landbouw!M8</f>
        <v>0</v>
      </c>
      <c r="N7" s="451">
        <f>landbouw!N8</f>
        <v>0</v>
      </c>
      <c r="O7" s="451">
        <f>landbouw!O8</f>
        <v>0</v>
      </c>
      <c r="P7" s="452">
        <f>landbouw!P8</f>
        <v>0</v>
      </c>
      <c r="Q7" s="450">
        <f t="shared" si="0"/>
        <v>118406.78379570812</v>
      </c>
    </row>
    <row r="8" spans="1:17">
      <c r="A8" s="450" t="s">
        <v>634</v>
      </c>
      <c r="B8" s="451">
        <f>industrie!B18</f>
        <v>9143.3790901984412</v>
      </c>
      <c r="C8" s="451">
        <f>industrie!C18</f>
        <v>0</v>
      </c>
      <c r="D8" s="451">
        <f>industrie!D18</f>
        <v>2700.6676749382914</v>
      </c>
      <c r="E8" s="451">
        <f>industrie!E18</f>
        <v>787.97292662554116</v>
      </c>
      <c r="F8" s="451">
        <f>industrie!F18</f>
        <v>2544.7003001700614</v>
      </c>
      <c r="G8" s="451">
        <f>industrie!G18</f>
        <v>0</v>
      </c>
      <c r="H8" s="451">
        <f>industrie!H18</f>
        <v>0</v>
      </c>
      <c r="I8" s="451">
        <f>industrie!I18</f>
        <v>0</v>
      </c>
      <c r="J8" s="451">
        <f>industrie!J18</f>
        <v>23.972510680460015</v>
      </c>
      <c r="K8" s="451">
        <f>industrie!K18</f>
        <v>0</v>
      </c>
      <c r="L8" s="451">
        <f>industrie!L18</f>
        <v>0</v>
      </c>
      <c r="M8" s="451">
        <f>industrie!M18</f>
        <v>0</v>
      </c>
      <c r="N8" s="451">
        <f>industrie!N18</f>
        <v>609.18937801627408</v>
      </c>
      <c r="O8" s="451">
        <f>industrie!O18</f>
        <v>0</v>
      </c>
      <c r="P8" s="452">
        <f>industrie!P18</f>
        <v>0</v>
      </c>
      <c r="Q8" s="450">
        <f t="shared" si="0"/>
        <v>15809.881880629069</v>
      </c>
    </row>
    <row r="9" spans="1:17" s="456" customFormat="1">
      <c r="A9" s="454" t="s">
        <v>560</v>
      </c>
      <c r="B9" s="455">
        <f>transport!B14</f>
        <v>18.973700062618082</v>
      </c>
      <c r="C9" s="455">
        <f>transport!C14</f>
        <v>0</v>
      </c>
      <c r="D9" s="455">
        <f>transport!D14</f>
        <v>52.415335584563252</v>
      </c>
      <c r="E9" s="455">
        <f>transport!E14</f>
        <v>88.842468776993542</v>
      </c>
      <c r="F9" s="455">
        <f>transport!F14</f>
        <v>0</v>
      </c>
      <c r="G9" s="455">
        <f>transport!G14</f>
        <v>45081.372762498075</v>
      </c>
      <c r="H9" s="455">
        <f>transport!H14</f>
        <v>8856.5456860514769</v>
      </c>
      <c r="I9" s="455">
        <f>transport!I14</f>
        <v>0</v>
      </c>
      <c r="J9" s="455">
        <f>transport!J14</f>
        <v>0</v>
      </c>
      <c r="K9" s="455">
        <f>transport!K14</f>
        <v>0</v>
      </c>
      <c r="L9" s="455">
        <f>transport!L14</f>
        <v>0</v>
      </c>
      <c r="M9" s="455">
        <f>transport!M14</f>
        <v>2894.6368602857478</v>
      </c>
      <c r="N9" s="455">
        <f>transport!N14</f>
        <v>0</v>
      </c>
      <c r="O9" s="455">
        <f>transport!O14</f>
        <v>0</v>
      </c>
      <c r="P9" s="455">
        <f>transport!P14</f>
        <v>0</v>
      </c>
      <c r="Q9" s="454">
        <f>SUM(B9:P9)</f>
        <v>56992.786813259474</v>
      </c>
    </row>
    <row r="10" spans="1:17">
      <c r="A10" s="450" t="s">
        <v>550</v>
      </c>
      <c r="B10" s="451">
        <f>transport!B54</f>
        <v>0</v>
      </c>
      <c r="C10" s="451">
        <f>transport!C54</f>
        <v>0</v>
      </c>
      <c r="D10" s="451">
        <f>transport!D54</f>
        <v>0</v>
      </c>
      <c r="E10" s="451">
        <f>transport!E54</f>
        <v>0</v>
      </c>
      <c r="F10" s="451">
        <f>transport!F54</f>
        <v>0</v>
      </c>
      <c r="G10" s="451">
        <f>transport!G54</f>
        <v>593.85090351337169</v>
      </c>
      <c r="H10" s="451">
        <f>transport!H54</f>
        <v>0</v>
      </c>
      <c r="I10" s="451">
        <f>transport!I54</f>
        <v>0</v>
      </c>
      <c r="J10" s="451">
        <f>transport!J54</f>
        <v>0</v>
      </c>
      <c r="K10" s="451">
        <f>transport!K54</f>
        <v>0</v>
      </c>
      <c r="L10" s="451">
        <f>transport!L54</f>
        <v>0</v>
      </c>
      <c r="M10" s="451">
        <f>transport!M54</f>
        <v>33.725561926801639</v>
      </c>
      <c r="N10" s="451">
        <f>transport!N54</f>
        <v>0</v>
      </c>
      <c r="O10" s="451">
        <f>transport!O54</f>
        <v>0</v>
      </c>
      <c r="P10" s="452">
        <f>transport!P54</f>
        <v>0</v>
      </c>
      <c r="Q10" s="450">
        <f t="shared" si="0"/>
        <v>627.57646544017337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587.31562201985798</v>
      </c>
      <c r="C14" s="458"/>
      <c r="D14" s="458">
        <f>'SEAP template'!E25</f>
        <v>580.93584234997309</v>
      </c>
      <c r="E14" s="458"/>
      <c r="F14" s="458"/>
      <c r="G14" s="458"/>
      <c r="H14" s="458"/>
      <c r="I14" s="458"/>
      <c r="J14" s="458"/>
      <c r="K14" s="458"/>
      <c r="L14" s="458"/>
      <c r="M14" s="458"/>
      <c r="N14" s="458"/>
      <c r="O14" s="458"/>
      <c r="P14" s="459"/>
      <c r="Q14" s="450">
        <f t="shared" si="0"/>
        <v>1168.251464369831</v>
      </c>
    </row>
    <row r="15" spans="1:17" s="460" customFormat="1">
      <c r="A15" s="1005" t="s">
        <v>554</v>
      </c>
      <c r="B15" s="953">
        <f ca="1">SUM(B4:B14)</f>
        <v>42670.438222424069</v>
      </c>
      <c r="C15" s="953">
        <f t="shared" ref="C15:Q15" ca="1" si="1">SUM(C4:C14)</f>
        <v>70579.28571428571</v>
      </c>
      <c r="D15" s="953">
        <f t="shared" ca="1" si="1"/>
        <v>41220.879357345977</v>
      </c>
      <c r="E15" s="953">
        <f t="shared" si="1"/>
        <v>9082.4010833193497</v>
      </c>
      <c r="F15" s="953">
        <f t="shared" ca="1" si="1"/>
        <v>48931.593638804799</v>
      </c>
      <c r="G15" s="953">
        <f t="shared" si="1"/>
        <v>45675.223666011443</v>
      </c>
      <c r="H15" s="953">
        <f t="shared" si="1"/>
        <v>8856.5456860514769</v>
      </c>
      <c r="I15" s="953">
        <f t="shared" si="1"/>
        <v>0</v>
      </c>
      <c r="J15" s="953">
        <f t="shared" si="1"/>
        <v>1843.5157429853123</v>
      </c>
      <c r="K15" s="953">
        <f t="shared" si="1"/>
        <v>0</v>
      </c>
      <c r="L15" s="953">
        <f t="shared" ca="1" si="1"/>
        <v>0</v>
      </c>
      <c r="M15" s="953">
        <f t="shared" si="1"/>
        <v>2928.3624222125495</v>
      </c>
      <c r="N15" s="953">
        <f t="shared" ca="1" si="1"/>
        <v>11857.773255847344</v>
      </c>
      <c r="O15" s="953">
        <f t="shared" si="1"/>
        <v>104.74333333333335</v>
      </c>
      <c r="P15" s="953">
        <f t="shared" si="1"/>
        <v>800.80000000000007</v>
      </c>
      <c r="Q15" s="953">
        <f t="shared" ca="1" si="1"/>
        <v>284551.5621226214</v>
      </c>
    </row>
    <row r="17" spans="1:17">
      <c r="A17" s="461" t="s">
        <v>555</v>
      </c>
      <c r="B17" s="760">
        <f ca="1">huishoudens!B10</f>
        <v>1.3608103851722206E-3</v>
      </c>
      <c r="C17" s="760">
        <f ca="1">huishoudens!C10</f>
        <v>1.5151921047132767E-3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16.061352142687372</v>
      </c>
      <c r="C22" s="451">
        <f t="shared" ref="C22:C32" ca="1" si="3">C4*$C$17</f>
        <v>0</v>
      </c>
      <c r="D22" s="451">
        <f t="shared" ref="D22:D32" si="4">D4*$D$17</f>
        <v>4491.0834190972082</v>
      </c>
      <c r="E22" s="451">
        <f t="shared" ref="E22:E32" si="5">E4*$E$17</f>
        <v>1757.8952224387856</v>
      </c>
      <c r="F22" s="451">
        <f t="shared" ref="F22:F32" si="6">F4*$F$17</f>
        <v>2442.2235222527097</v>
      </c>
      <c r="G22" s="451">
        <f t="shared" ref="G22:G32" si="7">G4*$G$17</f>
        <v>0</v>
      </c>
      <c r="H22" s="451">
        <f t="shared" ref="H22:H32" si="8">H4*$H$17</f>
        <v>0</v>
      </c>
      <c r="I22" s="451">
        <f t="shared" ref="I22:I32" si="9">I4*$I$17</f>
        <v>0</v>
      </c>
      <c r="J22" s="451">
        <f t="shared" ref="J22:J32" si="10">J4*$J$17</f>
        <v>213.34116145960428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8920.6046773909948</v>
      </c>
    </row>
    <row r="23" spans="1:17">
      <c r="A23" s="450" t="s">
        <v>155</v>
      </c>
      <c r="B23" s="451">
        <f t="shared" ca="1" si="2"/>
        <v>16.462285579207464</v>
      </c>
      <c r="C23" s="451">
        <f t="shared" ca="1" si="3"/>
        <v>0</v>
      </c>
      <c r="D23" s="451">
        <f t="shared" ca="1" si="4"/>
        <v>2561.153075634033</v>
      </c>
      <c r="E23" s="451">
        <f t="shared" si="5"/>
        <v>48.732459651851265</v>
      </c>
      <c r="F23" s="451">
        <f t="shared" ca="1" si="6"/>
        <v>600.76148213821216</v>
      </c>
      <c r="G23" s="451">
        <f t="shared" si="7"/>
        <v>0</v>
      </c>
      <c r="H23" s="451">
        <f t="shared" si="8"/>
        <v>0</v>
      </c>
      <c r="I23" s="451">
        <f t="shared" si="9"/>
        <v>0</v>
      </c>
      <c r="J23" s="451">
        <f t="shared" si="10"/>
        <v>1.5609679979466955E-2</v>
      </c>
      <c r="K23" s="451">
        <f t="shared" si="11"/>
        <v>0</v>
      </c>
      <c r="L23" s="451">
        <f t="shared" ca="1" si="12"/>
        <v>0</v>
      </c>
      <c r="M23" s="451">
        <f t="shared" si="13"/>
        <v>0</v>
      </c>
      <c r="N23" s="451">
        <f t="shared" ca="1" si="14"/>
        <v>0</v>
      </c>
      <c r="O23" s="451">
        <f t="shared" si="15"/>
        <v>0</v>
      </c>
      <c r="P23" s="452">
        <f t="shared" si="16"/>
        <v>0</v>
      </c>
      <c r="Q23" s="450">
        <f t="shared" ref="Q23:Q32" ca="1" si="17">SUM(B23:P23)</f>
        <v>3227.1249126832836</v>
      </c>
    </row>
    <row r="24" spans="1:17">
      <c r="A24" s="450" t="s">
        <v>193</v>
      </c>
      <c r="B24" s="451">
        <f t="shared" ca="1" si="2"/>
        <v>0.84578720031686061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0.84578720031686061</v>
      </c>
    </row>
    <row r="25" spans="1:17">
      <c r="A25" s="450" t="s">
        <v>111</v>
      </c>
      <c r="B25" s="451">
        <f t="shared" ca="1" si="2"/>
        <v>11.42950052329522</v>
      </c>
      <c r="C25" s="451">
        <f t="shared" ca="1" si="3"/>
        <v>106.94117647058827</v>
      </c>
      <c r="D25" s="451">
        <f t="shared" si="4"/>
        <v>600.90932717233682</v>
      </c>
      <c r="E25" s="451">
        <f t="shared" si="5"/>
        <v>56.040269066480377</v>
      </c>
      <c r="F25" s="451">
        <f t="shared" si="6"/>
        <v>9342.3155170245554</v>
      </c>
      <c r="G25" s="451">
        <f t="shared" si="7"/>
        <v>0</v>
      </c>
      <c r="H25" s="451">
        <f t="shared" si="8"/>
        <v>0</v>
      </c>
      <c r="I25" s="451">
        <f t="shared" si="9"/>
        <v>0</v>
      </c>
      <c r="J25" s="451">
        <f t="shared" si="10"/>
        <v>430.76153309633389</v>
      </c>
      <c r="K25" s="451">
        <f t="shared" si="11"/>
        <v>0</v>
      </c>
      <c r="L25" s="451">
        <f t="shared" si="12"/>
        <v>0</v>
      </c>
      <c r="M25" s="451">
        <f t="shared" si="13"/>
        <v>0</v>
      </c>
      <c r="N25" s="451">
        <f t="shared" si="14"/>
        <v>0</v>
      </c>
      <c r="O25" s="451">
        <f t="shared" si="15"/>
        <v>0</v>
      </c>
      <c r="P25" s="452">
        <f t="shared" si="16"/>
        <v>0</v>
      </c>
      <c r="Q25" s="450">
        <f t="shared" ca="1" si="17"/>
        <v>10548.397323353591</v>
      </c>
    </row>
    <row r="26" spans="1:17">
      <c r="A26" s="450" t="s">
        <v>634</v>
      </c>
      <c r="B26" s="451">
        <f t="shared" ca="1" si="2"/>
        <v>12.442405221508569</v>
      </c>
      <c r="C26" s="451">
        <f t="shared" ca="1" si="3"/>
        <v>0</v>
      </c>
      <c r="D26" s="451">
        <f t="shared" si="4"/>
        <v>545.53487033753493</v>
      </c>
      <c r="E26" s="451">
        <f t="shared" si="5"/>
        <v>178.86985434399784</v>
      </c>
      <c r="F26" s="451">
        <f t="shared" si="6"/>
        <v>679.43498014540637</v>
      </c>
      <c r="G26" s="451">
        <f t="shared" si="7"/>
        <v>0</v>
      </c>
      <c r="H26" s="451">
        <f t="shared" si="8"/>
        <v>0</v>
      </c>
      <c r="I26" s="451">
        <f t="shared" si="9"/>
        <v>0</v>
      </c>
      <c r="J26" s="451">
        <f t="shared" si="10"/>
        <v>8.4862687808828454</v>
      </c>
      <c r="K26" s="451">
        <f t="shared" si="11"/>
        <v>0</v>
      </c>
      <c r="L26" s="451">
        <f t="shared" si="12"/>
        <v>0</v>
      </c>
      <c r="M26" s="451">
        <f t="shared" si="13"/>
        <v>0</v>
      </c>
      <c r="N26" s="451">
        <f t="shared" si="14"/>
        <v>0</v>
      </c>
      <c r="O26" s="451">
        <f t="shared" si="15"/>
        <v>0</v>
      </c>
      <c r="P26" s="452">
        <f t="shared" si="16"/>
        <v>0</v>
      </c>
      <c r="Q26" s="450">
        <f t="shared" ca="1" si="17"/>
        <v>1424.7683788293307</v>
      </c>
    </row>
    <row r="27" spans="1:17" s="456" customFormat="1">
      <c r="A27" s="454" t="s">
        <v>560</v>
      </c>
      <c r="B27" s="754">
        <f t="shared" ca="1" si="2"/>
        <v>2.5819608090353496E-2</v>
      </c>
      <c r="C27" s="455">
        <f t="shared" ca="1" si="3"/>
        <v>0</v>
      </c>
      <c r="D27" s="455">
        <f t="shared" si="4"/>
        <v>10.587897788081778</v>
      </c>
      <c r="E27" s="455">
        <f t="shared" si="5"/>
        <v>20.167240412377534</v>
      </c>
      <c r="F27" s="455">
        <f t="shared" si="6"/>
        <v>0</v>
      </c>
      <c r="G27" s="455">
        <f t="shared" si="7"/>
        <v>12036.726527586987</v>
      </c>
      <c r="H27" s="455">
        <f t="shared" si="8"/>
        <v>2205.2798758268177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14272.787361222354</v>
      </c>
    </row>
    <row r="28" spans="1:17">
      <c r="A28" s="450" t="s">
        <v>550</v>
      </c>
      <c r="B28" s="451">
        <f t="shared" ca="1" si="2"/>
        <v>0</v>
      </c>
      <c r="C28" s="451">
        <f t="shared" ca="1" si="3"/>
        <v>0</v>
      </c>
      <c r="D28" s="451">
        <f t="shared" si="4"/>
        <v>0</v>
      </c>
      <c r="E28" s="451">
        <f t="shared" si="5"/>
        <v>0</v>
      </c>
      <c r="F28" s="451">
        <f t="shared" si="6"/>
        <v>0</v>
      </c>
      <c r="G28" s="451">
        <f t="shared" si="7"/>
        <v>158.55819123807024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158.55819123807024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0.79922519781850521</v>
      </c>
      <c r="C32" s="451">
        <f t="shared" ca="1" si="3"/>
        <v>0</v>
      </c>
      <c r="D32" s="451">
        <f t="shared" si="4"/>
        <v>117.34904015469458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118.14826535251308</v>
      </c>
    </row>
    <row r="33" spans="1:17" s="460" customFormat="1">
      <c r="A33" s="1005" t="s">
        <v>554</v>
      </c>
      <c r="B33" s="953">
        <f ca="1">SUM(B22:B32)</f>
        <v>58.066375472924349</v>
      </c>
      <c r="C33" s="953">
        <f t="shared" ref="C33:Q33" ca="1" si="18">SUM(C22:C32)</f>
        <v>106.94117647058827</v>
      </c>
      <c r="D33" s="953">
        <f t="shared" ca="1" si="18"/>
        <v>8326.6176301838914</v>
      </c>
      <c r="E33" s="953">
        <f t="shared" si="18"/>
        <v>2061.7050459134925</v>
      </c>
      <c r="F33" s="953">
        <f t="shared" ca="1" si="18"/>
        <v>13064.735501560883</v>
      </c>
      <c r="G33" s="953">
        <f t="shared" si="18"/>
        <v>12195.284718825056</v>
      </c>
      <c r="H33" s="953">
        <f t="shared" si="18"/>
        <v>2205.2798758268177</v>
      </c>
      <c r="I33" s="953">
        <f t="shared" si="18"/>
        <v>0</v>
      </c>
      <c r="J33" s="953">
        <f t="shared" si="18"/>
        <v>652.60457301680049</v>
      </c>
      <c r="K33" s="953">
        <f t="shared" si="18"/>
        <v>0</v>
      </c>
      <c r="L33" s="953">
        <f t="shared" ca="1" si="18"/>
        <v>0</v>
      </c>
      <c r="M33" s="953">
        <f t="shared" si="18"/>
        <v>0</v>
      </c>
      <c r="N33" s="953">
        <f t="shared" ca="1" si="18"/>
        <v>0</v>
      </c>
      <c r="O33" s="953">
        <f t="shared" si="18"/>
        <v>0</v>
      </c>
      <c r="P33" s="953">
        <f t="shared" si="18"/>
        <v>0</v>
      </c>
      <c r="Q33" s="953">
        <f t="shared" ca="1" si="18"/>
        <v>38671.234897270464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5604.9734245821128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49090.5</v>
      </c>
      <c r="C8" s="1022">
        <f>'SEAP template'!C76</f>
        <v>315.00000000000011</v>
      </c>
      <c r="D8" s="1022">
        <f>'SEAP template'!D76</f>
        <v>370.58823529411779</v>
      </c>
      <c r="E8" s="1022">
        <f>'SEAP template'!E76</f>
        <v>0</v>
      </c>
      <c r="F8" s="1022">
        <f>'SEAP template'!F76</f>
        <v>0</v>
      </c>
      <c r="G8" s="1022">
        <f>'SEAP template'!G76</f>
        <v>0</v>
      </c>
      <c r="H8" s="1022">
        <f>'SEAP template'!H76</f>
        <v>0</v>
      </c>
      <c r="I8" s="1022">
        <f>'SEAP template'!I76</f>
        <v>0</v>
      </c>
      <c r="J8" s="1022">
        <f>'SEAP template'!J76</f>
        <v>57753.529411764706</v>
      </c>
      <c r="K8" s="1022">
        <f>'SEAP template'!K76</f>
        <v>0</v>
      </c>
      <c r="L8" s="1022">
        <f>'SEAP template'!L76</f>
        <v>0</v>
      </c>
      <c r="M8" s="1022">
        <f>'SEAP template'!M76</f>
        <v>0</v>
      </c>
      <c r="N8" s="1022">
        <f>'SEAP template'!N76</f>
        <v>0</v>
      </c>
      <c r="O8" s="1022">
        <f>'SEAP template'!O76</f>
        <v>0</v>
      </c>
      <c r="P8" s="1023">
        <f>'SEAP template'!Q76</f>
        <v>74.858823529411794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54695.473424582116</v>
      </c>
      <c r="C10" s="1026">
        <f>SUM(C4:C9)</f>
        <v>315.00000000000011</v>
      </c>
      <c r="D10" s="1026">
        <f t="shared" ref="D10:H10" si="0">SUM(D8:D9)</f>
        <v>370.58823529411779</v>
      </c>
      <c r="E10" s="1026">
        <f t="shared" si="0"/>
        <v>0</v>
      </c>
      <c r="F10" s="1026">
        <f t="shared" si="0"/>
        <v>0</v>
      </c>
      <c r="G10" s="1026">
        <f t="shared" si="0"/>
        <v>0</v>
      </c>
      <c r="H10" s="1026">
        <f t="shared" si="0"/>
        <v>0</v>
      </c>
      <c r="I10" s="1026">
        <f>SUM(I8:I9)</f>
        <v>0</v>
      </c>
      <c r="J10" s="1026">
        <f>SUM(J8:J9)</f>
        <v>57753.529411764706</v>
      </c>
      <c r="K10" s="1026">
        <f t="shared" ref="K10:L10" si="1">SUM(K8:K9)</f>
        <v>0</v>
      </c>
      <c r="L10" s="1026">
        <f t="shared" si="1"/>
        <v>0</v>
      </c>
      <c r="M10" s="1026">
        <f>SUM(M8:M9)</f>
        <v>0</v>
      </c>
      <c r="N10" s="1026">
        <f>SUM(N8:N9)</f>
        <v>0</v>
      </c>
      <c r="O10" s="1026">
        <f>SUM(O8:O9)</f>
        <v>0</v>
      </c>
      <c r="P10" s="1026">
        <f>SUM(P8:P9)</f>
        <v>74.858823529411794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1.3608103851722206E-3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70129.28571428571</v>
      </c>
      <c r="C17" s="1028">
        <f>'SEAP template'!C87</f>
        <v>450.00000000000011</v>
      </c>
      <c r="D17" s="1023">
        <f>'SEAP template'!D87</f>
        <v>529.41176470588255</v>
      </c>
      <c r="E17" s="1023">
        <f>'SEAP template'!E87</f>
        <v>0</v>
      </c>
      <c r="F17" s="1023">
        <f>'SEAP template'!F87</f>
        <v>0</v>
      </c>
      <c r="G17" s="1023">
        <f>'SEAP template'!G87</f>
        <v>0</v>
      </c>
      <c r="H17" s="1023">
        <f>'SEAP template'!H87</f>
        <v>0</v>
      </c>
      <c r="I17" s="1023">
        <f>'SEAP template'!I87</f>
        <v>0</v>
      </c>
      <c r="J17" s="1023">
        <f>'SEAP template'!J87</f>
        <v>82505.042016806721</v>
      </c>
      <c r="K17" s="1023">
        <f>'SEAP template'!K87</f>
        <v>0</v>
      </c>
      <c r="L17" s="1023">
        <f>'SEAP template'!L87</f>
        <v>0</v>
      </c>
      <c r="M17" s="1023">
        <f>'SEAP template'!M87</f>
        <v>0</v>
      </c>
      <c r="N17" s="1023">
        <f>'SEAP template'!N87</f>
        <v>0</v>
      </c>
      <c r="O17" s="1023">
        <f>'SEAP template'!O87</f>
        <v>0</v>
      </c>
      <c r="P17" s="1023">
        <f>'SEAP template'!Q87</f>
        <v>106.94117647058827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70129.28571428571</v>
      </c>
      <c r="C20" s="1026">
        <f>SUM(C17:C19)</f>
        <v>450.00000000000011</v>
      </c>
      <c r="D20" s="1026">
        <f t="shared" ref="D20:H20" si="2">SUM(D17:D19)</f>
        <v>529.41176470588255</v>
      </c>
      <c r="E20" s="1026">
        <f t="shared" si="2"/>
        <v>0</v>
      </c>
      <c r="F20" s="1026">
        <f t="shared" si="2"/>
        <v>0</v>
      </c>
      <c r="G20" s="1026">
        <f t="shared" si="2"/>
        <v>0</v>
      </c>
      <c r="H20" s="1026">
        <f t="shared" si="2"/>
        <v>0</v>
      </c>
      <c r="I20" s="1026">
        <f>SUM(I17:I19)</f>
        <v>0</v>
      </c>
      <c r="J20" s="1026">
        <f>SUM(J17:J19)</f>
        <v>82505.042016806721</v>
      </c>
      <c r="K20" s="1026">
        <f t="shared" ref="K20:L20" si="3">SUM(K17:K19)</f>
        <v>0</v>
      </c>
      <c r="L20" s="1026">
        <f t="shared" si="3"/>
        <v>0</v>
      </c>
      <c r="M20" s="1026">
        <f>SUM(M17:M19)</f>
        <v>0</v>
      </c>
      <c r="N20" s="1026">
        <f>SUM(N17:N19)</f>
        <v>0</v>
      </c>
      <c r="O20" s="1026">
        <f>SUM(O17:O19)</f>
        <v>0</v>
      </c>
      <c r="P20" s="1026">
        <f>SUM(P17:P19)</f>
        <v>106.94117647058827</v>
      </c>
    </row>
    <row r="22" spans="1:16">
      <c r="A22" s="461" t="s">
        <v>848</v>
      </c>
      <c r="B22" s="760" t="s">
        <v>842</v>
      </c>
      <c r="C22" s="760">
        <f ca="1">'EF ele_warmte'!B22</f>
        <v>1.5151921047132767E-3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1.3608103851722206E-3</v>
      </c>
      <c r="C17" s="498">
        <f ca="1">'EF ele_warmte'!B22</f>
        <v>1.5151921047132767E-3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2020-06-20T15:45:14Z</dcterms:modified>
</cp:coreProperties>
</file>