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J77" i="14" s="1"/>
  <c r="J9" i="61" s="1"/>
  <c r="U36" i="18"/>
  <c r="I9" i="18" s="1"/>
  <c r="T36" i="18"/>
  <c r="S36" i="18"/>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C13" i="15" l="1"/>
  <c r="D13" i="15"/>
  <c r="M77" i="14"/>
  <c r="M9" i="61" s="1"/>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E49" i="18"/>
  <c r="E17" i="18" s="1"/>
  <c r="I8" i="18"/>
  <c r="F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N52" i="14"/>
  <c r="N61" i="14" s="1"/>
  <c r="E5" i="48"/>
  <c r="E23" i="48" s="1"/>
  <c r="F10" i="14"/>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J15" i="48" l="1"/>
  <c r="F13" i="14"/>
  <c r="F16" i="14" s="1"/>
  <c r="F27" i="14" s="1"/>
  <c r="E8" i="48"/>
  <c r="E26" i="48" s="1"/>
  <c r="E33" i="48" s="1"/>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<sst xmlns="http://schemas.openxmlformats.org/spreadsheetml/2006/main" count="2398" uniqueCount="887">
  <si>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</si>
  <si>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</si>
  <si>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</si>
  <si>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</si>
  <si>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</si>
  <si>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</si>
  <si>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</si>
  <si>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</si>
  <si>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</si>
  <si>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</si>
  <si>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</si>
  <si>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</si>
  <si>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</si>
  <si>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</si>
  <si>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</si>
  <si>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</si>
  <si>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</si>
  <si>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</si>
  <si>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</si>
  <si>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</si>
  <si>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</si>
  <si>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</si>
  <si>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</si>
  <si>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</si>
  <si>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</si>
  <si>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</si>
  <si>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</si>
  <si>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</si>
  <si>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</si>
  <si>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</si>
  <si>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</si>
  <si>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</si>
  <si>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</si>
  <si>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</si>
  <si>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</si>
  <si>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</si>
  <si>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</si>
  <si>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</si>
  <si>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</si>
  <si>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</si>
  <si>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</si>
  <si>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</si>
  <si>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</si>
  <si>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</si>
  <si>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</si>
  <si>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</si>
  <si>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</si>
  <si>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</si>
  <si>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</si>
  <si>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</si>
  <si>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</si>
  <si>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</si>
  <si>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</si>
  <si>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</si>
  <si>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</si>
  <si>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</si>
  <si>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</si>
  <si>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</si>
  <si>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</si>
  <si>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</si>
  <si>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</si>
  <si>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</si>
  <si>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</si>
  <si>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</si>
  <si>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</si>
  <si>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</si>
  <si>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</si>
  <si>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</si>
  <si>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</si>
  <si>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</si>
  <si>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</si>
  <si>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</si>
  <si>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</si>
  <si>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</si>
  <si>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</si>
  <si>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</si>
  <si>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</si>
  <si>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</si>
  <si>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</si>
  <si>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</si>
  <si>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</si>
  <si>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</si>
  <si>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</si>
  <si>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</si>
  <si>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</si>
  <si>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</si>
  <si>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</si>
  <si>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</si>
  <si>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</si>
  <si>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</si>
  <si>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</si>
  <si>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</si>
  <si>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</si>
  <si>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</si>
  <si>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</si>
  <si>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</si>
  <si>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</si>
  <si>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</si>
  <si>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</si>
  <si>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</si>
  <si>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</si>
  <si>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</si>
  <si>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</si>
  <si>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</si>
  <si>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</si>
  <si>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</si>
  <si>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</si>
  <si>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</si>
  <si>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</si>
  <si>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</si>
  <si>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</si>
  <si>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</si>
  <si>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</si>
  <si>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</si>
  <si>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</si>
  <si>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</si>
  <si>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</si>
  <si>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</si>
  <si>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</si>
  <si>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</si>
  <si>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</si>
  <si>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</si>
  <si>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</si>
  <si>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</si>
  <si>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</si>
  <si>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</si>
  <si>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</si>
  <si>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</si>
  <si>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</si>
  <si>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</si>
  <si>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</si>
  <si>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</si>
  <si>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</si>
  <si>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</si>
  <si>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</si>
  <si>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</si>
  <si>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</si>
  <si>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</si>
  <si>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</si>
  <si>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</si>
  <si>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</si>
  <si>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</si>
  <si>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</si>
  <si>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</si>
  <si>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</si>
  <si>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</si>
  <si>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</si>
  <si>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</si>
  <si>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</si>
  <si>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</si>
  <si>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</si>
  <si>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</si>
  <si>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</si>
  <si>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</si>
  <si>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</si>
  <si>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</si>
  <si>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</si>
  <si>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</si>
  <si>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</si>
  <si>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</si>
  <si>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</si>
  <si>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</si>
  <si>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</si>
  <si>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</si>
  <si>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</si>
  <si>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</si>
  <si>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</si>
  <si>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</si>
  <si>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</si>
  <si>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</si>
  <si>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</si>
  <si>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</si>
  <si>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</si>
  <si>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</si>
  <si>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</si>
  <si>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</si>
  <si>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</si>
  <si>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</si>
  <si>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</si>
  <si>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</si>
  <si>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</si>
  <si>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</si>
  <si>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</si>
  <si>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</si>
  <si>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</si>
  <si>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</si>
  <si>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</si>
  <si>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</si>
  <si>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</si>
  <si>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</si>
  <si>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</si>
  <si>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</si>
  <si>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</si>
  <si>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</si>
  <si>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</si>
  <si>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</si>
  <si>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</si>
  <si>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</si>
  <si>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</si>
  <si>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</si>
  <si>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</si>
  <si>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</si>
  <si>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</si>
  <si>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</si>
  <si>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</si>
  <si>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</si>
  <si>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</si>
  <si>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</si>
  <si>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</si>
  <si>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</si>
  <si>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</si>
  <si>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</si>
  <si>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</si>
  <si>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</si>
  <si>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</si>
  <si>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</si>
  <si>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</si>
  <si>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</si>
  <si>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</si>
  <si>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</si>
  <si>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</si>
  <si>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</si>
  <si>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</si>
  <si>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</si>
  <si>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</si>
  <si>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</si>
  <si>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</si>
  <si>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</si>
  <si>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</si>
  <si>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</si>
  <si>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</si>
  <si>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</si>
  <si>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</si>
  <si>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</si>
  <si>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</si>
  <si>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</si>
  <si>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</si>
  <si>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</si>
  <si>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</si>
  <si>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</si>
  <si>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</si>
  <si>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</si>
  <si>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</si>
  <si>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</si>
  <si>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</si>
  <si>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</si>
  <si>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</si>
  <si>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</si>
  <si>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</si>
  <si>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</si>
  <si>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</si>
  <si>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</si>
  <si>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</si>
  <si>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</si>
  <si>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</si>
  <si>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</si>
  <si>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</si>
  <si>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</si>
  <si>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</si>
  <si>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</si>
  <si>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</si>
  <si>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</si>
  <si>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</si>
  <si>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</si>
  <si>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</si>
  <si>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</si>
  <si>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</si>
  <si>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</si>
  <si>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</si>
  <si>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</si>
  <si>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</si>
  <si>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</si>
  <si>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</si>
  <si>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</si>
  <si>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</si>
  <si>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</si>
  <si>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</si>
  <si>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</si>
  <si>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</si>
  <si>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</si>
  <si>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</si>
  <si>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</si>
  <si>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</si>
  <si>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</si>
  <si>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</si>
  <si>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</si>
  <si>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</si>
  <si>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</si>
  <si>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</si>
  <si>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</si>
  <si>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</si>
  <si>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</si>
  <si>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</si>
  <si>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</si>
  <si>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</si>
  <si>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</si>
  <si>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</si>
  <si>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</si>
  <si>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</si>
  <si>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</si>
  <si>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</si>
  <si>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</si>
  <si>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</si>
  <si>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</si>
  <si>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</si>
  <si>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</si>
  <si>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</si>
  <si>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</si>
  <si>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</si>
  <si>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</si>
  <si>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</si>
  <si>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</si>
  <si>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</si>
  <si>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</si>
  <si>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</si>
  <si>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</si>
  <si>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</si>
  <si>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</si>
  <si>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</si>
  <si>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</si>
  <si>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</si>
  <si>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</si>
  <si>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</si>
  <si>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</si>
  <si>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</si>
  <si>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</si>
  <si>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</si>
  <si>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</si>
  <si>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</si>
  <si>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</si>
  <si>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</si>
  <si>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</si>
  <si>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</si>
  <si>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</si>
  <si>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</si>
  <si>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</si>
  <si>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</si>
  <si>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</si>
  <si>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</si>
  <si>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</si>
  <si>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</si>
  <si>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</si>
  <si>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</si>
  <si>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</si>
  <si>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</si>
  <si>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</si>
  <si>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</si>
  <si>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</si>
  <si>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</si>
  <si>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</si>
  <si>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</si>
  <si>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</si>
  <si>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</si>
  <si>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</si>
  <si>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</si>
  <si>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</si>
  <si>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</si>
  <si>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</si>
  <si>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</si>
  <si>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</si>
  <si>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</si>
  <si>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</si>
  <si>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</si>
  <si>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</si>
  <si>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</si>
  <si>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</si>
  <si>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</si>
  <si>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</si>
  <si>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</si>
  <si>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</si>
  <si>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</si>
  <si>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</si>
  <si>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</si>
  <si>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</si>
  <si>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</si>
  <si>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</si>
  <si>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</si>
  <si>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</si>
  <si>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</si>
  <si>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</si>
  <si>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</si>
  <si>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</si>
  <si>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</si>
  <si>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</si>
  <si>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</si>
  <si>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</si>
  <si>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</si>
  <si>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</si>
  <si>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</si>
  <si>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</si>
  <si>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</si>
  <si>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</si>
  <si>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</si>
  <si>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</si>
  <si>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</si>
  <si>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</si>
  <si>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</si>
  <si>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</si>
  <si>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</si>
  <si>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</si>
  <si>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</si>
  <si>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</si>
  <si>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</si>
  <si>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</si>
  <si>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</si>
  <si>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</si>
  <si>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</si>
  <si>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</si>
  <si>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</si>
  <si>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</si>
  <si>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</si>
  <si>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</si>
  <si>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</si>
  <si>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</si>
  <si>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</si>
  <si>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</si>
  <si>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</si>
  <si>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</si>
  <si>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</si>
  <si>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</si>
  <si>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</si>
  <si>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</si>
  <si>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</si>
  <si>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</si>
  <si>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</si>
  <si>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</si>
  <si>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</si>
  <si>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</si>
  <si>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</si>
  <si>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</si>
  <si>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</si>
  <si>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</si>
  <si>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</si>
  <si>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</si>
  <si>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</si>
  <si>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</si>
  <si>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</si>
  <si>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</si>
  <si>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</si>
  <si>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</si>
  <si>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</si>
  <si>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</si>
  <si>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</si>
  <si>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</si>
  <si>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</si>
  <si>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</si>
  <si>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</si>
  <si>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</si>
  <si>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</si>
  <si>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</si>
  <si>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</si>
  <si>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</si>
  <si>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</si>
  <si>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</si>
  <si>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</si>
  <si>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</si>
  <si>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</si>
  <si>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</si>
  <si>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</si>
  <si>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</si>
  <si>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</si>
  <si>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</si>
  <si>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</si>
  <si>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</si>
  <si>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</si>
  <si>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</si>
  <si>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</si>
  <si>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</si>
  <si>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</si>
  <si>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</si>
  <si>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</si>
  <si>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</si>
  <si>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</si>
  <si>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</si>
  <si>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</si>
  <si>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</si>
  <si>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</si>
  <si>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</si>
  <si>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</si>
  <si>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</si>
  <si>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</si>
  <si>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</si>
  <si>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</si>
  <si>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</si>
  <si>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</si>
  <si>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</si>
  <si>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</si>
  <si>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</si>
  <si>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</si>
  <si>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</si>
  <si>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</si>
  <si>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</si>
  <si>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</si>
  <si>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</si>
  <si>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</si>
  <si>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</si>
  <si>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</si>
  <si>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</si>
  <si>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</si>
  <si>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</si>
  <si>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</si>
  <si>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</si>
  <si>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</si>
  <si>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</si>
  <si>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</si>
  <si>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</si>
  <si>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</si>
  <si>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</si>
  <si>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</si>
  <si>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</si>
  <si>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</si>
  <si>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</si>
  <si>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</si>
  <si>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</si>
  <si>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</si>
  <si>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</si>
  <si>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</si>
  <si>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</si>
  <si>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</si>
  <si>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</si>
  <si>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</si>
  <si>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</si>
  <si>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</si>
  <si>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</si>
  <si>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</si>
  <si>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</si>
  <si>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</si>
  <si>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</si>
  <si>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</si>
  <si>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</si>
  <si>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</si>
  <si>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</si>
  <si>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</si>
  <si>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</si>
  <si>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</si>
  <si>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</si>
  <si>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</si>
  <si>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</si>
  <si>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</si>
  <si>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</si>
  <si>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</si>
  <si>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</si>
  <si>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</si>
  <si>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</si>
  <si>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</si>
  <si>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</si>
  <si>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</si>
  <si>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</si>
  <si>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</si>
  <si>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</si>
  <si>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</si>
  <si>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</si>
  <si>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</si>
  <si>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</si>
  <si>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</si>
  <si>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</si>
  <si>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</si>
  <si>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</si>
  <si>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</si>
  <si>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</si>
  <si>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</si>
  <si>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</si>
  <si>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</si>
  <si>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</si>
  <si>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</si>
  <si>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</si>
  <si>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</si>
  <si>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</si>
  <si>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</si>
  <si>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</si>
  <si>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</si>
  <si>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</si>
  <si>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</si>
  <si>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</si>
  <si>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</si>
  <si>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</si>
  <si>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</si>
  <si>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</si>
  <si>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</si>
  <si>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</si>
  <si>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</si>
  <si>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</si>
  <si>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</si>
  <si>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</si>
  <si>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</si>
  <si>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</si>
  <si>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</si>
  <si>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</si>
  <si>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</si>
  <si>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</si>
  <si>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</si>
  <si>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</si>
  <si>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</si>
  <si>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</si>
  <si>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</si>
  <si>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</si>
  <si>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</si>
  <si>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</si>
  <si>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</si>
  <si>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</si>
  <si>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</si>
  <si>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</si>
  <si>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</si>
  <si>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</si>
  <si>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</si>
  <si>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</si>
  <si>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</si>
  <si>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</si>
  <si>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</si>
  <si>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</si>
  <si>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</si>
  <si>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</si>
  <si>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</si>
  <si>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</si>
  <si>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</si>
  <si>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</si>
  <si>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</si>
  <si>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</si>
  <si>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</si>
  <si>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</si>
  <si>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</si>
  <si>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</si>
  <si>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</si>
  <si>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</si>
  <si>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</si>
  <si>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</si>
  <si>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</si>
  <si>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</si>
  <si>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</si>
  <si>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</si>
  <si>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</si>
  <si>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</si>
  <si>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</si>
  <si>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</si>
  <si>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</si>
  <si>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</si>
  <si>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</si>
  <si>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</si>
  <si>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</si>
  <si>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</si>
  <si>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</si>
  <si>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</si>
  <si>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</si>
  <si>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</si>
  <si>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</si>
  <si>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</si>
  <si>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</si>
  <si>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</si>
  <si>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</si>
  <si>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</si>
  <si>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</si>
  <si>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</si>
  <si>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</si>
  <si>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</si>
  <si>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</si>
  <si>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</si>
  <si>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</si>
  <si>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</si>
  <si>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</si>
  <si>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</si>
  <si>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</si>
  <si>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</si>
  <si>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</si>
  <si>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</si>
  <si>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</si>
  <si>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</si>
  <si>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</si>
  <si>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</si>
  <si>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</si>
  <si>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</si>
  <si>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</si>
  <si>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</si>
  <si>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</si>
  <si>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</si>
  <si>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</si>
  <si>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</si>
  <si>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</si>
  <si>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</si>
  <si>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</si>
  <si>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</si>
  <si>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</si>
  <si>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</si>
  <si>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</si>
  <si>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</si>
  <si>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</si>
  <si>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</si>
  <si>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</si>
  <si>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</si>
  <si>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</si>
  <si>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</si>
  <si>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</si>
  <si>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</si>
  <si>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</si>
  <si>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</si>
  <si>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</si>
  <si>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</si>
  <si>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</si>
  <si>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</si>
  <si>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</si>
  <si>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</si>
  <si>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</si>
  <si>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</si>
  <si>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</si>
  <si>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</si>
  <si>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</si>
  <si>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</si>
  <si>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</si>
  <si>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</si>
  <si>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</si>
  <si>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</si>
  <si>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</si>
  <si>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</si>
  <si>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</si>
  <si>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</si>
  <si>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</si>
  <si>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</si>
  <si>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</si>
  <si>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</si>
  <si>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</si>
  <si>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</si>
  <si>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</si>
  <si>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</si>
  <si>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</si>
  <si>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</si>
  <si>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</si>
  <si>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</si>
  <si>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</si>
  <si>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</si>
  <si>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</si>
  <si>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</si>
  <si>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</si>
  <si>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</si>
  <si>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</si>
  <si>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</si>
  <si>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</si>
  <si>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</si>
  <si>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</si>
  <si>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</si>
  <si>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</si>
  <si>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</si>
  <si>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</si>
  <si>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</si>
  <si>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</si>
  <si>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</si>
  <si>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</si>
  <si>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</si>
  <si>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</si>
  <si>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</si>
  <si>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</si>
  <si>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</si>
  <si>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</si>
  <si>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</si>
  <si>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</si>
  <si>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</si>
  <si>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</si>
  <si>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</si>
  <si>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</si>
  <si>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</si>
  <si>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</si>
  <si>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</si>
  <si>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</si>
  <si>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</si>
  <si>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</si>
  <si>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</si>
  <si>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</si>
  <si>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</si>
  <si>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</si>
  <si>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</si>
  <si>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</si>
  <si>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</si>
  <si>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</si>
  <si>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</si>
  <si>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</si>
  <si>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</si>
  <si>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</si>
  <si>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</si>
  <si>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</si>
  <si>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</si>
  <si>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</si>
  <si>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</si>
  <si>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</si>
  <si>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</si>
  <si>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</si>
  <si>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</si>
  <si>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</si>
  <si>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</si>
  <si>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</si>
  <si>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</si>
  <si>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</si>
  <si>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</si>
  <si>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</si>
  <si>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</si>
  <si>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</si>
  <si>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</si>
  <si>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</si>
  <si>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</si>
  <si>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</si>
  <si>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</si>
  <si>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</si>
  <si>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</si>
  <si>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</si>
  <si>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</si>
  <si>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</si>
  <si>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</si>
  <si>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</si>
  <si>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</si>
  <si>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</si>
  <si>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</si>
  <si>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</si>
  <si>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</si>
  <si>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</si>
  <si>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</si>
  <si>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</si>
  <si>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</si>
  <si>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</si>
  <si>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</si>
  <si>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</si>
  <si>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</si>
  <si>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</si>
  <si>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</si>
  <si>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</si>
  <si>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</si>
  <si>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</si>
  <si>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</si>
  <si>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</si>
  <si>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</si>
  <si>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</si>
  <si>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</si>
  <si>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</si>
  <si>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</si>
  <si>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</si>
  <si>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</si>
  <si>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</si>
  <si>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</si>
  <si>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</si>
  <si>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</si>
  <si>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</si>
  <si>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</si>
  <si>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</si>
  <si>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</si>
  <si>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</si>
  <si>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</si>
  <si>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</si>
  <si>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</si>
  <si>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</si>
  <si>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</si>
  <si>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</si>
  <si>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</si>
  <si>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</si>
  <si>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</si>
  <si>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</si>
  <si>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</si>
  <si>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</si>
  <si>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</si>
  <si>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</si>
  <si>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</si>
  <si>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</si>
  <si>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</si>
  <si>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</si>
  <si>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</si>
  <si>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</si>
  <si>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</si>
  <si>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</si>
  <si>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</si>
  <si>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</si>
  <si>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</si>
  <si>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</si>
  <si>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</si>
  <si>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</si>
  <si>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</si>
  <si>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</si>
  <si>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</si>
  <si>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</si>
  <si>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</si>
  <si>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</si>
  <si>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</si>
  <si>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</si>
  <si>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</si>
  <si>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</si>
  <si>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</si>
  <si>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</si>
  <si>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</si>
  <si>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</si>
  <si>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35014</t>
  </si>
  <si>
    <t>OUDENBURG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</si>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</sst>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71839.571495020558</c:v>
                </c:pt>
                <c:pt idx="1">
                  <c:v>20163.230573769444</c:v>
                </c:pt>
                <c:pt idx="2">
                  <c:v>854.68</c:v>
                </c:pt>
                <c:pt idx="3">
                  <c:v>9255.010540763682</c:v>
                </c:pt>
                <c:pt idx="4">
                  <c:v>5358.0901519513491</c:v>
                </c:pt>
                <c:pt idx="5">
                  <c:v>153805.81754264736</c:v>
                </c:pt>
                <c:pt idx="6">
                  <c:v>1013.9525182485929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71839.571495020558</c:v>
                </c:pt>
                <c:pt idx="1">
                  <c:v>20163.230573769444</c:v>
                </c:pt>
                <c:pt idx="2">
                  <c:v>854.68</c:v>
                </c:pt>
                <c:pt idx="3">
                  <c:v>9255.010540763682</c:v>
                </c:pt>
                <c:pt idx="4">
                  <c:v>5358.0901519513491</c:v>
                </c:pt>
                <c:pt idx="5">
                  <c:v>153805.81754264736</c:v>
                </c:pt>
                <c:pt idx="6">
                  <c:v>1013.9525182485929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11773.506551758643</c:v>
                </c:pt>
                <c:pt idx="2">
                  <c:v>3883.4658467446525</c:v>
                </c:pt>
                <c:pt idx="3">
                  <c:v>156.91033031984176</c:v>
                </c:pt>
                <c:pt idx="4">
                  <c:v>2337.0917925114218</c:v>
                </c:pt>
                <c:pt idx="5">
                  <c:v>1097.3351529200979</c:v>
                </c:pt>
                <c:pt idx="6">
                  <c:v>38534.719696202919</c:v>
                </c:pt>
                <c:pt idx="7">
                  <c:v>256.17671494743058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11773.506551758643</c:v>
                </c:pt>
                <c:pt idx="2">
                  <c:v>3883.4658467446525</c:v>
                </c:pt>
                <c:pt idx="3">
                  <c:v>156.91033031984176</c:v>
                </c:pt>
                <c:pt idx="4">
                  <c:v>2337.0917925114218</c:v>
                </c:pt>
                <c:pt idx="5">
                  <c:v>1097.3351529200979</c:v>
                </c:pt>
                <c:pt idx="6">
                  <c:v>38534.719696202919</c:v>
                </c:pt>
                <c:pt idx="7">
                  <c:v>256.17671494743058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35014</v>
      </c>
      <c r="B6" s="390"/>
      <c r="C6" s="391"/>
    </row>
    <row r="7" spans="1:7" s="388" customFormat="1" ht="15.75" customHeight="1">
      <c r="A7" s="392" t="str">
        <f>txtMunicipality</f>
        <v>OUDENBURG</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8537.2719020000004</v>
      </c>
      <c r="D10" s="979">
        <f ca="1">tertiair!C16</f>
        <v>0</v>
      </c>
      <c r="E10" s="979">
        <f ca="1">tertiair!D16</f>
        <v>10281.158930965999</v>
      </c>
      <c r="F10" s="979">
        <f>tertiair!E16</f>
        <v>135.88929635728655</v>
      </c>
      <c r="G10" s="979">
        <f ca="1">tertiair!F16</f>
        <v>1368.4470022442156</v>
      </c>
      <c r="H10" s="979">
        <f>tertiair!G16</f>
        <v>0</v>
      </c>
      <c r="I10" s="979">
        <f>tertiair!H16</f>
        <v>0</v>
      </c>
      <c r="J10" s="979">
        <f>tertiair!I16</f>
        <v>0</v>
      </c>
      <c r="K10" s="979">
        <f>tertiair!J16</f>
        <v>1.6410496691440225E-2</v>
      </c>
      <c r="L10" s="979">
        <f>tertiair!K16</f>
        <v>0</v>
      </c>
      <c r="M10" s="979">
        <f ca="1">tertiair!L16</f>
        <v>0</v>
      </c>
      <c r="N10" s="979">
        <f>tertiair!M16</f>
        <v>0</v>
      </c>
      <c r="O10" s="979">
        <f ca="1">tertiair!N16</f>
        <v>655.43036503858968</v>
      </c>
      <c r="P10" s="979">
        <f>tertiair!O16</f>
        <v>1.5633333333333335</v>
      </c>
      <c r="Q10" s="980">
        <f>tertiair!P16</f>
        <v>38.133333333333333</v>
      </c>
      <c r="R10" s="674">
        <f ca="1">SUM(C10:Q10)</f>
        <v>21017.910573769444</v>
      </c>
      <c r="S10" s="67"/>
    </row>
    <row r="11" spans="1:19" s="447" customFormat="1">
      <c r="A11" s="783" t="s">
        <v>224</v>
      </c>
      <c r="B11" s="788"/>
      <c r="C11" s="979">
        <f>huishoudens!B8</f>
        <v>15881.900986882385</v>
      </c>
      <c r="D11" s="979">
        <f>huishoudens!C8</f>
        <v>0</v>
      </c>
      <c r="E11" s="979">
        <f>huishoudens!D8</f>
        <v>36226.906006259705</v>
      </c>
      <c r="F11" s="979">
        <f>huishoudens!E8</f>
        <v>6416.3058893747975</v>
      </c>
      <c r="G11" s="979">
        <f>huishoudens!F8</f>
        <v>0</v>
      </c>
      <c r="H11" s="979">
        <f>huishoudens!G8</f>
        <v>0</v>
      </c>
      <c r="I11" s="979">
        <f>huishoudens!H8</f>
        <v>0</v>
      </c>
      <c r="J11" s="979">
        <f>huishoudens!I8</f>
        <v>0</v>
      </c>
      <c r="K11" s="979">
        <f>huishoudens!J8</f>
        <v>235.64630288815547</v>
      </c>
      <c r="L11" s="979">
        <f>huishoudens!K8</f>
        <v>0</v>
      </c>
      <c r="M11" s="979">
        <f>huishoudens!L8</f>
        <v>0</v>
      </c>
      <c r="N11" s="979">
        <f>huishoudens!M8</f>
        <v>0</v>
      </c>
      <c r="O11" s="979">
        <f>huishoudens!N8</f>
        <v>12317.648976282188</v>
      </c>
      <c r="P11" s="979">
        <f>huishoudens!O8</f>
        <v>189.16333333333336</v>
      </c>
      <c r="Q11" s="980">
        <f>huishoudens!P8</f>
        <v>572</v>
      </c>
      <c r="R11" s="674">
        <f>SUM(C11:Q11)</f>
        <v>71839.571495020558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1902.711685</v>
      </c>
      <c r="D13" s="979">
        <f>industrie!C18</f>
        <v>0</v>
      </c>
      <c r="E13" s="979">
        <f>industrie!D18</f>
        <v>1845.4908725</v>
      </c>
      <c r="F13" s="979">
        <f>industrie!E18</f>
        <v>379.97274668021197</v>
      </c>
      <c r="G13" s="979">
        <f>industrie!F18</f>
        <v>1082.2593996894927</v>
      </c>
      <c r="H13" s="979">
        <f>industrie!G18</f>
        <v>0</v>
      </c>
      <c r="I13" s="979">
        <f>industrie!H18</f>
        <v>0</v>
      </c>
      <c r="J13" s="979">
        <f>industrie!I18</f>
        <v>0</v>
      </c>
      <c r="K13" s="979">
        <f>industrie!J18</f>
        <v>3.0821683231854264E-2</v>
      </c>
      <c r="L13" s="979">
        <f>industrie!K18</f>
        <v>0</v>
      </c>
      <c r="M13" s="979">
        <f>industrie!L18</f>
        <v>0</v>
      </c>
      <c r="N13" s="979">
        <f>industrie!M18</f>
        <v>0</v>
      </c>
      <c r="O13" s="979">
        <f>industrie!N18</f>
        <v>147.62462639841183</v>
      </c>
      <c r="P13" s="979">
        <f>industrie!O18</f>
        <v>0</v>
      </c>
      <c r="Q13" s="980">
        <f>industrie!P18</f>
        <v>0</v>
      </c>
      <c r="R13" s="674">
        <f>SUM(C13:Q13)</f>
        <v>5358.0901519513491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26321.884573882384</v>
      </c>
      <c r="D16" s="706">
        <f t="shared" ref="D16:R16" ca="1" si="0">SUM(D9:D15)</f>
        <v>0</v>
      </c>
      <c r="E16" s="706">
        <f t="shared" ca="1" si="0"/>
        <v>48353.555809725702</v>
      </c>
      <c r="F16" s="706">
        <f t="shared" si="0"/>
        <v>6932.1679324122961</v>
      </c>
      <c r="G16" s="706">
        <f t="shared" ca="1" si="0"/>
        <v>2450.7064019337085</v>
      </c>
      <c r="H16" s="706">
        <f t="shared" si="0"/>
        <v>0</v>
      </c>
      <c r="I16" s="706">
        <f t="shared" si="0"/>
        <v>0</v>
      </c>
      <c r="J16" s="706">
        <f t="shared" si="0"/>
        <v>0</v>
      </c>
      <c r="K16" s="706">
        <f t="shared" si="0"/>
        <v>235.69353506807877</v>
      </c>
      <c r="L16" s="706">
        <f t="shared" si="0"/>
        <v>0</v>
      </c>
      <c r="M16" s="706">
        <f t="shared" ca="1" si="0"/>
        <v>0</v>
      </c>
      <c r="N16" s="706">
        <f t="shared" si="0"/>
        <v>0</v>
      </c>
      <c r="O16" s="706">
        <f t="shared" ca="1" si="0"/>
        <v>13120.70396771919</v>
      </c>
      <c r="P16" s="706">
        <f t="shared" si="0"/>
        <v>190.72666666666669</v>
      </c>
      <c r="Q16" s="706">
        <f t="shared" si="0"/>
        <v>610.13333333333333</v>
      </c>
      <c r="R16" s="706">
        <f t="shared" ca="1" si="0"/>
        <v>98215.572220741349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959.46335186303588</v>
      </c>
      <c r="I19" s="979">
        <f>transport!H54</f>
        <v>0</v>
      </c>
      <c r="J19" s="979">
        <f>transport!I54</f>
        <v>0</v>
      </c>
      <c r="K19" s="979">
        <f>transport!J54</f>
        <v>0</v>
      </c>
      <c r="L19" s="979">
        <f>transport!K54</f>
        <v>0</v>
      </c>
      <c r="M19" s="979">
        <f>transport!L54</f>
        <v>0</v>
      </c>
      <c r="N19" s="979">
        <f>transport!M54</f>
        <v>54.489166385557056</v>
      </c>
      <c r="O19" s="979">
        <f>transport!N54</f>
        <v>0</v>
      </c>
      <c r="P19" s="979">
        <f>transport!O54</f>
        <v>0</v>
      </c>
      <c r="Q19" s="980">
        <f>transport!P54</f>
        <v>0</v>
      </c>
      <c r="R19" s="674">
        <f>SUM(C19:Q19)</f>
        <v>1013.9525182485929</v>
      </c>
      <c r="S19" s="67"/>
    </row>
    <row r="20" spans="1:19" s="447" customFormat="1">
      <c r="A20" s="783" t="s">
        <v>306</v>
      </c>
      <c r="B20" s="788"/>
      <c r="C20" s="979">
        <f>transport!B14</f>
        <v>51.269858793048584</v>
      </c>
      <c r="D20" s="979">
        <f>transport!C14</f>
        <v>0</v>
      </c>
      <c r="E20" s="979">
        <f>transport!D14</f>
        <v>133.00966560284215</v>
      </c>
      <c r="F20" s="979">
        <f>transport!E14</f>
        <v>263.04830987773693</v>
      </c>
      <c r="G20" s="979">
        <f>transport!F14</f>
        <v>0</v>
      </c>
      <c r="H20" s="979">
        <f>transport!G14</f>
        <v>122350.86089444385</v>
      </c>
      <c r="I20" s="979">
        <f>transport!H14</f>
        <v>23176.896817127064</v>
      </c>
      <c r="J20" s="979">
        <f>transport!I14</f>
        <v>0</v>
      </c>
      <c r="K20" s="979">
        <f>transport!J14</f>
        <v>0</v>
      </c>
      <c r="L20" s="979">
        <f>transport!K14</f>
        <v>0</v>
      </c>
      <c r="M20" s="979">
        <f>transport!L14</f>
        <v>0</v>
      </c>
      <c r="N20" s="979">
        <f>transport!M14</f>
        <v>7830.7319968028041</v>
      </c>
      <c r="O20" s="979">
        <f>transport!N14</f>
        <v>0</v>
      </c>
      <c r="P20" s="979">
        <f>transport!O14</f>
        <v>0</v>
      </c>
      <c r="Q20" s="980">
        <f>transport!P14</f>
        <v>0</v>
      </c>
      <c r="R20" s="674">
        <f>SUM(C20:Q20)</f>
        <v>153805.81754264736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51.269858793048584</v>
      </c>
      <c r="D22" s="786">
        <f t="shared" ref="D22:R22" si="1">SUM(D18:D21)</f>
        <v>0</v>
      </c>
      <c r="E22" s="786">
        <f t="shared" si="1"/>
        <v>133.00966560284215</v>
      </c>
      <c r="F22" s="786">
        <f t="shared" si="1"/>
        <v>263.04830987773693</v>
      </c>
      <c r="G22" s="786">
        <f t="shared" si="1"/>
        <v>0</v>
      </c>
      <c r="H22" s="786">
        <f t="shared" si="1"/>
        <v>123310.32424630687</v>
      </c>
      <c r="I22" s="786">
        <f t="shared" si="1"/>
        <v>23176.896817127064</v>
      </c>
      <c r="J22" s="786">
        <f t="shared" si="1"/>
        <v>0</v>
      </c>
      <c r="K22" s="786">
        <f t="shared" si="1"/>
        <v>0</v>
      </c>
      <c r="L22" s="786">
        <f t="shared" si="1"/>
        <v>0</v>
      </c>
      <c r="M22" s="786">
        <f t="shared" si="1"/>
        <v>0</v>
      </c>
      <c r="N22" s="786">
        <f t="shared" si="1"/>
        <v>7885.2211631883611</v>
      </c>
      <c r="O22" s="786">
        <f t="shared" si="1"/>
        <v>0</v>
      </c>
      <c r="P22" s="786">
        <f t="shared" si="1"/>
        <v>0</v>
      </c>
      <c r="Q22" s="786">
        <f t="shared" si="1"/>
        <v>0</v>
      </c>
      <c r="R22" s="786">
        <f t="shared" si="1"/>
        <v>154819.77006089594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1699.4713689999999</v>
      </c>
      <c r="D24" s="979">
        <f>+landbouw!C8</f>
        <v>0</v>
      </c>
      <c r="E24" s="979">
        <f>+landbouw!D8</f>
        <v>179.46372399999998</v>
      </c>
      <c r="F24" s="979">
        <f>+landbouw!E8</f>
        <v>49.952654319599077</v>
      </c>
      <c r="G24" s="979">
        <f>+landbouw!F8</f>
        <v>7079.9058886414032</v>
      </c>
      <c r="H24" s="979">
        <f>+landbouw!G8</f>
        <v>0</v>
      </c>
      <c r="I24" s="979">
        <f>+landbouw!H8</f>
        <v>0</v>
      </c>
      <c r="J24" s="979">
        <f>+landbouw!I8</f>
        <v>0</v>
      </c>
      <c r="K24" s="979">
        <f>+landbouw!J8</f>
        <v>246.21690480267864</v>
      </c>
      <c r="L24" s="979">
        <f>+landbouw!K8</f>
        <v>0</v>
      </c>
      <c r="M24" s="979">
        <f>+landbouw!L8</f>
        <v>0</v>
      </c>
      <c r="N24" s="979">
        <f>+landbouw!M8</f>
        <v>0</v>
      </c>
      <c r="O24" s="979">
        <f>+landbouw!N8</f>
        <v>0</v>
      </c>
      <c r="P24" s="979">
        <f>+landbouw!O8</f>
        <v>0</v>
      </c>
      <c r="Q24" s="980">
        <f>+landbouw!P8</f>
        <v>0</v>
      </c>
      <c r="R24" s="674">
        <f>SUM(C24:Q24)</f>
        <v>9255.010540763682</v>
      </c>
      <c r="S24" s="67"/>
    </row>
    <row r="25" spans="1:19" s="447" customFormat="1" ht="15" thickBot="1">
      <c r="A25" s="805" t="s">
        <v>823</v>
      </c>
      <c r="B25" s="982"/>
      <c r="C25" s="983">
        <f>IF(Onbekend_ele_kWh="---",0,Onbekend_ele_kWh)/1000+IF(REST_rest_ele_kWh="---",0,REST_rest_ele_kWh)/1000</f>
        <v>382.98070000000001</v>
      </c>
      <c r="D25" s="983"/>
      <c r="E25" s="983">
        <f>IF(onbekend_gas_kWh="---",0,onbekend_gas_kWh)/1000+IF(REST_rest_gas_kWh="---",0,REST_rest_gas_kWh)/1000</f>
        <v>597.63705000000004</v>
      </c>
      <c r="F25" s="983"/>
      <c r="G25" s="983"/>
      <c r="H25" s="983"/>
      <c r="I25" s="983"/>
      <c r="J25" s="983"/>
      <c r="K25" s="983"/>
      <c r="L25" s="983"/>
      <c r="M25" s="983"/>
      <c r="N25" s="983"/>
      <c r="O25" s="983"/>
      <c r="P25" s="983"/>
      <c r="Q25" s="984"/>
      <c r="R25" s="674">
        <f>SUM(C25:Q25)</f>
        <v>980.61775000000011</v>
      </c>
      <c r="S25" s="67"/>
    </row>
    <row r="26" spans="1:19" s="447" customFormat="1" ht="15.75" thickBot="1">
      <c r="A26" s="679" t="s">
        <v>824</v>
      </c>
      <c r="B26" s="791"/>
      <c r="C26" s="786">
        <f>SUM(C24:C25)</f>
        <v>2082.4520689999999</v>
      </c>
      <c r="D26" s="786">
        <f t="shared" ref="D26:R26" si="2">SUM(D24:D25)</f>
        <v>0</v>
      </c>
      <c r="E26" s="786">
        <f t="shared" si="2"/>
        <v>777.100774</v>
      </c>
      <c r="F26" s="786">
        <f t="shared" si="2"/>
        <v>49.952654319599077</v>
      </c>
      <c r="G26" s="786">
        <f t="shared" si="2"/>
        <v>7079.9058886414032</v>
      </c>
      <c r="H26" s="786">
        <f t="shared" si="2"/>
        <v>0</v>
      </c>
      <c r="I26" s="786">
        <f t="shared" si="2"/>
        <v>0</v>
      </c>
      <c r="J26" s="786">
        <f t="shared" si="2"/>
        <v>0</v>
      </c>
      <c r="K26" s="786">
        <f t="shared" si="2"/>
        <v>246.21690480267864</v>
      </c>
      <c r="L26" s="786">
        <f t="shared" si="2"/>
        <v>0</v>
      </c>
      <c r="M26" s="786">
        <f t="shared" si="2"/>
        <v>0</v>
      </c>
      <c r="N26" s="786">
        <f t="shared" si="2"/>
        <v>0</v>
      </c>
      <c r="O26" s="786">
        <f t="shared" si="2"/>
        <v>0</v>
      </c>
      <c r="P26" s="786">
        <f t="shared" si="2"/>
        <v>0</v>
      </c>
      <c r="Q26" s="786">
        <f t="shared" si="2"/>
        <v>0</v>
      </c>
      <c r="R26" s="786">
        <f t="shared" si="2"/>
        <v>10235.628290763681</v>
      </c>
      <c r="S26" s="67"/>
    </row>
    <row r="27" spans="1:19" s="447" customFormat="1" ht="17.25" thickTop="1" thickBot="1">
      <c r="A27" s="680" t="s">
        <v>115</v>
      </c>
      <c r="B27" s="779"/>
      <c r="C27" s="681">
        <f ca="1">C22+C16+C26</f>
        <v>28455.606501675433</v>
      </c>
      <c r="D27" s="681">
        <f t="shared" ref="D27:R27" ca="1" si="3">D22+D16+D26</f>
        <v>0</v>
      </c>
      <c r="E27" s="681">
        <f t="shared" ca="1" si="3"/>
        <v>49263.66624932854</v>
      </c>
      <c r="F27" s="681">
        <f t="shared" si="3"/>
        <v>7245.1688966096317</v>
      </c>
      <c r="G27" s="681">
        <f t="shared" ca="1" si="3"/>
        <v>9530.6122905751108</v>
      </c>
      <c r="H27" s="681">
        <f t="shared" si="3"/>
        <v>123310.32424630687</v>
      </c>
      <c r="I27" s="681">
        <f t="shared" si="3"/>
        <v>23176.896817127064</v>
      </c>
      <c r="J27" s="681">
        <f t="shared" si="3"/>
        <v>0</v>
      </c>
      <c r="K27" s="681">
        <f t="shared" si="3"/>
        <v>481.91043987075739</v>
      </c>
      <c r="L27" s="681">
        <f t="shared" si="3"/>
        <v>0</v>
      </c>
      <c r="M27" s="681">
        <f t="shared" ca="1" si="3"/>
        <v>0</v>
      </c>
      <c r="N27" s="681">
        <f t="shared" si="3"/>
        <v>7885.2211631883611</v>
      </c>
      <c r="O27" s="681">
        <f t="shared" ca="1" si="3"/>
        <v>13120.70396771919</v>
      </c>
      <c r="P27" s="681">
        <f t="shared" si="3"/>
        <v>190.72666666666669</v>
      </c>
      <c r="Q27" s="681">
        <f t="shared" si="3"/>
        <v>610.13333333333333</v>
      </c>
      <c r="R27" s="681">
        <f t="shared" ca="1" si="3"/>
        <v>263270.97057240101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1567.3540438212242</v>
      </c>
      <c r="D40" s="979">
        <f ca="1">tertiair!C20</f>
        <v>0</v>
      </c>
      <c r="E40" s="979">
        <f ca="1">tertiair!D20</f>
        <v>2076.7941040551318</v>
      </c>
      <c r="F40" s="979">
        <f>tertiair!E20</f>
        <v>30.846870273104049</v>
      </c>
      <c r="G40" s="979">
        <f ca="1">tertiair!F20</f>
        <v>365.37534959920561</v>
      </c>
      <c r="H40" s="979">
        <f>tertiair!G20</f>
        <v>0</v>
      </c>
      <c r="I40" s="979">
        <f>tertiair!H20</f>
        <v>0</v>
      </c>
      <c r="J40" s="979">
        <f>tertiair!I20</f>
        <v>0</v>
      </c>
      <c r="K40" s="979">
        <f>tertiair!J20</f>
        <v>5.809315828769839E-3</v>
      </c>
      <c r="L40" s="979">
        <f>tertiair!K20</f>
        <v>0</v>
      </c>
      <c r="M40" s="979">
        <f ca="1">tertiair!L20</f>
        <v>0</v>
      </c>
      <c r="N40" s="979">
        <f>tertiair!M20</f>
        <v>0</v>
      </c>
      <c r="O40" s="979">
        <f ca="1">tertiair!N20</f>
        <v>0</v>
      </c>
      <c r="P40" s="979">
        <f>tertiair!O20</f>
        <v>0</v>
      </c>
      <c r="Q40" s="748">
        <f>tertiair!P20</f>
        <v>0</v>
      </c>
      <c r="R40" s="824">
        <f t="shared" ca="1" si="4"/>
        <v>4040.3761770644942</v>
      </c>
    </row>
    <row r="41" spans="1:18">
      <c r="A41" s="796" t="s">
        <v>224</v>
      </c>
      <c r="B41" s="803"/>
      <c r="C41" s="979">
        <f ca="1">huishoudens!B12</f>
        <v>2915.7513103836945</v>
      </c>
      <c r="D41" s="979">
        <f ca="1">huishoudens!C12</f>
        <v>0</v>
      </c>
      <c r="E41" s="979">
        <f>huishoudens!D12</f>
        <v>7317.8350132644609</v>
      </c>
      <c r="F41" s="979">
        <f>huishoudens!E12</f>
        <v>1456.5014368880791</v>
      </c>
      <c r="G41" s="979">
        <f>huishoudens!F12</f>
        <v>0</v>
      </c>
      <c r="H41" s="979">
        <f>huishoudens!G12</f>
        <v>0</v>
      </c>
      <c r="I41" s="979">
        <f>huishoudens!H12</f>
        <v>0</v>
      </c>
      <c r="J41" s="979">
        <f>huishoudens!I12</f>
        <v>0</v>
      </c>
      <c r="K41" s="979">
        <f>huishoudens!J12</f>
        <v>83.418791222407037</v>
      </c>
      <c r="L41" s="979">
        <f>huishoudens!K12</f>
        <v>0</v>
      </c>
      <c r="M41" s="979">
        <f>huishoudens!L12</f>
        <v>0</v>
      </c>
      <c r="N41" s="979">
        <f>huishoudens!M12</f>
        <v>0</v>
      </c>
      <c r="O41" s="979">
        <f>huishoudens!N12</f>
        <v>0</v>
      </c>
      <c r="P41" s="979">
        <f>huishoudens!O12</f>
        <v>0</v>
      </c>
      <c r="Q41" s="748">
        <f>huishoudens!P12</f>
        <v>0</v>
      </c>
      <c r="R41" s="824">
        <f t="shared" ca="1" si="4"/>
        <v>11773.506551758643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349.3180125857312</v>
      </c>
      <c r="D43" s="979">
        <f ca="1">industrie!C22</f>
        <v>0</v>
      </c>
      <c r="E43" s="979">
        <f>industrie!D22</f>
        <v>372.78915624500002</v>
      </c>
      <c r="F43" s="979">
        <f>industrie!E22</f>
        <v>86.253813496408114</v>
      </c>
      <c r="G43" s="979">
        <f>industrie!F22</f>
        <v>288.96325971709456</v>
      </c>
      <c r="H43" s="979">
        <f>industrie!G22</f>
        <v>0</v>
      </c>
      <c r="I43" s="979">
        <f>industrie!H22</f>
        <v>0</v>
      </c>
      <c r="J43" s="979">
        <f>industrie!I22</f>
        <v>0</v>
      </c>
      <c r="K43" s="979">
        <f>industrie!J22</f>
        <v>1.0910875864076408E-2</v>
      </c>
      <c r="L43" s="979">
        <f>industrie!K22</f>
        <v>0</v>
      </c>
      <c r="M43" s="979">
        <f>industrie!L22</f>
        <v>0</v>
      </c>
      <c r="N43" s="979">
        <f>industrie!M22</f>
        <v>0</v>
      </c>
      <c r="O43" s="979">
        <f>industrie!N22</f>
        <v>0</v>
      </c>
      <c r="P43" s="979">
        <f>industrie!O22</f>
        <v>0</v>
      </c>
      <c r="Q43" s="748">
        <f>industrie!P22</f>
        <v>0</v>
      </c>
      <c r="R43" s="823">
        <f t="shared" ca="1" si="4"/>
        <v>1097.3351529200979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4832.4233667906501</v>
      </c>
      <c r="D46" s="706">
        <f t="shared" ref="D46:Q46" ca="1" si="5">SUM(D39:D45)</f>
        <v>0</v>
      </c>
      <c r="E46" s="706">
        <f t="shared" ca="1" si="5"/>
        <v>9767.4182735645936</v>
      </c>
      <c r="F46" s="706">
        <f t="shared" si="5"/>
        <v>1573.6021206575913</v>
      </c>
      <c r="G46" s="706">
        <f t="shared" ca="1" si="5"/>
        <v>654.33860931630011</v>
      </c>
      <c r="H46" s="706">
        <f t="shared" si="5"/>
        <v>0</v>
      </c>
      <c r="I46" s="706">
        <f t="shared" si="5"/>
        <v>0</v>
      </c>
      <c r="J46" s="706">
        <f t="shared" si="5"/>
        <v>0</v>
      </c>
      <c r="K46" s="706">
        <f t="shared" si="5"/>
        <v>83.435511414099878</v>
      </c>
      <c r="L46" s="706">
        <f t="shared" si="5"/>
        <v>0</v>
      </c>
      <c r="M46" s="706">
        <f t="shared" ca="1" si="5"/>
        <v>0</v>
      </c>
      <c r="N46" s="706">
        <f t="shared" si="5"/>
        <v>0</v>
      </c>
      <c r="O46" s="706">
        <f t="shared" ca="1" si="5"/>
        <v>0</v>
      </c>
      <c r="P46" s="706">
        <f t="shared" si="5"/>
        <v>0</v>
      </c>
      <c r="Q46" s="706">
        <f t="shared" si="5"/>
        <v>0</v>
      </c>
      <c r="R46" s="706">
        <f ca="1">SUM(R39:R45)</f>
        <v>16911.217881743236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256.17671494743058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256.17671494743058</v>
      </c>
    </row>
    <row r="50" spans="1:18">
      <c r="A50" s="799" t="s">
        <v>306</v>
      </c>
      <c r="B50" s="809"/>
      <c r="C50" s="677">
        <f ca="1">transport!B18</f>
        <v>9.4126111277541273</v>
      </c>
      <c r="D50" s="677">
        <f>transport!C18</f>
        <v>0</v>
      </c>
      <c r="E50" s="677">
        <f>transport!D18</f>
        <v>26.867952451774116</v>
      </c>
      <c r="F50" s="677">
        <f>transport!E18</f>
        <v>59.711966342246285</v>
      </c>
      <c r="G50" s="677">
        <f>transport!F18</f>
        <v>0</v>
      </c>
      <c r="H50" s="677">
        <f>transport!G18</f>
        <v>32667.679858816507</v>
      </c>
      <c r="I50" s="677">
        <f>transport!H18</f>
        <v>5771.0473074646388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38534.719696202919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9.4126111277541273</v>
      </c>
      <c r="D52" s="706">
        <f t="shared" ref="D52:Q52" ca="1" si="6">SUM(D48:D51)</f>
        <v>0</v>
      </c>
      <c r="E52" s="706">
        <f t="shared" si="6"/>
        <v>26.867952451774116</v>
      </c>
      <c r="F52" s="706">
        <f t="shared" si="6"/>
        <v>59.711966342246285</v>
      </c>
      <c r="G52" s="706">
        <f t="shared" si="6"/>
        <v>0</v>
      </c>
      <c r="H52" s="706">
        <f t="shared" si="6"/>
        <v>32923.856573763936</v>
      </c>
      <c r="I52" s="706">
        <f t="shared" si="6"/>
        <v>5771.0473074646388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38790.896411150352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312.00521116546975</v>
      </c>
      <c r="D54" s="677">
        <f ca="1">+landbouw!C12</f>
        <v>0</v>
      </c>
      <c r="E54" s="677">
        <f>+landbouw!D12</f>
        <v>36.251672247999998</v>
      </c>
      <c r="F54" s="677">
        <f>+landbouw!E12</f>
        <v>11.339252530548992</v>
      </c>
      <c r="G54" s="677">
        <f>+landbouw!F12</f>
        <v>1890.3348722672547</v>
      </c>
      <c r="H54" s="677">
        <f>+landbouw!G12</f>
        <v>0</v>
      </c>
      <c r="I54" s="677">
        <f>+landbouw!H12</f>
        <v>0</v>
      </c>
      <c r="J54" s="677">
        <f>+landbouw!I12</f>
        <v>0</v>
      </c>
      <c r="K54" s="677">
        <f>+landbouw!J12</f>
        <v>87.160784300148237</v>
      </c>
      <c r="L54" s="677">
        <f>+landbouw!K12</f>
        <v>0</v>
      </c>
      <c r="M54" s="677">
        <f>+landbouw!L12</f>
        <v>0</v>
      </c>
      <c r="N54" s="677">
        <f>+landbouw!M12</f>
        <v>0</v>
      </c>
      <c r="O54" s="677">
        <f>+landbouw!N12</f>
        <v>0</v>
      </c>
      <c r="P54" s="677">
        <f>+landbouw!O12</f>
        <v>0</v>
      </c>
      <c r="Q54" s="678">
        <f>+landbouw!P12</f>
        <v>0</v>
      </c>
      <c r="R54" s="705">
        <f ca="1">SUM(C54:Q54)</f>
        <v>2337.0917925114218</v>
      </c>
    </row>
    <row r="55" spans="1:18" ht="15" thickBot="1">
      <c r="A55" s="799" t="s">
        <v>823</v>
      </c>
      <c r="B55" s="809"/>
      <c r="C55" s="677">
        <f ca="1">C25*'EF ele_warmte'!B12</f>
        <v>70.311260522212095</v>
      </c>
      <c r="D55" s="677"/>
      <c r="E55" s="677">
        <f>E25*EF_CO2_aardgas</f>
        <v>120.72268410000002</v>
      </c>
      <c r="F55" s="677"/>
      <c r="G55" s="677"/>
      <c r="H55" s="677"/>
      <c r="I55" s="677"/>
      <c r="J55" s="677"/>
      <c r="K55" s="677"/>
      <c r="L55" s="677"/>
      <c r="M55" s="677"/>
      <c r="N55" s="677"/>
      <c r="O55" s="677"/>
      <c r="P55" s="677"/>
      <c r="Q55" s="678"/>
      <c r="R55" s="705">
        <f ca="1">SUM(C55:Q55)</f>
        <v>191.03394462221212</v>
      </c>
    </row>
    <row r="56" spans="1:18" ht="15.75" thickBot="1">
      <c r="A56" s="797" t="s">
        <v>824</v>
      </c>
      <c r="B56" s="810"/>
      <c r="C56" s="706">
        <f ca="1">SUM(C54:C55)</f>
        <v>382.31647168768183</v>
      </c>
      <c r="D56" s="706">
        <f t="shared" ref="D56:Q56" ca="1" si="7">SUM(D54:D55)</f>
        <v>0</v>
      </c>
      <c r="E56" s="706">
        <f t="shared" si="7"/>
        <v>156.97435634800001</v>
      </c>
      <c r="F56" s="706">
        <f t="shared" si="7"/>
        <v>11.339252530548992</v>
      </c>
      <c r="G56" s="706">
        <f t="shared" si="7"/>
        <v>1890.3348722672547</v>
      </c>
      <c r="H56" s="706">
        <f t="shared" si="7"/>
        <v>0</v>
      </c>
      <c r="I56" s="706">
        <f t="shared" si="7"/>
        <v>0</v>
      </c>
      <c r="J56" s="706">
        <f t="shared" si="7"/>
        <v>0</v>
      </c>
      <c r="K56" s="706">
        <f t="shared" si="7"/>
        <v>87.160784300148237</v>
      </c>
      <c r="L56" s="706">
        <f t="shared" si="7"/>
        <v>0</v>
      </c>
      <c r="M56" s="706">
        <f t="shared" si="7"/>
        <v>0</v>
      </c>
      <c r="N56" s="706">
        <f t="shared" si="7"/>
        <v>0</v>
      </c>
      <c r="O56" s="706">
        <f t="shared" si="7"/>
        <v>0</v>
      </c>
      <c r="P56" s="706">
        <f t="shared" si="7"/>
        <v>0</v>
      </c>
      <c r="Q56" s="707">
        <f t="shared" si="7"/>
        <v>0</v>
      </c>
      <c r="R56" s="708">
        <f ca="1">SUM(R54:R55)</f>
        <v>2528.1257371336337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5224.1524496060856</v>
      </c>
      <c r="D61" s="714">
        <f t="shared" ref="D61:Q61" ca="1" si="8">D46+D52+D56</f>
        <v>0</v>
      </c>
      <c r="E61" s="714">
        <f t="shared" ca="1" si="8"/>
        <v>9951.260582364368</v>
      </c>
      <c r="F61" s="714">
        <f t="shared" si="8"/>
        <v>1644.6533395303866</v>
      </c>
      <c r="G61" s="714">
        <f t="shared" ca="1" si="8"/>
        <v>2544.6734815835548</v>
      </c>
      <c r="H61" s="714">
        <f t="shared" si="8"/>
        <v>32923.856573763936</v>
      </c>
      <c r="I61" s="714">
        <f t="shared" si="8"/>
        <v>5771.0473074646388</v>
      </c>
      <c r="J61" s="714">
        <f t="shared" si="8"/>
        <v>0</v>
      </c>
      <c r="K61" s="714">
        <f t="shared" si="8"/>
        <v>170.59629571424813</v>
      </c>
      <c r="L61" s="714">
        <f t="shared" si="8"/>
        <v>0</v>
      </c>
      <c r="M61" s="714">
        <f t="shared" ca="1" si="8"/>
        <v>0</v>
      </c>
      <c r="N61" s="714">
        <f t="shared" si="8"/>
        <v>0</v>
      </c>
      <c r="O61" s="714">
        <f t="shared" ca="1" si="8"/>
        <v>0</v>
      </c>
      <c r="P61" s="714">
        <f t="shared" si="8"/>
        <v>0</v>
      </c>
      <c r="Q61" s="714">
        <f t="shared" si="8"/>
        <v>0</v>
      </c>
      <c r="R61" s="714">
        <f ca="1">R46+R52+R56</f>
        <v>58230.24003002722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0.18358956605962673</v>
      </c>
      <c r="D63" s="755">
        <f t="shared" ca="1" si="9"/>
        <v>0</v>
      </c>
      <c r="E63" s="990">
        <f t="shared" ca="1" si="9"/>
        <v>0.20200000000000007</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4816.90763467957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4816.90763467957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15881.900986882385</v>
      </c>
      <c r="C4" s="451">
        <f>huishoudens!C8</f>
        <v>0</v>
      </c>
      <c r="D4" s="451">
        <f>huishoudens!D8</f>
        <v>36226.906006259705</v>
      </c>
      <c r="E4" s="451">
        <f>huishoudens!E8</f>
        <v>6416.3058893747975</v>
      </c>
      <c r="F4" s="451">
        <f>huishoudens!F8</f>
        <v>0</v>
      </c>
      <c r="G4" s="451">
        <f>huishoudens!G8</f>
        <v>0</v>
      </c>
      <c r="H4" s="451">
        <f>huishoudens!H8</f>
        <v>0</v>
      </c>
      <c r="I4" s="451">
        <f>huishoudens!I8</f>
        <v>0</v>
      </c>
      <c r="J4" s="451">
        <f>huishoudens!J8</f>
        <v>235.64630288815547</v>
      </c>
      <c r="K4" s="451">
        <f>huishoudens!K8</f>
        <v>0</v>
      </c>
      <c r="L4" s="451">
        <f>huishoudens!L8</f>
        <v>0</v>
      </c>
      <c r="M4" s="451">
        <f>huishoudens!M8</f>
        <v>0</v>
      </c>
      <c r="N4" s="451">
        <f>huishoudens!N8</f>
        <v>12317.648976282188</v>
      </c>
      <c r="O4" s="451">
        <f>huishoudens!O8</f>
        <v>189.16333333333336</v>
      </c>
      <c r="P4" s="452">
        <f>huishoudens!P8</f>
        <v>572</v>
      </c>
      <c r="Q4" s="453">
        <f>SUM(B4:P4)</f>
        <v>71839.571495020558</v>
      </c>
    </row>
    <row r="5" spans="1:17">
      <c r="A5" s="450" t="s">
        <v>155</v>
      </c>
      <c r="B5" s="451">
        <f ca="1">tertiair!B16</f>
        <v>7682.5919020000001</v>
      </c>
      <c r="C5" s="451">
        <f ca="1">tertiair!C16</f>
        <v>0</v>
      </c>
      <c r="D5" s="451">
        <f ca="1">tertiair!D16</f>
        <v>10281.158930965999</v>
      </c>
      <c r="E5" s="451">
        <f>tertiair!E16</f>
        <v>135.88929635728655</v>
      </c>
      <c r="F5" s="451">
        <f ca="1">tertiair!F16</f>
        <v>1368.4470022442156</v>
      </c>
      <c r="G5" s="451">
        <f>tertiair!G16</f>
        <v>0</v>
      </c>
      <c r="H5" s="451">
        <f>tertiair!H16</f>
        <v>0</v>
      </c>
      <c r="I5" s="451">
        <f>tertiair!I16</f>
        <v>0</v>
      </c>
      <c r="J5" s="451">
        <f>tertiair!J16</f>
        <v>1.6410496691440225E-2</v>
      </c>
      <c r="K5" s="451">
        <f>tertiair!K16</f>
        <v>0</v>
      </c>
      <c r="L5" s="451">
        <f ca="1">tertiair!L16</f>
        <v>0</v>
      </c>
      <c r="M5" s="451">
        <f>tertiair!M16</f>
        <v>0</v>
      </c>
      <c r="N5" s="451">
        <f ca="1">tertiair!N16</f>
        <v>655.43036503858968</v>
      </c>
      <c r="O5" s="451">
        <f>tertiair!O16</f>
        <v>1.5633333333333335</v>
      </c>
      <c r="P5" s="452">
        <f>tertiair!P16</f>
        <v>38.133333333333333</v>
      </c>
      <c r="Q5" s="450">
        <f t="shared" ref="Q5:Q14" ca="1" si="0">SUM(B5:P5)</f>
        <v>20163.230573769444</v>
      </c>
    </row>
    <row r="6" spans="1:17">
      <c r="A6" s="450" t="s">
        <v>193</v>
      </c>
      <c r="B6" s="451">
        <f>'openbare verlichting'!B8</f>
        <v>854.68</v>
      </c>
      <c r="C6" s="451"/>
      <c r="D6" s="451"/>
      <c r="E6" s="451"/>
      <c r="F6" s="451"/>
      <c r="G6" s="451"/>
      <c r="H6" s="451"/>
      <c r="I6" s="451"/>
      <c r="J6" s="451"/>
      <c r="K6" s="451"/>
      <c r="L6" s="451"/>
      <c r="M6" s="451"/>
      <c r="N6" s="451"/>
      <c r="O6" s="451"/>
      <c r="P6" s="452"/>
      <c r="Q6" s="450">
        <f t="shared" si="0"/>
        <v>854.68</v>
      </c>
    </row>
    <row r="7" spans="1:17">
      <c r="A7" s="450" t="s">
        <v>111</v>
      </c>
      <c r="B7" s="451">
        <f>landbouw!B8</f>
        <v>1699.4713689999999</v>
      </c>
      <c r="C7" s="451">
        <f>landbouw!C8</f>
        <v>0</v>
      </c>
      <c r="D7" s="451">
        <f>landbouw!D8</f>
        <v>179.46372399999998</v>
      </c>
      <c r="E7" s="451">
        <f>landbouw!E8</f>
        <v>49.952654319599077</v>
      </c>
      <c r="F7" s="451">
        <f>landbouw!F8</f>
        <v>7079.9058886414032</v>
      </c>
      <c r="G7" s="451">
        <f>landbouw!G8</f>
        <v>0</v>
      </c>
      <c r="H7" s="451">
        <f>landbouw!H8</f>
        <v>0</v>
      </c>
      <c r="I7" s="451">
        <f>landbouw!I8</f>
        <v>0</v>
      </c>
      <c r="J7" s="451">
        <f>landbouw!J8</f>
        <v>246.21690480267864</v>
      </c>
      <c r="K7" s="451">
        <f>landbouw!K8</f>
        <v>0</v>
      </c>
      <c r="L7" s="451">
        <f>landbouw!L8</f>
        <v>0</v>
      </c>
      <c r="M7" s="451">
        <f>landbouw!M8</f>
        <v>0</v>
      </c>
      <c r="N7" s="451">
        <f>landbouw!N8</f>
        <v>0</v>
      </c>
      <c r="O7" s="451">
        <f>landbouw!O8</f>
        <v>0</v>
      </c>
      <c r="P7" s="452">
        <f>landbouw!P8</f>
        <v>0</v>
      </c>
      <c r="Q7" s="450">
        <f t="shared" si="0"/>
        <v>9255.010540763682</v>
      </c>
    </row>
    <row r="8" spans="1:17">
      <c r="A8" s="450" t="s">
        <v>634</v>
      </c>
      <c r="B8" s="451">
        <f>industrie!B18</f>
        <v>1902.711685</v>
      </c>
      <c r="C8" s="451">
        <f>industrie!C18</f>
        <v>0</v>
      </c>
      <c r="D8" s="451">
        <f>industrie!D18</f>
        <v>1845.4908725</v>
      </c>
      <c r="E8" s="451">
        <f>industrie!E18</f>
        <v>379.97274668021197</v>
      </c>
      <c r="F8" s="451">
        <f>industrie!F18</f>
        <v>1082.2593996894927</v>
      </c>
      <c r="G8" s="451">
        <f>industrie!G18</f>
        <v>0</v>
      </c>
      <c r="H8" s="451">
        <f>industrie!H18</f>
        <v>0</v>
      </c>
      <c r="I8" s="451">
        <f>industrie!I18</f>
        <v>0</v>
      </c>
      <c r="J8" s="451">
        <f>industrie!J18</f>
        <v>3.0821683231854264E-2</v>
      </c>
      <c r="K8" s="451">
        <f>industrie!K18</f>
        <v>0</v>
      </c>
      <c r="L8" s="451">
        <f>industrie!L18</f>
        <v>0</v>
      </c>
      <c r="M8" s="451">
        <f>industrie!M18</f>
        <v>0</v>
      </c>
      <c r="N8" s="451">
        <f>industrie!N18</f>
        <v>147.62462639841183</v>
      </c>
      <c r="O8" s="451">
        <f>industrie!O18</f>
        <v>0</v>
      </c>
      <c r="P8" s="452">
        <f>industrie!P18</f>
        <v>0</v>
      </c>
      <c r="Q8" s="450">
        <f t="shared" si="0"/>
        <v>5358.0901519513491</v>
      </c>
    </row>
    <row r="9" spans="1:17" s="456" customFormat="1">
      <c r="A9" s="454" t="s">
        <v>560</v>
      </c>
      <c r="B9" s="455">
        <f>transport!B14</f>
        <v>51.269858793048584</v>
      </c>
      <c r="C9" s="455">
        <f>transport!C14</f>
        <v>0</v>
      </c>
      <c r="D9" s="455">
        <f>transport!D14</f>
        <v>133.00966560284215</v>
      </c>
      <c r="E9" s="455">
        <f>transport!E14</f>
        <v>263.04830987773693</v>
      </c>
      <c r="F9" s="455">
        <f>transport!F14</f>
        <v>0</v>
      </c>
      <c r="G9" s="455">
        <f>transport!G14</f>
        <v>122350.86089444385</v>
      </c>
      <c r="H9" s="455">
        <f>transport!H14</f>
        <v>23176.896817127064</v>
      </c>
      <c r="I9" s="455">
        <f>transport!I14</f>
        <v>0</v>
      </c>
      <c r="J9" s="455">
        <f>transport!J14</f>
        <v>0</v>
      </c>
      <c r="K9" s="455">
        <f>transport!K14</f>
        <v>0</v>
      </c>
      <c r="L9" s="455">
        <f>transport!L14</f>
        <v>0</v>
      </c>
      <c r="M9" s="455">
        <f>transport!M14</f>
        <v>7830.7319968028041</v>
      </c>
      <c r="N9" s="455">
        <f>transport!N14</f>
        <v>0</v>
      </c>
      <c r="O9" s="455">
        <f>transport!O14</f>
        <v>0</v>
      </c>
      <c r="P9" s="455">
        <f>transport!P14</f>
        <v>0</v>
      </c>
      <c r="Q9" s="454">
        <f>SUM(B9:P9)</f>
        <v>153805.81754264736</v>
      </c>
    </row>
    <row r="10" spans="1:17">
      <c r="A10" s="450" t="s">
        <v>550</v>
      </c>
      <c r="B10" s="451">
        <f>transport!B54</f>
        <v>0</v>
      </c>
      <c r="C10" s="451">
        <f>transport!C54</f>
        <v>0</v>
      </c>
      <c r="D10" s="451">
        <f>transport!D54</f>
        <v>0</v>
      </c>
      <c r="E10" s="451">
        <f>transport!E54</f>
        <v>0</v>
      </c>
      <c r="F10" s="451">
        <f>transport!F54</f>
        <v>0</v>
      </c>
      <c r="G10" s="451">
        <f>transport!G54</f>
        <v>959.46335186303588</v>
      </c>
      <c r="H10" s="451">
        <f>transport!H54</f>
        <v>0</v>
      </c>
      <c r="I10" s="451">
        <f>transport!I54</f>
        <v>0</v>
      </c>
      <c r="J10" s="451">
        <f>transport!J54</f>
        <v>0</v>
      </c>
      <c r="K10" s="451">
        <f>transport!K54</f>
        <v>0</v>
      </c>
      <c r="L10" s="451">
        <f>transport!L54</f>
        <v>0</v>
      </c>
      <c r="M10" s="451">
        <f>transport!M54</f>
        <v>54.489166385557056</v>
      </c>
      <c r="N10" s="451">
        <f>transport!N54</f>
        <v>0</v>
      </c>
      <c r="O10" s="451">
        <f>transport!O54</f>
        <v>0</v>
      </c>
      <c r="P10" s="452">
        <f>transport!P54</f>
        <v>0</v>
      </c>
      <c r="Q10" s="450">
        <f t="shared" si="0"/>
        <v>1013.9525182485929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382.98070000000001</v>
      </c>
      <c r="C14" s="458"/>
      <c r="D14" s="458">
        <f>'SEAP template'!E25</f>
        <v>597.63705000000004</v>
      </c>
      <c r="E14" s="458"/>
      <c r="F14" s="458"/>
      <c r="G14" s="458"/>
      <c r="H14" s="458"/>
      <c r="I14" s="458"/>
      <c r="J14" s="458"/>
      <c r="K14" s="458"/>
      <c r="L14" s="458"/>
      <c r="M14" s="458"/>
      <c r="N14" s="458"/>
      <c r="O14" s="458"/>
      <c r="P14" s="459"/>
      <c r="Q14" s="450">
        <f t="shared" si="0"/>
        <v>980.61775000000011</v>
      </c>
    </row>
    <row r="15" spans="1:17" s="460" customFormat="1">
      <c r="A15" s="1005" t="s">
        <v>554</v>
      </c>
      <c r="B15" s="953">
        <f ca="1">SUM(B4:B14)</f>
        <v>28455.606501675433</v>
      </c>
      <c r="C15" s="953">
        <f t="shared" ref="C15:Q15" ca="1" si="1">SUM(C4:C14)</f>
        <v>0</v>
      </c>
      <c r="D15" s="953">
        <f t="shared" ca="1" si="1"/>
        <v>49263.66624932854</v>
      </c>
      <c r="E15" s="953">
        <f t="shared" si="1"/>
        <v>7245.1688966096317</v>
      </c>
      <c r="F15" s="953">
        <f t="shared" ca="1" si="1"/>
        <v>9530.6122905751108</v>
      </c>
      <c r="G15" s="953">
        <f t="shared" si="1"/>
        <v>123310.32424630687</v>
      </c>
      <c r="H15" s="953">
        <f t="shared" si="1"/>
        <v>23176.896817127064</v>
      </c>
      <c r="I15" s="953">
        <f t="shared" si="1"/>
        <v>0</v>
      </c>
      <c r="J15" s="953">
        <f t="shared" si="1"/>
        <v>481.91043987075744</v>
      </c>
      <c r="K15" s="953">
        <f t="shared" si="1"/>
        <v>0</v>
      </c>
      <c r="L15" s="953">
        <f t="shared" ca="1" si="1"/>
        <v>0</v>
      </c>
      <c r="M15" s="953">
        <f t="shared" si="1"/>
        <v>7885.2211631883611</v>
      </c>
      <c r="N15" s="953">
        <f t="shared" ca="1" si="1"/>
        <v>13120.70396771919</v>
      </c>
      <c r="O15" s="953">
        <f t="shared" si="1"/>
        <v>190.72666666666669</v>
      </c>
      <c r="P15" s="953">
        <f t="shared" si="1"/>
        <v>610.13333333333333</v>
      </c>
      <c r="Q15" s="953">
        <f t="shared" ca="1" si="1"/>
        <v>263270.97057240095</v>
      </c>
    </row>
    <row r="17" spans="1:17">
      <c r="A17" s="461" t="s">
        <v>555</v>
      </c>
      <c r="B17" s="760">
        <f ca="1">huishoudens!B10</f>
        <v>0.18358956605962673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2915.7513103836945</v>
      </c>
      <c r="C22" s="451">
        <f t="shared" ref="C22:C32" ca="1" si="3">C4*$C$17</f>
        <v>0</v>
      </c>
      <c r="D22" s="451">
        <f t="shared" ref="D22:D32" si="4">D4*$D$17</f>
        <v>7317.8350132644609</v>
      </c>
      <c r="E22" s="451">
        <f t="shared" ref="E22:E32" si="5">E4*$E$17</f>
        <v>1456.5014368880791</v>
      </c>
      <c r="F22" s="451">
        <f t="shared" ref="F22:F32" si="6">F4*$F$17</f>
        <v>0</v>
      </c>
      <c r="G22" s="451">
        <f t="shared" ref="G22:G32" si="7">G4*$G$17</f>
        <v>0</v>
      </c>
      <c r="H22" s="451">
        <f t="shared" ref="H22:H32" si="8">H4*$H$17</f>
        <v>0</v>
      </c>
      <c r="I22" s="451">
        <f t="shared" ref="I22:I32" si="9">I4*$I$17</f>
        <v>0</v>
      </c>
      <c r="J22" s="451">
        <f t="shared" ref="J22:J32" si="10">J4*$J$17</f>
        <v>83.418791222407037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11773.506551758643</v>
      </c>
    </row>
    <row r="23" spans="1:17">
      <c r="A23" s="450" t="s">
        <v>155</v>
      </c>
      <c r="B23" s="451">
        <f t="shared" ca="1" si="2"/>
        <v>1410.4437135013825</v>
      </c>
      <c r="C23" s="451">
        <f t="shared" ca="1" si="3"/>
        <v>0</v>
      </c>
      <c r="D23" s="451">
        <f t="shared" ca="1" si="4"/>
        <v>2076.7941040551318</v>
      </c>
      <c r="E23" s="451">
        <f t="shared" si="5"/>
        <v>30.846870273104049</v>
      </c>
      <c r="F23" s="451">
        <f t="shared" ca="1" si="6"/>
        <v>365.37534959920561</v>
      </c>
      <c r="G23" s="451">
        <f t="shared" si="7"/>
        <v>0</v>
      </c>
      <c r="H23" s="451">
        <f t="shared" si="8"/>
        <v>0</v>
      </c>
      <c r="I23" s="451">
        <f t="shared" si="9"/>
        <v>0</v>
      </c>
      <c r="J23" s="451">
        <f t="shared" si="10"/>
        <v>5.809315828769839E-3</v>
      </c>
      <c r="K23" s="451">
        <f t="shared" si="11"/>
        <v>0</v>
      </c>
      <c r="L23" s="451">
        <f t="shared" ca="1" si="12"/>
        <v>0</v>
      </c>
      <c r="M23" s="451">
        <f t="shared" si="13"/>
        <v>0</v>
      </c>
      <c r="N23" s="451">
        <f t="shared" ca="1" si="14"/>
        <v>0</v>
      </c>
      <c r="O23" s="451">
        <f t="shared" si="15"/>
        <v>0</v>
      </c>
      <c r="P23" s="452">
        <f t="shared" si="16"/>
        <v>0</v>
      </c>
      <c r="Q23" s="450">
        <f t="shared" ref="Q23:Q32" ca="1" si="17">SUM(B23:P23)</f>
        <v>3883.4658467446525</v>
      </c>
    </row>
    <row r="24" spans="1:17">
      <c r="A24" s="450" t="s">
        <v>193</v>
      </c>
      <c r="B24" s="451">
        <f t="shared" ca="1" si="2"/>
        <v>156.91033031984176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156.91033031984176</v>
      </c>
    </row>
    <row r="25" spans="1:17">
      <c r="A25" s="450" t="s">
        <v>111</v>
      </c>
      <c r="B25" s="451">
        <f t="shared" ca="1" si="2"/>
        <v>312.00521116546975</v>
      </c>
      <c r="C25" s="451">
        <f t="shared" ca="1" si="3"/>
        <v>0</v>
      </c>
      <c r="D25" s="451">
        <f t="shared" si="4"/>
        <v>36.251672247999998</v>
      </c>
      <c r="E25" s="451">
        <f t="shared" si="5"/>
        <v>11.339252530548992</v>
      </c>
      <c r="F25" s="451">
        <f t="shared" si="6"/>
        <v>1890.3348722672547</v>
      </c>
      <c r="G25" s="451">
        <f t="shared" si="7"/>
        <v>0</v>
      </c>
      <c r="H25" s="451">
        <f t="shared" si="8"/>
        <v>0</v>
      </c>
      <c r="I25" s="451">
        <f t="shared" si="9"/>
        <v>0</v>
      </c>
      <c r="J25" s="451">
        <f t="shared" si="10"/>
        <v>87.160784300148237</v>
      </c>
      <c r="K25" s="451">
        <f t="shared" si="11"/>
        <v>0</v>
      </c>
      <c r="L25" s="451">
        <f t="shared" si="12"/>
        <v>0</v>
      </c>
      <c r="M25" s="451">
        <f t="shared" si="13"/>
        <v>0</v>
      </c>
      <c r="N25" s="451">
        <f t="shared" si="14"/>
        <v>0</v>
      </c>
      <c r="O25" s="451">
        <f t="shared" si="15"/>
        <v>0</v>
      </c>
      <c r="P25" s="452">
        <f t="shared" si="16"/>
        <v>0</v>
      </c>
      <c r="Q25" s="450">
        <f t="shared" ca="1" si="17"/>
        <v>2337.0917925114218</v>
      </c>
    </row>
    <row r="26" spans="1:17">
      <c r="A26" s="450" t="s">
        <v>634</v>
      </c>
      <c r="B26" s="451">
        <f t="shared" ca="1" si="2"/>
        <v>349.3180125857312</v>
      </c>
      <c r="C26" s="451">
        <f t="shared" ca="1" si="3"/>
        <v>0</v>
      </c>
      <c r="D26" s="451">
        <f t="shared" si="4"/>
        <v>372.78915624500002</v>
      </c>
      <c r="E26" s="451">
        <f t="shared" si="5"/>
        <v>86.253813496408114</v>
      </c>
      <c r="F26" s="451">
        <f t="shared" si="6"/>
        <v>288.96325971709456</v>
      </c>
      <c r="G26" s="451">
        <f t="shared" si="7"/>
        <v>0</v>
      </c>
      <c r="H26" s="451">
        <f t="shared" si="8"/>
        <v>0</v>
      </c>
      <c r="I26" s="451">
        <f t="shared" si="9"/>
        <v>0</v>
      </c>
      <c r="J26" s="451">
        <f t="shared" si="10"/>
        <v>1.0910875864076408E-2</v>
      </c>
      <c r="K26" s="451">
        <f t="shared" si="11"/>
        <v>0</v>
      </c>
      <c r="L26" s="451">
        <f t="shared" si="12"/>
        <v>0</v>
      </c>
      <c r="M26" s="451">
        <f t="shared" si="13"/>
        <v>0</v>
      </c>
      <c r="N26" s="451">
        <f t="shared" si="14"/>
        <v>0</v>
      </c>
      <c r="O26" s="451">
        <f t="shared" si="15"/>
        <v>0</v>
      </c>
      <c r="P26" s="452">
        <f t="shared" si="16"/>
        <v>0</v>
      </c>
      <c r="Q26" s="450">
        <f t="shared" ca="1" si="17"/>
        <v>1097.3351529200979</v>
      </c>
    </row>
    <row r="27" spans="1:17" s="456" customFormat="1">
      <c r="A27" s="454" t="s">
        <v>560</v>
      </c>
      <c r="B27" s="754">
        <f t="shared" ca="1" si="2"/>
        <v>9.4126111277541273</v>
      </c>
      <c r="C27" s="455">
        <f t="shared" ca="1" si="3"/>
        <v>0</v>
      </c>
      <c r="D27" s="455">
        <f t="shared" si="4"/>
        <v>26.867952451774116</v>
      </c>
      <c r="E27" s="455">
        <f t="shared" si="5"/>
        <v>59.711966342246285</v>
      </c>
      <c r="F27" s="455">
        <f t="shared" si="6"/>
        <v>0</v>
      </c>
      <c r="G27" s="455">
        <f t="shared" si="7"/>
        <v>32667.679858816507</v>
      </c>
      <c r="H27" s="455">
        <f t="shared" si="8"/>
        <v>5771.0473074646388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38534.719696202919</v>
      </c>
    </row>
    <row r="28" spans="1:17">
      <c r="A28" s="450" t="s">
        <v>550</v>
      </c>
      <c r="B28" s="451">
        <f t="shared" ca="1" si="2"/>
        <v>0</v>
      </c>
      <c r="C28" s="451">
        <f t="shared" ca="1" si="3"/>
        <v>0</v>
      </c>
      <c r="D28" s="451">
        <f t="shared" si="4"/>
        <v>0</v>
      </c>
      <c r="E28" s="451">
        <f t="shared" si="5"/>
        <v>0</v>
      </c>
      <c r="F28" s="451">
        <f t="shared" si="6"/>
        <v>0</v>
      </c>
      <c r="G28" s="451">
        <f t="shared" si="7"/>
        <v>256.17671494743058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256.17671494743058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70.311260522212095</v>
      </c>
      <c r="C32" s="451">
        <f t="shared" ca="1" si="3"/>
        <v>0</v>
      </c>
      <c r="D32" s="451">
        <f t="shared" si="4"/>
        <v>120.72268410000002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191.03394462221212</v>
      </c>
    </row>
    <row r="33" spans="1:17" s="460" customFormat="1">
      <c r="A33" s="1005" t="s">
        <v>554</v>
      </c>
      <c r="B33" s="953">
        <f ca="1">SUM(B22:B32)</f>
        <v>5224.1524496060856</v>
      </c>
      <c r="C33" s="953">
        <f t="shared" ref="C33:Q33" ca="1" si="18">SUM(C22:C32)</f>
        <v>0</v>
      </c>
      <c r="D33" s="953">
        <f t="shared" ca="1" si="18"/>
        <v>9951.2605823643662</v>
      </c>
      <c r="E33" s="953">
        <f t="shared" si="18"/>
        <v>1644.6533395303866</v>
      </c>
      <c r="F33" s="953">
        <f t="shared" ca="1" si="18"/>
        <v>2544.6734815835548</v>
      </c>
      <c r="G33" s="953">
        <f t="shared" si="18"/>
        <v>32923.856573763936</v>
      </c>
      <c r="H33" s="953">
        <f t="shared" si="18"/>
        <v>5771.0473074646388</v>
      </c>
      <c r="I33" s="953">
        <f t="shared" si="18"/>
        <v>0</v>
      </c>
      <c r="J33" s="953">
        <f t="shared" si="18"/>
        <v>170.59629571424813</v>
      </c>
      <c r="K33" s="953">
        <f t="shared" si="18"/>
        <v>0</v>
      </c>
      <c r="L33" s="953">
        <f t="shared" ca="1" si="18"/>
        <v>0</v>
      </c>
      <c r="M33" s="953">
        <f t="shared" si="18"/>
        <v>0</v>
      </c>
      <c r="N33" s="953">
        <f t="shared" ca="1" si="18"/>
        <v>0</v>
      </c>
      <c r="O33" s="953">
        <f t="shared" si="18"/>
        <v>0</v>
      </c>
      <c r="P33" s="953">
        <f t="shared" si="18"/>
        <v>0</v>
      </c>
      <c r="Q33" s="953">
        <f t="shared" ca="1" si="18"/>
        <v>58230.24003002722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4816.90763467957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4816.90763467957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0.18358956605962673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0.18358956605962673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0.18358956605962673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0.18358956605962673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3871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2480.41</v>
      </c>
      <c r="C14" s="330"/>
      <c r="D14" s="330"/>
      <c r="E14" s="330"/>
      <c r="F14" s="330"/>
    </row>
    <row r="15" spans="1:6">
      <c r="A15" s="1293" t="s">
        <v>183</v>
      </c>
      <c r="B15" s="1294">
        <v>23</v>
      </c>
      <c r="C15" s="330"/>
      <c r="D15" s="330"/>
      <c r="E15" s="330"/>
      <c r="F15" s="330"/>
    </row>
    <row r="16" spans="1:6">
      <c r="A16" s="1293" t="s">
        <v>6</v>
      </c>
      <c r="B16" s="1294">
        <v>837</v>
      </c>
      <c r="C16" s="330"/>
      <c r="D16" s="330"/>
      <c r="E16" s="330"/>
      <c r="F16" s="330"/>
    </row>
    <row r="17" spans="1:6">
      <c r="A17" s="1293" t="s">
        <v>7</v>
      </c>
      <c r="B17" s="1294">
        <v>707</v>
      </c>
      <c r="C17" s="330"/>
      <c r="D17" s="330"/>
      <c r="E17" s="330"/>
      <c r="F17" s="330"/>
    </row>
    <row r="18" spans="1:6">
      <c r="A18" s="1293" t="s">
        <v>8</v>
      </c>
      <c r="B18" s="1294">
        <v>983</v>
      </c>
      <c r="C18" s="330"/>
      <c r="D18" s="330"/>
      <c r="E18" s="330"/>
      <c r="F18" s="330"/>
    </row>
    <row r="19" spans="1:6">
      <c r="A19" s="1293" t="s">
        <v>9</v>
      </c>
      <c r="B19" s="1294">
        <v>865</v>
      </c>
      <c r="C19" s="330"/>
      <c r="D19" s="330"/>
      <c r="E19" s="330"/>
      <c r="F19" s="330"/>
    </row>
    <row r="20" spans="1:6">
      <c r="A20" s="1293" t="s">
        <v>10</v>
      </c>
      <c r="B20" s="1294">
        <v>505</v>
      </c>
      <c r="C20" s="330"/>
      <c r="D20" s="330"/>
      <c r="E20" s="330"/>
      <c r="F20" s="330"/>
    </row>
    <row r="21" spans="1:6">
      <c r="A21" s="1293" t="s">
        <v>11</v>
      </c>
      <c r="B21" s="1294">
        <v>3813</v>
      </c>
      <c r="C21" s="330"/>
      <c r="D21" s="330"/>
      <c r="E21" s="330"/>
      <c r="F21" s="330"/>
    </row>
    <row r="22" spans="1:6">
      <c r="A22" s="1293" t="s">
        <v>12</v>
      </c>
      <c r="B22" s="1294">
        <v>11853</v>
      </c>
      <c r="C22" s="330"/>
      <c r="D22" s="330"/>
      <c r="E22" s="330"/>
      <c r="F22" s="330"/>
    </row>
    <row r="23" spans="1:6">
      <c r="A23" s="1293" t="s">
        <v>13</v>
      </c>
      <c r="B23" s="1294">
        <v>175</v>
      </c>
      <c r="C23" s="330"/>
      <c r="D23" s="330"/>
      <c r="E23" s="330"/>
      <c r="F23" s="330"/>
    </row>
    <row r="24" spans="1:6">
      <c r="A24" s="1293" t="s">
        <v>14</v>
      </c>
      <c r="B24" s="1294">
        <v>29</v>
      </c>
      <c r="C24" s="330"/>
      <c r="D24" s="330"/>
      <c r="E24" s="330"/>
      <c r="F24" s="330"/>
    </row>
    <row r="25" spans="1:6">
      <c r="A25" s="1293" t="s">
        <v>15</v>
      </c>
      <c r="B25" s="1294">
        <v>965</v>
      </c>
      <c r="C25" s="330"/>
      <c r="D25" s="330"/>
      <c r="E25" s="330"/>
      <c r="F25" s="330"/>
    </row>
    <row r="26" spans="1:6">
      <c r="A26" s="1293" t="s">
        <v>16</v>
      </c>
      <c r="B26" s="1294">
        <v>597</v>
      </c>
      <c r="C26" s="330"/>
      <c r="D26" s="330"/>
      <c r="E26" s="330"/>
      <c r="F26" s="330"/>
    </row>
    <row r="27" spans="1:6">
      <c r="A27" s="1293" t="s">
        <v>17</v>
      </c>
      <c r="B27" s="1294">
        <v>2079</v>
      </c>
      <c r="C27" s="330"/>
      <c r="D27" s="330"/>
      <c r="E27" s="330"/>
      <c r="F27" s="330"/>
    </row>
    <row r="28" spans="1:6" s="43" customFormat="1">
      <c r="A28" s="1295" t="s">
        <v>18</v>
      </c>
      <c r="B28" s="1296">
        <v>69628</v>
      </c>
      <c r="C28" s="336"/>
      <c r="D28" s="336"/>
      <c r="E28" s="336"/>
      <c r="F28" s="336"/>
    </row>
    <row r="29" spans="1:6">
      <c r="A29" s="1295" t="s">
        <v>734</v>
      </c>
      <c r="B29" s="1296">
        <v>64</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27939</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1852</v>
      </c>
    </row>
    <row r="39" spans="1:6">
      <c r="A39" s="1293" t="s">
        <v>29</v>
      </c>
      <c r="B39" s="1293" t="s">
        <v>30</v>
      </c>
      <c r="C39" s="1294">
        <v>2777</v>
      </c>
      <c r="D39" s="1294">
        <v>40162866.969245791</v>
      </c>
      <c r="E39" s="1294">
        <v>3729</v>
      </c>
      <c r="F39" s="1294">
        <v>13923797.75</v>
      </c>
    </row>
    <row r="40" spans="1:6">
      <c r="A40" s="1293" t="s">
        <v>29</v>
      </c>
      <c r="B40" s="1293" t="s">
        <v>28</v>
      </c>
      <c r="C40" s="1294">
        <v>0</v>
      </c>
      <c r="D40" s="1294">
        <v>0</v>
      </c>
      <c r="E40" s="1294">
        <v>1</v>
      </c>
      <c r="F40" s="1294">
        <v>19939</v>
      </c>
    </row>
    <row r="41" spans="1:6">
      <c r="A41" s="1293" t="s">
        <v>31</v>
      </c>
      <c r="B41" s="1293" t="s">
        <v>32</v>
      </c>
      <c r="C41" s="1294">
        <v>67</v>
      </c>
      <c r="D41" s="1294">
        <v>1225989.75</v>
      </c>
      <c r="E41" s="1294">
        <v>161</v>
      </c>
      <c r="F41" s="1294">
        <v>1291428.8400000001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106152</v>
      </c>
      <c r="E44" s="1294">
        <v>10</v>
      </c>
      <c r="F44" s="1294">
        <v>107340.774</v>
      </c>
    </row>
    <row r="45" spans="1:6">
      <c r="A45" s="1293" t="s">
        <v>31</v>
      </c>
      <c r="B45" s="1293" t="s">
        <v>36</v>
      </c>
      <c r="C45" s="1294">
        <v>4</v>
      </c>
      <c r="D45" s="1294">
        <v>99569</v>
      </c>
      <c r="E45" s="1294">
        <v>4</v>
      </c>
      <c r="F45" s="1294">
        <v>10745</v>
      </c>
    </row>
    <row r="46" spans="1:6">
      <c r="A46" s="1293" t="s">
        <v>31</v>
      </c>
      <c r="B46" s="1293" t="s">
        <v>37</v>
      </c>
      <c r="C46" s="1294">
        <v>0</v>
      </c>
      <c r="D46" s="1294">
        <v>0</v>
      </c>
      <c r="E46" s="1294">
        <v>0</v>
      </c>
      <c r="F46" s="1294">
        <v>0</v>
      </c>
    </row>
    <row r="47" spans="1:6">
      <c r="A47" s="1293" t="s">
        <v>31</v>
      </c>
      <c r="B47" s="1293" t="s">
        <v>38</v>
      </c>
      <c r="C47" s="1294">
        <v>0</v>
      </c>
      <c r="D47" s="1294">
        <v>0</v>
      </c>
      <c r="E47" s="1294">
        <v>5</v>
      </c>
      <c r="F47" s="1294">
        <v>24750</v>
      </c>
    </row>
    <row r="48" spans="1:6">
      <c r="A48" s="1293" t="s">
        <v>31</v>
      </c>
      <c r="B48" s="1293" t="s">
        <v>28</v>
      </c>
      <c r="C48" s="1294">
        <v>2</v>
      </c>
      <c r="D48" s="1294">
        <v>67312</v>
      </c>
      <c r="E48" s="1294">
        <v>1</v>
      </c>
      <c r="F48" s="1294">
        <v>2608</v>
      </c>
    </row>
    <row r="49" spans="1:6">
      <c r="A49" s="1293" t="s">
        <v>31</v>
      </c>
      <c r="B49" s="1293" t="s">
        <v>39</v>
      </c>
      <c r="C49" s="1294">
        <v>0</v>
      </c>
      <c r="D49" s="1294">
        <v>0</v>
      </c>
      <c r="E49" s="1294">
        <v>0</v>
      </c>
      <c r="F49" s="1294">
        <v>0</v>
      </c>
    </row>
    <row r="50" spans="1:6">
      <c r="A50" s="1293" t="s">
        <v>31</v>
      </c>
      <c r="B50" s="1293" t="s">
        <v>40</v>
      </c>
      <c r="C50" s="1294">
        <v>8</v>
      </c>
      <c r="D50" s="1294">
        <v>546976</v>
      </c>
      <c r="E50" s="1294">
        <v>11</v>
      </c>
      <c r="F50" s="1294">
        <v>465839.071</v>
      </c>
    </row>
    <row r="51" spans="1:6">
      <c r="A51" s="1293" t="s">
        <v>41</v>
      </c>
      <c r="B51" s="1293" t="s">
        <v>42</v>
      </c>
      <c r="C51" s="1294">
        <v>11</v>
      </c>
      <c r="D51" s="1294">
        <v>198962</v>
      </c>
      <c r="E51" s="1294">
        <v>96</v>
      </c>
      <c r="F51" s="1294">
        <v>1699471.3689999999</v>
      </c>
    </row>
    <row r="52" spans="1:6">
      <c r="A52" s="1293" t="s">
        <v>41</v>
      </c>
      <c r="B52" s="1293" t="s">
        <v>28</v>
      </c>
      <c r="C52" s="1294">
        <v>0</v>
      </c>
      <c r="D52" s="1294">
        <v>0</v>
      </c>
      <c r="E52" s="1294">
        <v>0</v>
      </c>
      <c r="F52" s="1294">
        <v>0</v>
      </c>
    </row>
    <row r="53" spans="1:6">
      <c r="A53" s="1293" t="s">
        <v>43</v>
      </c>
      <c r="B53" s="1293" t="s">
        <v>44</v>
      </c>
      <c r="C53" s="1294">
        <v>42</v>
      </c>
      <c r="D53" s="1294">
        <v>597637.05000000005</v>
      </c>
      <c r="E53" s="1294">
        <v>94</v>
      </c>
      <c r="F53" s="1294">
        <v>382980.7</v>
      </c>
    </row>
    <row r="54" spans="1:6">
      <c r="A54" s="1293" t="s">
        <v>45</v>
      </c>
      <c r="B54" s="1293" t="s">
        <v>46</v>
      </c>
      <c r="C54" s="1294">
        <v>0</v>
      </c>
      <c r="D54" s="1294">
        <v>0</v>
      </c>
      <c r="E54" s="1294">
        <v>1</v>
      </c>
      <c r="F54" s="1294">
        <v>854680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37</v>
      </c>
      <c r="D57" s="1294">
        <v>1692505.1429999999</v>
      </c>
      <c r="E57" s="1294">
        <v>66</v>
      </c>
      <c r="F57" s="1294">
        <v>756032.255</v>
      </c>
    </row>
    <row r="58" spans="1:6">
      <c r="A58" s="1293" t="s">
        <v>48</v>
      </c>
      <c r="B58" s="1293" t="s">
        <v>50</v>
      </c>
      <c r="C58" s="1294">
        <v>19</v>
      </c>
      <c r="D58" s="1294">
        <v>535072</v>
      </c>
      <c r="E58" s="1294">
        <v>34</v>
      </c>
      <c r="F58" s="1294">
        <v>383839</v>
      </c>
    </row>
    <row r="59" spans="1:6">
      <c r="A59" s="1293" t="s">
        <v>48</v>
      </c>
      <c r="B59" s="1293" t="s">
        <v>51</v>
      </c>
      <c r="C59" s="1294">
        <v>78</v>
      </c>
      <c r="D59" s="1294">
        <v>3549321.44</v>
      </c>
      <c r="E59" s="1294">
        <v>131</v>
      </c>
      <c r="F59" s="1294">
        <v>3391989.49</v>
      </c>
    </row>
    <row r="60" spans="1:6">
      <c r="A60" s="1293" t="s">
        <v>48</v>
      </c>
      <c r="B60" s="1293" t="s">
        <v>52</v>
      </c>
      <c r="C60" s="1294">
        <v>36</v>
      </c>
      <c r="D60" s="1294">
        <v>1314045</v>
      </c>
      <c r="E60" s="1294">
        <v>42</v>
      </c>
      <c r="F60" s="1294">
        <v>695241.53700000001</v>
      </c>
    </row>
    <row r="61" spans="1:6">
      <c r="A61" s="1293" t="s">
        <v>48</v>
      </c>
      <c r="B61" s="1293" t="s">
        <v>53</v>
      </c>
      <c r="C61" s="1294">
        <v>95</v>
      </c>
      <c r="D61" s="1294">
        <v>3235751.05</v>
      </c>
      <c r="E61" s="1294">
        <v>160</v>
      </c>
      <c r="F61" s="1294">
        <v>2325141.4410000001</v>
      </c>
    </row>
    <row r="62" spans="1:6">
      <c r="A62" s="1293" t="s">
        <v>48</v>
      </c>
      <c r="B62" s="1293" t="s">
        <v>54</v>
      </c>
      <c r="C62" s="1294">
        <v>14</v>
      </c>
      <c r="D62" s="1294">
        <v>1071486</v>
      </c>
      <c r="E62" s="1294">
        <v>7</v>
      </c>
      <c r="F62" s="1294">
        <v>130348.179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43592</v>
      </c>
      <c r="E65" s="1294">
        <v>0</v>
      </c>
      <c r="F65" s="1294">
        <v>0</v>
      </c>
    </row>
    <row r="66" spans="1:6">
      <c r="A66" s="1293" t="s">
        <v>55</v>
      </c>
      <c r="B66" s="1293" t="s">
        <v>57</v>
      </c>
      <c r="C66" s="1294">
        <v>0</v>
      </c>
      <c r="D66" s="1294">
        <v>0</v>
      </c>
      <c r="E66" s="1294">
        <v>11</v>
      </c>
      <c r="F66" s="1294">
        <v>251392.81299999999</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36631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40338257</v>
      </c>
      <c r="E73" s="449"/>
      <c r="F73" s="330"/>
    </row>
    <row r="74" spans="1:6">
      <c r="A74" s="1293" t="s">
        <v>63</v>
      </c>
      <c r="B74" s="1293" t="s">
        <v>656</v>
      </c>
      <c r="C74" s="1307" t="s">
        <v>658</v>
      </c>
      <c r="D74" s="1308">
        <v>2884705.5</v>
      </c>
      <c r="E74" s="449"/>
      <c r="F74" s="330"/>
    </row>
    <row r="75" spans="1:6">
      <c r="A75" s="1293" t="s">
        <v>64</v>
      </c>
      <c r="B75" s="1293" t="s">
        <v>655</v>
      </c>
      <c r="C75" s="1307" t="s">
        <v>659</v>
      </c>
      <c r="D75" s="1308">
        <v>10479121</v>
      </c>
      <c r="E75" s="449"/>
      <c r="F75" s="330"/>
    </row>
    <row r="76" spans="1:6">
      <c r="A76" s="1293" t="s">
        <v>64</v>
      </c>
      <c r="B76" s="1293" t="s">
        <v>656</v>
      </c>
      <c r="C76" s="1307" t="s">
        <v>660</v>
      </c>
      <c r="D76" s="1308">
        <v>474738.5</v>
      </c>
      <c r="E76" s="449"/>
      <c r="F76" s="330"/>
    </row>
    <row r="77" spans="1:6">
      <c r="A77" s="1293" t="s">
        <v>65</v>
      </c>
      <c r="B77" s="1293" t="s">
        <v>655</v>
      </c>
      <c r="C77" s="1307" t="s">
        <v>661</v>
      </c>
      <c r="D77" s="1308">
        <v>102485163</v>
      </c>
      <c r="E77" s="449"/>
      <c r="F77" s="330"/>
    </row>
    <row r="78" spans="1:6">
      <c r="A78" s="1288" t="s">
        <v>65</v>
      </c>
      <c r="B78" s="1288" t="s">
        <v>656</v>
      </c>
      <c r="C78" s="1288" t="s">
        <v>662</v>
      </c>
      <c r="D78" s="1309">
        <v>15652834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276537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1938.1642368823848</v>
      </c>
      <c r="C91" s="330"/>
      <c r="D91" s="330"/>
      <c r="E91" s="330"/>
      <c r="F91" s="330"/>
    </row>
    <row r="92" spans="1:6">
      <c r="A92" s="1288" t="s">
        <v>68</v>
      </c>
      <c r="B92" s="1289">
        <v>2878.7433977971855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1911</v>
      </c>
      <c r="C97" s="330"/>
      <c r="D97" s="330"/>
      <c r="E97" s="330"/>
      <c r="F97" s="330"/>
    </row>
    <row r="98" spans="1:6">
      <c r="A98" s="1293" t="s">
        <v>71</v>
      </c>
      <c r="B98" s="1294">
        <v>1</v>
      </c>
      <c r="C98" s="330"/>
      <c r="D98" s="330"/>
      <c r="E98" s="330"/>
      <c r="F98" s="330"/>
    </row>
    <row r="99" spans="1:6">
      <c r="A99" s="1293" t="s">
        <v>72</v>
      </c>
      <c r="B99" s="1294">
        <v>56</v>
      </c>
      <c r="C99" s="330"/>
      <c r="D99" s="330"/>
      <c r="E99" s="330"/>
      <c r="F99" s="330"/>
    </row>
    <row r="100" spans="1:6">
      <c r="A100" s="1293" t="s">
        <v>73</v>
      </c>
      <c r="B100" s="1294">
        <v>349</v>
      </c>
      <c r="C100" s="330"/>
      <c r="D100" s="330"/>
      <c r="E100" s="330"/>
      <c r="F100" s="330"/>
    </row>
    <row r="101" spans="1:6">
      <c r="A101" s="1293" t="s">
        <v>74</v>
      </c>
      <c r="B101" s="1294">
        <v>78</v>
      </c>
      <c r="C101" s="330"/>
      <c r="D101" s="330"/>
      <c r="E101" s="330"/>
      <c r="F101" s="330"/>
    </row>
    <row r="102" spans="1:6">
      <c r="A102" s="1293" t="s">
        <v>75</v>
      </c>
      <c r="B102" s="1294">
        <v>71</v>
      </c>
      <c r="C102" s="330"/>
      <c r="D102" s="330"/>
      <c r="E102" s="330"/>
      <c r="F102" s="330"/>
    </row>
    <row r="103" spans="1:6">
      <c r="A103" s="1293" t="s">
        <v>76</v>
      </c>
      <c r="B103" s="1294">
        <v>104</v>
      </c>
      <c r="C103" s="330"/>
      <c r="D103" s="330"/>
      <c r="E103" s="330"/>
      <c r="F103" s="330"/>
    </row>
    <row r="104" spans="1:6">
      <c r="A104" s="1293" t="s">
        <v>77</v>
      </c>
      <c r="B104" s="1294">
        <v>807</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42</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78</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28455.606501675433</v>
      </c>
      <c r="C3" s="43" t="s">
        <v>169</v>
      </c>
      <c r="D3" s="43"/>
      <c r="E3" s="154"/>
      <c r="F3" s="43"/>
      <c r="G3" s="43"/>
      <c r="H3" s="43"/>
      <c r="I3" s="43"/>
      <c r="J3" s="43"/>
      <c r="K3" s="96"/>
    </row>
    <row r="4" spans="1:11">
      <c r="A4" s="358" t="s">
        <v>170</v>
      </c>
      <c r="B4" s="49">
        <f>IF(ISERROR('SEAP template'!B78+'SEAP template'!C78),0,'SEAP template'!B78+'SEAP template'!C78)</f>
        <v>4816.90763467957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0.18358956605962673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854.68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0.18358956605962673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156.91033031984176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13943.73675</v>
      </c>
      <c r="C5" s="17">
        <f>IF(ISERROR('Eigen informatie GS &amp; warmtenet'!B57),0,'Eigen informatie GS &amp; warmtenet'!B57)</f>
        <v>0</v>
      </c>
      <c r="D5" s="30">
        <f>(SUM(HH_hh_gas_kWh,HH_rest_gas_kWh)/1000)*0.902</f>
        <v>36226.906006259705</v>
      </c>
      <c r="E5" s="17">
        <f>B46*B57</f>
        <v>6416.3058893747975</v>
      </c>
      <c r="F5" s="17">
        <f>B51*B62</f>
        <v>0</v>
      </c>
      <c r="G5" s="18"/>
      <c r="H5" s="17"/>
      <c r="I5" s="17"/>
      <c r="J5" s="17">
        <f>B50*B61+C50*C61</f>
        <v>235.64630288815547</v>
      </c>
      <c r="K5" s="17"/>
      <c r="L5" s="17"/>
      <c r="M5" s="17"/>
      <c r="N5" s="17">
        <f>B48*B59+C48*C59</f>
        <v>12317.648976282188</v>
      </c>
      <c r="O5" s="17">
        <f>B69*B70*B71</f>
        <v>189.16333333333336</v>
      </c>
      <c r="P5" s="17">
        <f>B77*B78*B79/1000-B77*B78*B79/1000/B80</f>
        <v>572</v>
      </c>
    </row>
    <row r="6" spans="1:16">
      <c r="A6" s="16" t="s">
        <v>620</v>
      </c>
      <c r="B6" s="762">
        <f>kWh_PV_kleiner_dan_10kW</f>
        <v>1938.1642368823848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15881.900986882385</v>
      </c>
      <c r="C8" s="21">
        <f>C5</f>
        <v>0</v>
      </c>
      <c r="D8" s="21">
        <f>D5</f>
        <v>36226.906006259705</v>
      </c>
      <c r="E8" s="21">
        <f>E5</f>
        <v>6416.3058893747975</v>
      </c>
      <c r="F8" s="21">
        <f>F5</f>
        <v>0</v>
      </c>
      <c r="G8" s="21"/>
      <c r="H8" s="21"/>
      <c r="I8" s="21"/>
      <c r="J8" s="21">
        <f>J5</f>
        <v>235.64630288815547</v>
      </c>
      <c r="K8" s="21"/>
      <c r="L8" s="21">
        <f>L5</f>
        <v>0</v>
      </c>
      <c r="M8" s="21">
        <f>M5</f>
        <v>0</v>
      </c>
      <c r="N8" s="21">
        <f>N5</f>
        <v>12317.648976282188</v>
      </c>
      <c r="O8" s="21">
        <f>O5</f>
        <v>189.16333333333336</v>
      </c>
      <c r="P8" s="21">
        <f>P5</f>
        <v>572</v>
      </c>
    </row>
    <row r="9" spans="1:16">
      <c r="B9" s="19"/>
      <c r="C9" s="19"/>
      <c r="D9" s="258"/>
      <c r="E9" s="19"/>
      <c r="F9" s="19"/>
      <c r="G9" s="19"/>
      <c r="H9" s="19"/>
      <c r="I9" s="19"/>
      <c r="J9" s="19"/>
      <c r="K9" s="19"/>
      <c r="L9" s="19"/>
      <c r="M9" s="19"/>
      <c r="N9" s="19"/>
      <c r="O9" s="19"/>
      <c r="P9" s="19"/>
    </row>
    <row r="10" spans="1:16">
      <c r="A10" s="24" t="s">
        <v>213</v>
      </c>
      <c r="B10" s="25">
        <f ca="1">'EF ele_warmte'!B12</f>
        <v>0.18358956605962673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2915.7513103836945</v>
      </c>
      <c r="C12" s="23">
        <f ca="1">C10*C8</f>
        <v>0</v>
      </c>
      <c r="D12" s="23">
        <f>D8*D10</f>
        <v>7317.8350132644609</v>
      </c>
      <c r="E12" s="23">
        <f>E10*E8</f>
        <v>1456.5014368880791</v>
      </c>
      <c r="F12" s="23">
        <f>F10*F8</f>
        <v>0</v>
      </c>
      <c r="G12" s="23"/>
      <c r="H12" s="23"/>
      <c r="I12" s="23"/>
      <c r="J12" s="23">
        <f>J10*J8</f>
        <v>83.418791222407037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3871</v>
      </c>
      <c r="C28" s="36"/>
      <c r="D28" s="228"/>
    </row>
    <row r="29" spans="1:7" s="15" customFormat="1">
      <c r="A29" s="230" t="s">
        <v>781</v>
      </c>
      <c r="B29" s="37">
        <f>SUM(HH_hh_gas_aantal,HH_rest_gas_aantal)</f>
        <v>2777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2777</v>
      </c>
      <c r="C32" s="167">
        <f>IF(ISERROR(B32/SUM($B$32,$B$34,$B$35,$B$36,$B$38,$B$39)*100),0,B32/SUM($B$32,$B$34,$B$35,$B$36,$B$38,$B$39)*100)</f>
        <v>72.298880499869824</v>
      </c>
      <c r="D32" s="233"/>
      <c r="G32" s="15"/>
    </row>
    <row r="33" spans="1:7">
      <c r="A33" s="171" t="s">
        <v>71</v>
      </c>
      <c r="B33" s="34" t="s">
        <v>110</v>
      </c>
      <c r="C33" s="167"/>
      <c r="D33" s="233"/>
      <c r="G33" s="15"/>
    </row>
    <row r="34" spans="1:7">
      <c r="A34" s="171" t="s">
        <v>72</v>
      </c>
      <c r="B34" s="33">
        <f>IF((($B$28-$B$32-$B$39-$B$77-$B$38)*C20/100)&lt;0,0,($B$28-$B$32-$B$39-$B$77-$B$38)*C20/100)</f>
        <v>121.34492753623188</v>
      </c>
      <c r="C34" s="167">
        <f>IF(ISERROR(B34/SUM($B$32,$B$34,$B$35,$B$36,$B$38,$B$39)*100),0,B34/SUM($B$32,$B$34,$B$35,$B$36,$B$38,$B$39)*100)</f>
        <v>3.1592014458795075</v>
      </c>
      <c r="D34" s="233"/>
      <c r="G34" s="15"/>
    </row>
    <row r="35" spans="1:7">
      <c r="A35" s="171" t="s">
        <v>73</v>
      </c>
      <c r="B35" s="33">
        <f>IF((($B$28-$B$32-$B$39-$B$77-$B$38)*C21/100)&lt;0,0,($B$28-$B$32-$B$39-$B$77-$B$38)*C21/100)</f>
        <v>756.238923395445</v>
      </c>
      <c r="C35" s="167">
        <f>IF(ISERROR(B35/SUM($B$32,$B$34,$B$35,$B$36,$B$38,$B$39)*100),0,B35/SUM($B$32,$B$34,$B$35,$B$36,$B$38,$B$39)*100)</f>
        <v>19.688594725213356</v>
      </c>
      <c r="D35" s="233"/>
      <c r="G35" s="15"/>
    </row>
    <row r="36" spans="1:7">
      <c r="A36" s="171" t="s">
        <v>74</v>
      </c>
      <c r="B36" s="33">
        <f>IF((($B$28-$B$32-$B$39-$B$77-$B$38)*C22/100)&lt;0,0,($B$28-$B$32-$B$39-$B$77-$B$38)*C22/100)</f>
        <v>169.01614906832299</v>
      </c>
      <c r="C36" s="167">
        <f>IF(ISERROR(B36/SUM($B$32,$B$34,$B$35,$B$36,$B$38,$B$39)*100),0,B36/SUM($B$32,$B$34,$B$35,$B$36,$B$38,$B$39)*100)</f>
        <v>4.4003162996178862</v>
      </c>
      <c r="D36" s="233"/>
      <c r="G36" s="15"/>
    </row>
    <row r="37" spans="1:7">
      <c r="A37" s="171" t="s">
        <v>75</v>
      </c>
      <c r="B37" s="34" t="s">
        <v>110</v>
      </c>
      <c r="C37" s="167"/>
      <c r="D37" s="173"/>
      <c r="G37" s="15"/>
    </row>
    <row r="38" spans="1:7">
      <c r="A38" s="171" t="s">
        <v>76</v>
      </c>
      <c r="B38" s="33">
        <f>IF((B24-(B29-B18)*0.1)&lt;0,0,B24-(B29-B18)*0.1)</f>
        <v>17.399999999999991</v>
      </c>
      <c r="C38" s="167">
        <f>IF(ISERROR(B38/SUM($B$32,$B$34,$B$35,$B$36,$B$38,$B$39)*100),0,B38/SUM($B$32,$B$34,$B$35,$B$36,$B$38,$B$39)*100)</f>
        <v>0.45300702941942184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2777</v>
      </c>
      <c r="C44" s="34" t="s">
        <v>110</v>
      </c>
      <c r="D44" s="174"/>
    </row>
    <row r="45" spans="1:7">
      <c r="A45" s="171" t="s">
        <v>71</v>
      </c>
      <c r="B45" s="33" t="str">
        <f t="shared" si="0"/>
        <v>-</v>
      </c>
      <c r="C45" s="34" t="s">
        <v>110</v>
      </c>
      <c r="D45" s="174"/>
    </row>
    <row r="46" spans="1:7">
      <c r="A46" s="171" t="s">
        <v>72</v>
      </c>
      <c r="B46" s="33">
        <f t="shared" si="0"/>
        <v>121.34492753623188</v>
      </c>
      <c r="C46" s="34" t="s">
        <v>110</v>
      </c>
      <c r="D46" s="174"/>
    </row>
    <row r="47" spans="1:7">
      <c r="A47" s="171" t="s">
        <v>73</v>
      </c>
      <c r="B47" s="33">
        <f t="shared" si="0"/>
        <v>756.238923395445</v>
      </c>
      <c r="C47" s="34" t="s">
        <v>110</v>
      </c>
      <c r="D47" s="174"/>
    </row>
    <row r="48" spans="1:7">
      <c r="A48" s="171" t="s">
        <v>74</v>
      </c>
      <c r="B48" s="33">
        <f t="shared" si="0"/>
        <v>169.01614906832299</v>
      </c>
      <c r="C48" s="33">
        <f>B48*10</f>
        <v>1690.1614906832299</v>
      </c>
      <c r="D48" s="234"/>
    </row>
    <row r="49" spans="1:6">
      <c r="A49" s="171" t="s">
        <v>75</v>
      </c>
      <c r="B49" s="33" t="str">
        <f t="shared" si="0"/>
        <v>-</v>
      </c>
      <c r="C49" s="34" t="s">
        <v>110</v>
      </c>
      <c r="D49" s="234"/>
    </row>
    <row r="50" spans="1:6">
      <c r="A50" s="171" t="s">
        <v>76</v>
      </c>
      <c r="B50" s="33">
        <f t="shared" si="0"/>
        <v>17.399999999999991</v>
      </c>
      <c r="C50" s="33">
        <f>B50*2</f>
        <v>34.799999999999983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7682.5919020000001</v>
      </c>
      <c r="C5" s="17">
        <f>IF(ISERROR('Eigen informatie GS &amp; warmtenet'!B58),0,'Eigen informatie GS &amp; warmtenet'!B58)</f>
        <v>0</v>
      </c>
      <c r="D5" s="30">
        <f>SUM(D6:D12)</f>
        <v>10281.158930965999</v>
      </c>
      <c r="E5" s="17">
        <f>SUM(E6:E12)</f>
        <v>135.88929635728655</v>
      </c>
      <c r="F5" s="17">
        <f>SUM(F6:F12)</f>
        <v>1368.4470022442156</v>
      </c>
      <c r="G5" s="18"/>
      <c r="H5" s="17"/>
      <c r="I5" s="17"/>
      <c r="J5" s="17">
        <f>SUM(J6:J12)</f>
        <v>1.6410496691440225E-2</v>
      </c>
      <c r="K5" s="17"/>
      <c r="L5" s="17"/>
      <c r="M5" s="17"/>
      <c r="N5" s="17">
        <f>SUM(N6:N12)</f>
        <v>655.43036503858968</v>
      </c>
      <c r="O5" s="17">
        <f>B38*B39*B40</f>
        <v>1.5633333333333335</v>
      </c>
      <c r="P5" s="17">
        <f>B46*B47*B48/1000-B46*B47*B48/1000/B49</f>
        <v>38.133333333333333</v>
      </c>
      <c r="R5" s="32"/>
    </row>
    <row r="6" spans="1:18">
      <c r="A6" s="32" t="s">
        <v>53</v>
      </c>
      <c r="B6" s="37">
        <f>B26</f>
        <v>2325.1414410000002</v>
      </c>
      <c r="C6" s="33"/>
      <c r="D6" s="37">
        <f>IF(ISERROR(TER_kantoor_gas_kWh/1000),0,TER_kantoor_gas_kWh/1000)*0.902</f>
        <v>2918.6474471000001</v>
      </c>
      <c r="E6" s="33">
        <f>$C$26*'E Balans VL '!I12/100/3.6*1000000</f>
        <v>1.4573213222260033E-2</v>
      </c>
      <c r="F6" s="33">
        <f>$C$26*('E Balans VL '!L12+'E Balans VL '!N12)/100/3.6*1000000</f>
        <v>349.40378793394336</v>
      </c>
      <c r="G6" s="34"/>
      <c r="H6" s="33"/>
      <c r="I6" s="33"/>
      <c r="J6" s="33">
        <f>$C$26*('E Balans VL '!D12+'E Balans VL '!E12)/100/3.6*1000000</f>
        <v>0</v>
      </c>
      <c r="K6" s="33"/>
      <c r="L6" s="33"/>
      <c r="M6" s="33"/>
      <c r="N6" s="33">
        <f>$C$26*'E Balans VL '!Y12/100/3.6*1000000</f>
        <v>2.223653048264663</v>
      </c>
      <c r="O6" s="33"/>
      <c r="P6" s="33"/>
      <c r="R6" s="32"/>
    </row>
    <row r="7" spans="1:18">
      <c r="A7" s="32" t="s">
        <v>52</v>
      </c>
      <c r="B7" s="37">
        <f t="shared" ref="B7:B12" si="0">B27</f>
        <v>695.24153699999999</v>
      </c>
      <c r="C7" s="33"/>
      <c r="D7" s="37">
        <f>IF(ISERROR(TER_horeca_gas_kWh/1000),0,TER_horeca_gas_kWh/1000)*0.902</f>
        <v>1185.2685900000001</v>
      </c>
      <c r="E7" s="33">
        <f>$C$27*'E Balans VL '!I9/100/3.6*1000000</f>
        <v>9.9557430047069175</v>
      </c>
      <c r="F7" s="33">
        <f>$C$27*('E Balans VL '!L9+'E Balans VL '!N9)/100/3.6*1000000</f>
        <v>88.040508533486403</v>
      </c>
      <c r="G7" s="34"/>
      <c r="H7" s="33"/>
      <c r="I7" s="33"/>
      <c r="J7" s="33">
        <f>$C$27*('E Balans VL '!D9+'E Balans VL '!E9)/100/3.6*1000000</f>
        <v>0</v>
      </c>
      <c r="K7" s="33"/>
      <c r="L7" s="33"/>
      <c r="M7" s="33"/>
      <c r="N7" s="33">
        <f>$C$27*'E Balans VL '!Y9/100/3.6*1000000</f>
        <v>0.19986661312742482</v>
      </c>
      <c r="O7" s="33"/>
      <c r="P7" s="33"/>
      <c r="R7" s="32"/>
    </row>
    <row r="8" spans="1:18">
      <c r="A8" s="6" t="s">
        <v>51</v>
      </c>
      <c r="B8" s="37">
        <f t="shared" si="0"/>
        <v>3391.9894900000004</v>
      </c>
      <c r="C8" s="33"/>
      <c r="D8" s="37">
        <f>IF(ISERROR(TER_handel_gas_kWh/1000),0,TER_handel_gas_kWh/1000)*0.902</f>
        <v>3201.4879388800005</v>
      </c>
      <c r="E8" s="33">
        <f>$C$28*'E Balans VL '!I13/100/3.6*1000000</f>
        <v>123.02704052089575</v>
      </c>
      <c r="F8" s="33">
        <f>$C$28*('E Balans VL '!L13+'E Balans VL '!N13)/100/3.6*1000000</f>
        <v>653.33152185124175</v>
      </c>
      <c r="G8" s="34"/>
      <c r="H8" s="33"/>
      <c r="I8" s="33"/>
      <c r="J8" s="33">
        <f>$C$28*('E Balans VL '!D13+'E Balans VL '!E13)/100/3.6*1000000</f>
        <v>0</v>
      </c>
      <c r="K8" s="33"/>
      <c r="L8" s="33"/>
      <c r="M8" s="33"/>
      <c r="N8" s="33">
        <f>$C$28*'E Balans VL '!Y13/100/3.6*1000000</f>
        <v>4.6986859056240879</v>
      </c>
      <c r="O8" s="33"/>
      <c r="P8" s="33"/>
      <c r="R8" s="32"/>
    </row>
    <row r="9" spans="1:18">
      <c r="A9" s="32" t="s">
        <v>50</v>
      </c>
      <c r="B9" s="37">
        <f t="shared" si="0"/>
        <v>383.839</v>
      </c>
      <c r="C9" s="33"/>
      <c r="D9" s="37">
        <f>IF(ISERROR(TER_gezond_gas_kWh/1000),0,TER_gezond_gas_kWh/1000)*0.902</f>
        <v>482.63494400000002</v>
      </c>
      <c r="E9" s="33">
        <f>$C$29*'E Balans VL '!I10/100/3.6*1000000</f>
        <v>2.4032111125471507E-2</v>
      </c>
      <c r="F9" s="33">
        <f>$C$29*('E Balans VL '!L10+'E Balans VL '!N10)/100/3.6*1000000</f>
        <v>57.020452128455943</v>
      </c>
      <c r="G9" s="34"/>
      <c r="H9" s="33"/>
      <c r="I9" s="33"/>
      <c r="J9" s="33">
        <f>$C$29*('E Balans VL '!D10+'E Balans VL '!E10)/100/3.6*1000000</f>
        <v>0</v>
      </c>
      <c r="K9" s="33"/>
      <c r="L9" s="33"/>
      <c r="M9" s="33"/>
      <c r="N9" s="33">
        <f>$C$29*'E Balans VL '!Y10/100/3.6*1000000</f>
        <v>5.9372586892975461</v>
      </c>
      <c r="O9" s="33"/>
      <c r="P9" s="33"/>
      <c r="R9" s="32"/>
    </row>
    <row r="10" spans="1:18">
      <c r="A10" s="32" t="s">
        <v>49</v>
      </c>
      <c r="B10" s="37">
        <f t="shared" si="0"/>
        <v>756.03225499999996</v>
      </c>
      <c r="C10" s="33"/>
      <c r="D10" s="37">
        <f>IF(ISERROR(TER_ander_gas_kWh/1000),0,TER_ander_gas_kWh/1000)*0.902</f>
        <v>1526.6396389859999</v>
      </c>
      <c r="E10" s="33">
        <f>$C$30*'E Balans VL '!I14/100/3.6*1000000</f>
        <v>0.90116343193211279</v>
      </c>
      <c r="F10" s="33">
        <f>$C$30*('E Balans VL '!L14+'E Balans VL '!N14)/100/3.6*1000000</f>
        <v>197.81164846217874</v>
      </c>
      <c r="G10" s="34"/>
      <c r="H10" s="33"/>
      <c r="I10" s="33"/>
      <c r="J10" s="33">
        <f>$C$30*('E Balans VL '!D14+'E Balans VL '!E14)/100/3.6*1000000</f>
        <v>1.6410496691440225E-2</v>
      </c>
      <c r="K10" s="33"/>
      <c r="L10" s="33"/>
      <c r="M10" s="33"/>
      <c r="N10" s="33">
        <f>$C$30*'E Balans VL '!Y14/100/3.6*1000000</f>
        <v>642.00409109712405</v>
      </c>
      <c r="O10" s="33"/>
      <c r="P10" s="33"/>
      <c r="R10" s="32"/>
    </row>
    <row r="11" spans="1:18">
      <c r="A11" s="32" t="s">
        <v>54</v>
      </c>
      <c r="B11" s="37">
        <f t="shared" si="0"/>
        <v>130.34817900000002</v>
      </c>
      <c r="C11" s="33"/>
      <c r="D11" s="37">
        <f>IF(ISERROR(TER_onderwijs_gas_kWh/1000),0,TER_onderwijs_gas_kWh/1000)*0.902</f>
        <v>966.4803720000001</v>
      </c>
      <c r="E11" s="33">
        <f>$C$31*'E Balans VL '!I11/100/3.6*1000000</f>
        <v>1.9667440754040479</v>
      </c>
      <c r="F11" s="33">
        <f>$C$31*('E Balans VL '!L11+'E Balans VL '!N11)/100/3.6*1000000</f>
        <v>22.839083334909461</v>
      </c>
      <c r="G11" s="34"/>
      <c r="H11" s="33"/>
      <c r="I11" s="33"/>
      <c r="J11" s="33">
        <f>$C$31*('E Balans VL '!D11+'E Balans VL '!E11)/100/3.6*1000000</f>
        <v>0</v>
      </c>
      <c r="K11" s="33"/>
      <c r="L11" s="33"/>
      <c r="M11" s="33"/>
      <c r="N11" s="33">
        <f>$C$31*'E Balans VL '!Y11/100/3.6*1000000</f>
        <v>0.3668096851519379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7682.5919020000001</v>
      </c>
      <c r="C16" s="21">
        <f t="shared" ca="1" si="1"/>
        <v>0</v>
      </c>
      <c r="D16" s="21">
        <f t="shared" ca="1" si="1"/>
        <v>10281.158930965999</v>
      </c>
      <c r="E16" s="21">
        <f t="shared" si="1"/>
        <v>135.88929635728655</v>
      </c>
      <c r="F16" s="21">
        <f t="shared" ca="1" si="1"/>
        <v>1368.4470022442156</v>
      </c>
      <c r="G16" s="21">
        <f t="shared" si="1"/>
        <v>0</v>
      </c>
      <c r="H16" s="21">
        <f t="shared" si="1"/>
        <v>0</v>
      </c>
      <c r="I16" s="21">
        <f t="shared" si="1"/>
        <v>0</v>
      </c>
      <c r="J16" s="21">
        <f t="shared" si="1"/>
        <v>1.6410496691440225E-2</v>
      </c>
      <c r="K16" s="21">
        <f t="shared" si="1"/>
        <v>0</v>
      </c>
      <c r="L16" s="21">
        <f t="shared" ca="1" si="1"/>
        <v>0</v>
      </c>
      <c r="M16" s="21">
        <f t="shared" si="1"/>
        <v>0</v>
      </c>
      <c r="N16" s="21">
        <f t="shared" ca="1" si="1"/>
        <v>655.43036503858968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0.18358956605962673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1410.4437135013825</v>
      </c>
      <c r="C20" s="23">
        <f t="shared" ref="C20:P20" ca="1" si="2">C16*C18</f>
        <v>0</v>
      </c>
      <c r="D20" s="23">
        <f t="shared" ca="1" si="2"/>
        <v>2076.7941040551318</v>
      </c>
      <c r="E20" s="23">
        <f t="shared" si="2"/>
        <v>30.846870273104049</v>
      </c>
      <c r="F20" s="23">
        <f t="shared" ca="1" si="2"/>
        <v>365.37534959920561</v>
      </c>
      <c r="G20" s="23">
        <f t="shared" si="2"/>
        <v>0</v>
      </c>
      <c r="H20" s="23">
        <f t="shared" si="2"/>
        <v>0</v>
      </c>
      <c r="I20" s="23">
        <f t="shared" si="2"/>
        <v>0</v>
      </c>
      <c r="J20" s="23">
        <f t="shared" si="2"/>
        <v>5.809315828769839E-3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2325.1414410000002</v>
      </c>
      <c r="C26" s="39">
        <f>IF(ISERROR(B26*3.6/1000000/'E Balans VL '!Z12*100),0,B26*3.6/1000000/'E Balans VL '!Z12*100)</f>
        <v>4.9149806741176916E-2</v>
      </c>
      <c r="D26" s="237" t="s">
        <v>744</v>
      </c>
      <c r="F26" s="6"/>
    </row>
    <row r="27" spans="1:18">
      <c r="A27" s="231" t="s">
        <v>52</v>
      </c>
      <c r="B27" s="33">
        <f>IF(ISERROR(TER_horeca_ele_kWh/1000),0,TER_horeca_ele_kWh/1000)</f>
        <v>695.24153699999999</v>
      </c>
      <c r="C27" s="39">
        <f>IF(ISERROR(B27*3.6/1000000/'E Balans VL '!Z9*100),0,B27*3.6/1000000/'E Balans VL '!Z9*100)</f>
        <v>5.4805631231960118E-2</v>
      </c>
      <c r="D27" s="237" t="s">
        <v>744</v>
      </c>
      <c r="F27" s="6"/>
    </row>
    <row r="28" spans="1:18">
      <c r="A28" s="171" t="s">
        <v>51</v>
      </c>
      <c r="B28" s="33">
        <f>IF(ISERROR(TER_handel_ele_kWh/1000),0,TER_handel_ele_kWh/1000)</f>
        <v>3391.9894900000004</v>
      </c>
      <c r="C28" s="39">
        <f>IF(ISERROR(B28*3.6/1000000/'E Balans VL '!Z13*100),0,B28*3.6/1000000/'E Balans VL '!Z13*100)</f>
        <v>9.8449240173087926E-2</v>
      </c>
      <c r="D28" s="237" t="s">
        <v>744</v>
      </c>
      <c r="F28" s="6"/>
    </row>
    <row r="29" spans="1:18">
      <c r="A29" s="231" t="s">
        <v>50</v>
      </c>
      <c r="B29" s="33">
        <f>IF(ISERROR(TER_gezond_ele_kWh/1000),0,TER_gezond_ele_kWh/1000)</f>
        <v>383.839</v>
      </c>
      <c r="C29" s="39">
        <f>IF(ISERROR(B29*3.6/1000000/'E Balans VL '!Z10*100),0,B29*3.6/1000000/'E Balans VL '!Z10*100)</f>
        <v>4.0424549502749631E-2</v>
      </c>
      <c r="D29" s="237" t="s">
        <v>744</v>
      </c>
      <c r="F29" s="6"/>
    </row>
    <row r="30" spans="1:18">
      <c r="A30" s="231" t="s">
        <v>49</v>
      </c>
      <c r="B30" s="33">
        <f>IF(ISERROR(TER_ander_ele_kWh/1000),0,TER_ander_ele_kWh/1000)</f>
        <v>756.03225499999996</v>
      </c>
      <c r="C30" s="39">
        <f>IF(ISERROR(B30*3.6/1000000/'E Balans VL '!Z14*100),0,B30*3.6/1000000/'E Balans VL '!Z14*100)</f>
        <v>5.5765103338188945E-2</v>
      </c>
      <c r="D30" s="237" t="s">
        <v>744</v>
      </c>
      <c r="F30" s="6"/>
    </row>
    <row r="31" spans="1:18">
      <c r="A31" s="231" t="s">
        <v>54</v>
      </c>
      <c r="B31" s="33">
        <f>IF(ISERROR(TER_onderwijs_ele_kWh/1000),0,TER_onderwijs_ele_kWh/1000)</f>
        <v>130.34817900000002</v>
      </c>
      <c r="C31" s="39">
        <f>IF(ISERROR(B31*3.6/1000000/'E Balans VL '!Z11*100),0,B31*3.6/1000000/'E Balans VL '!Z11*100)</f>
        <v>3.2371558713991527E-2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1902.711685</v>
      </c>
      <c r="C5" s="17">
        <f>IF(ISERROR('Eigen informatie GS &amp; warmtenet'!B59),0,'Eigen informatie GS &amp; warmtenet'!B59)</f>
        <v>0</v>
      </c>
      <c r="D5" s="30">
        <f>SUM(D6:D15)</f>
        <v>1845.4908725</v>
      </c>
      <c r="E5" s="17">
        <f>SUM(E6:E15)</f>
        <v>379.97274668021197</v>
      </c>
      <c r="F5" s="17">
        <f>SUM(F6:F15)</f>
        <v>1082.2593996894927</v>
      </c>
      <c r="G5" s="18"/>
      <c r="H5" s="17"/>
      <c r="I5" s="17"/>
      <c r="J5" s="17">
        <f>SUM(J6:J15)</f>
        <v>3.0821683231854264E-2</v>
      </c>
      <c r="K5" s="17"/>
      <c r="L5" s="17"/>
      <c r="M5" s="17"/>
      <c r="N5" s="17">
        <f>SUM(N6:N15)</f>
        <v>147.62462639841183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107.34077400000001</v>
      </c>
      <c r="C8" s="33"/>
      <c r="D8" s="37">
        <f>IF( ISERROR(IND_metaal_Gas_kWH/1000),0,IND_metaal_Gas_kWH/1000)*0.902</f>
        <v>95.749104000000003</v>
      </c>
      <c r="E8" s="33">
        <f>C30*'E Balans VL '!I18/100/3.6*1000000</f>
        <v>0.9868947462245593</v>
      </c>
      <c r="F8" s="33">
        <f>C30*'E Balans VL '!L18/100/3.6*1000000+C30*'E Balans VL '!N18/100/3.6*1000000</f>
        <v>10.064990865083583</v>
      </c>
      <c r="G8" s="34"/>
      <c r="H8" s="33"/>
      <c r="I8" s="33"/>
      <c r="J8" s="40">
        <f>C30*'E Balans VL '!D18/100/3.6*1000000+C30*'E Balans VL '!E18/100/3.6*1000000</f>
        <v>0</v>
      </c>
      <c r="K8" s="33"/>
      <c r="L8" s="33"/>
      <c r="M8" s="33"/>
      <c r="N8" s="33">
        <f>C30*'E Balans VL '!Y18/100/3.6*1000000</f>
        <v>1.5313935292090339</v>
      </c>
      <c r="O8" s="33"/>
      <c r="P8" s="33"/>
      <c r="R8" s="32"/>
    </row>
    <row r="9" spans="1:18">
      <c r="A9" s="6" t="s">
        <v>32</v>
      </c>
      <c r="B9" s="37">
        <f t="shared" si="0"/>
        <v>1291.42884</v>
      </c>
      <c r="C9" s="33"/>
      <c r="D9" s="37">
        <f>IF( ISERROR(IND_andere_gas_kWh/1000),0,IND_andere_gas_kWh/1000)*0.902</f>
        <v>1105.8427545</v>
      </c>
      <c r="E9" s="33">
        <f>C31*'E Balans VL '!I19/100/3.6*1000000</f>
        <v>377.50979108613279</v>
      </c>
      <c r="F9" s="33">
        <f>C31*'E Balans VL '!L19/100/3.6*1000000+C31*'E Balans VL '!N19/100/3.6*1000000</f>
        <v>1037.7608251211386</v>
      </c>
      <c r="G9" s="34"/>
      <c r="H9" s="33"/>
      <c r="I9" s="33"/>
      <c r="J9" s="40">
        <f>C31*'E Balans VL '!D19/100/3.6*1000000+C31*'E Balans VL '!E19/100/3.6*1000000</f>
        <v>0</v>
      </c>
      <c r="K9" s="33"/>
      <c r="L9" s="33"/>
      <c r="M9" s="33"/>
      <c r="N9" s="33">
        <f>C31*'E Balans VL '!Y19/100/3.6*1000000</f>
        <v>101.29792423115151</v>
      </c>
      <c r="O9" s="33"/>
      <c r="P9" s="33"/>
      <c r="R9" s="32"/>
    </row>
    <row r="10" spans="1:18">
      <c r="A10" s="6" t="s">
        <v>40</v>
      </c>
      <c r="B10" s="37">
        <f t="shared" si="0"/>
        <v>465.83907099999999</v>
      </c>
      <c r="C10" s="33"/>
      <c r="D10" s="37">
        <f>IF( ISERROR(IND_voed_gas_kWh/1000),0,IND_voed_gas_kWh/1000)*0.902</f>
        <v>493.37235200000003</v>
      </c>
      <c r="E10" s="33">
        <f>C32*'E Balans VL '!I20/100/3.6*1000000</f>
        <v>0.98548977762084322</v>
      </c>
      <c r="F10" s="33">
        <f>C32*'E Balans VL '!L20/100/3.6*1000000+C32*'E Balans VL '!N20/100/3.6*1000000</f>
        <v>29.618523974837217</v>
      </c>
      <c r="G10" s="34"/>
      <c r="H10" s="33"/>
      <c r="I10" s="33"/>
      <c r="J10" s="40">
        <f>C32*'E Balans VL '!D20/100/3.6*1000000+C32*'E Balans VL '!E20/100/3.6*1000000</f>
        <v>0</v>
      </c>
      <c r="K10" s="33"/>
      <c r="L10" s="33"/>
      <c r="M10" s="33"/>
      <c r="N10" s="33">
        <f>C32*'E Balans VL '!Y20/100/3.6*1000000</f>
        <v>32.147492911278704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38</v>
      </c>
      <c r="B13" s="37">
        <f t="shared" si="0"/>
        <v>24.75</v>
      </c>
      <c r="C13" s="33"/>
      <c r="D13" s="37">
        <f>IF( ISERROR(IND_papier_gas_kWh/1000),0,IND_papier_gas_kWh/1000)*0.902</f>
        <v>0</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10.112491149066708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2.6080000000000001</v>
      </c>
      <c r="C15" s="33"/>
      <c r="D15" s="37">
        <f>IF( ISERROR(IND_rest_gas_kWh/1000),0,IND_rest_gas_kWh/1000)*0.902</f>
        <v>60.715423999999999</v>
      </c>
      <c r="E15" s="33">
        <f>C37*'E Balans VL '!I15/100/3.6*1000000</f>
        <v>0.14400317481588265</v>
      </c>
      <c r="F15" s="33">
        <f>C37*'E Balans VL '!L15/100/3.6*1000000+C37*'E Balans VL '!N15/100/3.6*1000000</f>
        <v>0.5165667412269761</v>
      </c>
      <c r="G15" s="34"/>
      <c r="H15" s="33"/>
      <c r="I15" s="33"/>
      <c r="J15" s="40">
        <f>C37*'E Balans VL '!D15/100/3.6*1000000+C37*'E Balans VL '!E15/100/3.6*1000000</f>
        <v>9.3365904072427904E-3</v>
      </c>
      <c r="K15" s="33"/>
      <c r="L15" s="33"/>
      <c r="M15" s="33"/>
      <c r="N15" s="33">
        <f>C37*'E Balans VL '!Y15/100/3.6*1000000</f>
        <v>0.18306750199100474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1902.711685</v>
      </c>
      <c r="C18" s="21">
        <f>C5+C16</f>
        <v>0</v>
      </c>
      <c r="D18" s="21">
        <f>MAX((D5+D16),0)</f>
        <v>1845.4908725</v>
      </c>
      <c r="E18" s="21">
        <f>MAX((E5+E16),0)</f>
        <v>379.97274668021197</v>
      </c>
      <c r="F18" s="21">
        <f>MAX((F5+F16),0)</f>
        <v>1082.2593996894927</v>
      </c>
      <c r="G18" s="21"/>
      <c r="H18" s="21"/>
      <c r="I18" s="21"/>
      <c r="J18" s="21">
        <f>MAX((J5+J16),0)</f>
        <v>3.0821683231854264E-2</v>
      </c>
      <c r="K18" s="21"/>
      <c r="L18" s="21">
        <f>MAX((L5+L16),0)</f>
        <v>0</v>
      </c>
      <c r="M18" s="21"/>
      <c r="N18" s="21">
        <f>MAX((N5+N16),0)</f>
        <v>147.62462639841183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0.18358956605962673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349.3180125857312</v>
      </c>
      <c r="C22" s="23">
        <f ca="1">C18*C20</f>
        <v>0</v>
      </c>
      <c r="D22" s="23">
        <f>D18*D20</f>
        <v>372.78915624500002</v>
      </c>
      <c r="E22" s="23">
        <f>E18*E20</f>
        <v>86.253813496408114</v>
      </c>
      <c r="F22" s="23">
        <f>F18*F20</f>
        <v>288.96325971709456</v>
      </c>
      <c r="G22" s="23"/>
      <c r="H22" s="23"/>
      <c r="I22" s="23"/>
      <c r="J22" s="23">
        <f>J18*J20</f>
        <v>1.0910875864076408E-2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107.34077400000001</v>
      </c>
      <c r="C30" s="39">
        <f>IF(ISERROR(B30*3.6/1000000/'E Balans VL '!Z18*100),0,B30*3.6/1000000/'E Balans VL '!Z18*100)</f>
        <v>6.0832769023265471E-3</v>
      </c>
      <c r="D30" s="237" t="s">
        <v>744</v>
      </c>
    </row>
    <row r="31" spans="1:18">
      <c r="A31" s="6" t="s">
        <v>32</v>
      </c>
      <c r="B31" s="37">
        <f>IF( ISERROR(IND_ander_ele_kWh/1000),0,IND_ander_ele_kWh/1000)</f>
        <v>1291.42884</v>
      </c>
      <c r="C31" s="39">
        <f>IF(ISERROR(B31*3.6/1000000/'E Balans VL '!Z19*100),0,B31*3.6/1000000/'E Balans VL '!Z19*100)</f>
        <v>5.8573834766302527E-2</v>
      </c>
      <c r="D31" s="237" t="s">
        <v>744</v>
      </c>
    </row>
    <row r="32" spans="1:18">
      <c r="A32" s="171" t="s">
        <v>40</v>
      </c>
      <c r="B32" s="37">
        <f>IF( ISERROR(IND_voed_ele_kWh/1000),0,IND_voed_ele_kWh/1000)</f>
        <v>465.83907099999999</v>
      </c>
      <c r="C32" s="39">
        <f>IF(ISERROR(B32*3.6/1000000/'E Balans VL '!Z20*100),0,B32*3.6/1000000/'E Balans VL '!Z20*100)</f>
        <v>1.4410517196854E-2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10.744999999999999</v>
      </c>
      <c r="C34" s="39">
        <f>IF(ISERROR(B34*3.6/1000000/'E Balans VL '!Z22*100),0,B34*3.6/1000000/'E Balans VL '!Z22*100)</f>
        <v>1.9326902598609322E-3</v>
      </c>
      <c r="D34" s="237" t="s">
        <v>744</v>
      </c>
    </row>
    <row r="35" spans="1:5">
      <c r="A35" s="171" t="s">
        <v>38</v>
      </c>
      <c r="B35" s="37">
        <f>IF( ISERROR(IND_papier_ele_kWh/1000),0,IND_papier_ele_kWh/1000)</f>
        <v>24.75</v>
      </c>
      <c r="C35" s="39">
        <f>IF(ISERROR(B35*3.6/1000000/'E Balans VL '!Z22*100),0,B35*3.6/1000000/'E Balans VL '!Z22*100)</f>
        <v>4.4517528088932603E-3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2.6080000000000001</v>
      </c>
      <c r="C37" s="39">
        <f>IF(ISERROR(B37*3.6/1000000/'E Balans VL '!Z15*100),0,B37*3.6/1000000/'E Balans VL '!Z15*100)</f>
        <v>2.0671602928613932E-5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1699.4713689999999</v>
      </c>
      <c r="C5" s="17">
        <f>'Eigen informatie GS &amp; warmtenet'!B60</f>
        <v>0</v>
      </c>
      <c r="D5" s="30">
        <f>IF(ISERROR(SUM(LB_lb_gas_kWh,LB_rest_gas_kWh)/1000),0,SUM(LB_lb_gas_kWh,LB_rest_gas_kWh)/1000)*0.902</f>
        <v>179.46372399999998</v>
      </c>
      <c r="E5" s="17">
        <f>B17*'E Balans VL '!I25/3.6*1000000/100</f>
        <v>49.952654319599077</v>
      </c>
      <c r="F5" s="17">
        <f>B17*('E Balans VL '!L25/3.6*1000000+'E Balans VL '!N25/3.6*1000000)/100</f>
        <v>7079.9058886414032</v>
      </c>
      <c r="G5" s="18"/>
      <c r="H5" s="17"/>
      <c r="I5" s="17"/>
      <c r="J5" s="17">
        <f>('E Balans VL '!D25+'E Balans VL '!E25)/3.6*1000000*landbouw!B17/100</f>
        <v>246.21690480267864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1699.4713689999999</v>
      </c>
      <c r="C8" s="21">
        <f>C5+C6</f>
        <v>0</v>
      </c>
      <c r="D8" s="21">
        <f>MAX((D5+D6),0)</f>
        <v>179.46372399999998</v>
      </c>
      <c r="E8" s="21">
        <f>MAX((E5+E6),0)</f>
        <v>49.952654319599077</v>
      </c>
      <c r="F8" s="21">
        <f>MAX((F5+F6),0)</f>
        <v>7079.9058886414032</v>
      </c>
      <c r="G8" s="21"/>
      <c r="H8" s="21"/>
      <c r="I8" s="21"/>
      <c r="J8" s="21">
        <f>MAX((J5+J6),0)</f>
        <v>246.21690480267864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0.18358956605962673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312.00521116546975</v>
      </c>
      <c r="C12" s="23">
        <f ca="1">C8*C10</f>
        <v>0</v>
      </c>
      <c r="D12" s="23">
        <f>D8*D10</f>
        <v>36.251672247999998</v>
      </c>
      <c r="E12" s="23">
        <f>E8*E10</f>
        <v>11.339252530548992</v>
      </c>
      <c r="F12" s="23">
        <f>F8*F10</f>
        <v>1890.3348722672547</v>
      </c>
      <c r="G12" s="23"/>
      <c r="H12" s="23"/>
      <c r="I12" s="23"/>
      <c r="J12" s="23">
        <f>J8*J10</f>
        <v>87.160784300148237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0.24116031918991299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329.92208319761869</v>
      </c>
      <c r="C26" s="247">
        <f>B26*'GWP N2O_CH4'!B5</f>
        <v>6928.3637471499924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119.04726334613767</v>
      </c>
      <c r="C27" s="247">
        <f>B27*'GWP N2O_CH4'!B5</f>
        <v>2499.9925302688912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7">
        <f>B28*'GWP N2O_CH4'!B4</f>
        <v>1334.822674439723</v>
      </c>
      <c r="D28" s="50"/>
    </row>
    <row r="29" spans="1:4">
      <c r="A29" s="41" t="s">
        <v>276</v>
      </c>
      <c r="B29" s="247">
        <f>B34*'ha_N2O bodem landbouw'!B4</f>
        <v>16.138143713405597</v>
      </c>
      <c r="C29" s="247">
        <f>B29*'GWP N2O_CH4'!B4</f>
        <v>5002.8245511557352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3.6826687808817937E-3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1.8457149165497489E-4</v>
      </c>
      <c r="C5" s="437" t="s">
        <v>210</v>
      </c>
      <c r="D5" s="422">
        <f>SUM(D6:D11)</f>
        <v>4.7883479617023177E-4</v>
      </c>
      <c r="E5" s="422">
        <f>SUM(E6:E11)</f>
        <v>9.469739155598528E-4</v>
      </c>
      <c r="F5" s="435" t="s">
        <v>210</v>
      </c>
      <c r="G5" s="422">
        <f>SUM(G6:G11)</f>
        <v>0.44046309921999782</v>
      </c>
      <c r="H5" s="422">
        <f>SUM(H6:H11)</f>
        <v>8.3436828541657432E-2</v>
      </c>
      <c r="I5" s="437" t="s">
        <v>210</v>
      </c>
      <c r="J5" s="437" t="s">
        <v>210</v>
      </c>
      <c r="K5" s="437" t="s">
        <v>210</v>
      </c>
      <c r="L5" s="437" t="s">
        <v>210</v>
      </c>
      <c r="M5" s="422">
        <f>SUM(M6:M11)</f>
        <v>2.8190635188490097E-2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4.8566006908207298E-5</v>
      </c>
      <c r="C6" s="423"/>
      <c r="D6" s="865">
        <f>vkm_GW_PW*SUMIFS(TableVerdeelsleutelVkm[CNG],TableVerdeelsleutelVkm[Voertuigtype],"Lichte voertuigen")*SUMIFS(TableECFTransport[EnergieConsumptieFactor (PJ per km)],TableECFTransport[Index],CONCATENATE($A6,"_CNG_CNG"))</f>
        <v>1.2035842340631733E-4</v>
      </c>
      <c r="E6" s="865">
        <f>vkm_GW_PW*SUMIFS(TableVerdeelsleutelVkm[LPG],TableVerdeelsleutelVkm[Voertuigtype],"Lichte voertuigen")*SUMIFS(TableECFTransport[EnergieConsumptieFactor (PJ per km)],TableECFTransport[Index],CONCATENATE($A6,"_LPG_LPG"))</f>
        <v>2.0662535782745752E-4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6.331301024312512E-2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2.0449398924445857E-2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4.3011387146333381E-3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2.710145586320745E-2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4.5335805969667113E-7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1.5834176276867259E-3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1.2616535783336901E-5</v>
      </c>
      <c r="C8" s="423"/>
      <c r="D8" s="425">
        <f>vkm_NGW_PW*SUMIFS(TableVerdeelsleutelVkm[CNG],TableVerdeelsleutelVkm[Voertuigtype],"Lichte voertuigen")*SUMIFS(TableECFTransport[EnergieConsumptieFactor (PJ per km)],TableECFTransport[Index],CONCATENATE($A8,"_CNG_CNG"))</f>
        <v>5.2847770766253757E-5</v>
      </c>
      <c r="E8" s="425">
        <f>vkm_NGW_PW*SUMIFS(TableVerdeelsleutelVkm[LPG],TableVerdeelsleutelVkm[Voertuigtype],"Lichte voertuigen")*SUMIFS(TableECFTransport[EnergieConsumptieFactor (PJ per km)],TableECFTransport[Index],CONCATENATE($A8,"_LPG_LPG"))</f>
        <v>8.6158984483671733E-5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2.4833064224204504E-2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8.7815666685371972E-3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1.709420612643169E-3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5.7382847609604732E-3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1.1824850021092924E-7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3.352631330491389E-4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1.233889489634307E-4</v>
      </c>
      <c r="C10" s="423"/>
      <c r="D10" s="425">
        <f>vkm_SW_PW*SUMIFS(TableVerdeelsleutelVkm[CNG],TableVerdeelsleutelVkm[Voertuigtype],"Lichte voertuigen")*SUMIFS(TableECFTransport[EnergieConsumptieFactor (PJ per km)],TableECFTransport[Index],CONCATENATE($A10,"_CNG_CNG"))</f>
        <v>3.0562860199766066E-4</v>
      </c>
      <c r="E10" s="425">
        <f>vkm_SW_PW*SUMIFS(TableVerdeelsleutelVkm[LPG],TableVerdeelsleutelVkm[Voertuigtype],"Lichte voertuigen")*SUMIFS(TableECFTransport[EnergieConsumptieFactor (PJ per km)],TableECFTransport[Index],CONCATENATE($A10,"_LPG_LPG"))</f>
        <v>6.5418957324872356E-4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0.17933209430003152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5.420279398023313E-2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1.2073329957324122E-2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0.14014518982846871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2.4973618813393529E-6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8.1880651431536031E-3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51.269858793048584</v>
      </c>
      <c r="C14" s="21"/>
      <c r="D14" s="21">
        <f t="shared" ref="D14:M14" si="0">((D5)*10^9/3600)+D12</f>
        <v>133.00966560284215</v>
      </c>
      <c r="E14" s="21">
        <f t="shared" si="0"/>
        <v>263.04830987773693</v>
      </c>
      <c r="F14" s="21"/>
      <c r="G14" s="21">
        <f t="shared" si="0"/>
        <v>122350.86089444385</v>
      </c>
      <c r="H14" s="21">
        <f t="shared" si="0"/>
        <v>23176.896817127064</v>
      </c>
      <c r="I14" s="21"/>
      <c r="J14" s="21"/>
      <c r="K14" s="21"/>
      <c r="L14" s="21"/>
      <c r="M14" s="21">
        <f t="shared" si="0"/>
        <v>7830.7319968028041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0.18358956605962673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9.4126111277541273</v>
      </c>
      <c r="C18" s="23"/>
      <c r="D18" s="23">
        <f t="shared" ref="D18:M18" si="1">D14*D16</f>
        <v>26.867952451774116</v>
      </c>
      <c r="E18" s="23">
        <f t="shared" si="1"/>
        <v>59.711966342246285</v>
      </c>
      <c r="F18" s="23"/>
      <c r="G18" s="23">
        <f t="shared" si="1"/>
        <v>32667.679858816507</v>
      </c>
      <c r="H18" s="23">
        <f t="shared" si="1"/>
        <v>5771.0473074646388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3.4540680667069293E-3</v>
      </c>
      <c r="H50" s="319">
        <f t="shared" si="2"/>
        <v>0</v>
      </c>
      <c r="I50" s="319">
        <f t="shared" si="2"/>
        <v>0</v>
      </c>
      <c r="J50" s="319">
        <f t="shared" si="2"/>
        <v>0</v>
      </c>
      <c r="K50" s="319">
        <f t="shared" si="2"/>
        <v>0</v>
      </c>
      <c r="L50" s="319">
        <f t="shared" si="2"/>
        <v>0</v>
      </c>
      <c r="M50" s="319">
        <f t="shared" si="2"/>
        <v>1.961609989880054E-4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3.4540680667069293E-3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1.961609989880054E-4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959.46335186303588</v>
      </c>
      <c r="H54" s="21">
        <f t="shared" si="3"/>
        <v>0</v>
      </c>
      <c r="I54" s="21">
        <f t="shared" si="3"/>
        <v>0</v>
      </c>
      <c r="J54" s="21">
        <f t="shared" si="3"/>
        <v>0</v>
      </c>
      <c r="K54" s="21">
        <f t="shared" si="3"/>
        <v>0</v>
      </c>
      <c r="L54" s="21">
        <f t="shared" si="3"/>
        <v>0</v>
      </c>
      <c r="M54" s="21">
        <f t="shared" si="3"/>
        <v>54.489166385557056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0.18358956605962673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256.17671494743058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4816.90763467957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4816.90763467957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2020-06-20T15:44:45Z</dcterms:modified>
</cp:coreProperties>
</file>