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48" i="18"/>
  <c r="E8" i="18" s="1"/>
  <c r="G48" i="18"/>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8" i="18"/>
  <c r="H8" i="18" s="1"/>
  <c r="H10" i="18" s="1"/>
  <c r="B48" i="18"/>
  <c r="C8" i="18" s="1"/>
  <c r="C10" i="18" s="1"/>
  <c r="O9" i="18"/>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46" i="14"/>
  <c r="Q61" i="14" s="1"/>
  <c r="Q63" i="14"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I20" i="14"/>
  <c r="I22" i="14" s="1"/>
  <c r="I27" i="14" s="1"/>
  <c r="F10" i="14"/>
  <c r="E5" i="48"/>
  <c r="E23" i="48"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<sst xmlns="http://schemas.openxmlformats.org/spreadsheetml/2006/main" count="2398" uniqueCount="887">
  <si>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</si>
  <si>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</si>
  <si>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</si>
  <si>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</si>
  <si>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</si>
  <si>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</si>
  <si>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</si>
  <si>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</si>
  <si>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</si>
  <si>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</si>
  <si>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</si>
  <si>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</si>
  <si>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</si>
  <si>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</si>
  <si>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</si>
  <si>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</si>
  <si>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</si>
  <si>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</si>
  <si>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</si>
  <si>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</si>
  <si>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</si>
  <si>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</si>
  <si>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</si>
  <si>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</si>
  <si>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</si>
  <si>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</si>
  <si>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</si>
  <si>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</si>
  <si>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</si>
  <si>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</si>
  <si>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</si>
  <si>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</si>
  <si>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</si>
  <si>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</si>
  <si>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</si>
  <si>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</si>
  <si>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</si>
  <si>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</si>
  <si>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</si>
  <si>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</si>
  <si>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</si>
  <si>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</si>
  <si>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</si>
  <si>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</si>
  <si>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</si>
  <si>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</si>
  <si>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</si>
  <si>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</si>
  <si>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</si>
  <si>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</si>
  <si>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</si>
  <si>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</si>
  <si>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</si>
  <si>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</si>
  <si>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</si>
  <si>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</si>
  <si>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</si>
  <si>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</si>
  <si>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</si>
  <si>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</si>
  <si>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</si>
  <si>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</si>
  <si>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</si>
  <si>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</si>
  <si>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</si>
  <si>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</si>
  <si>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</si>
  <si>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</si>
  <si>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</si>
  <si>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</si>
  <si>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</si>
  <si>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</si>
  <si>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</si>
  <si>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</si>
  <si>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</si>
  <si>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</si>
  <si>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</si>
  <si>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</si>
  <si>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</si>
  <si>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</si>
  <si>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</si>
  <si>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</si>
  <si>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</si>
  <si>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</si>
  <si>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</si>
  <si>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</si>
  <si>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</si>
  <si>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</si>
  <si>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</si>
  <si>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</si>
  <si>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</si>
  <si>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</si>
  <si>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</si>
  <si>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</si>
  <si>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</si>
  <si>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</si>
  <si>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</si>
  <si>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</si>
  <si>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</si>
  <si>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</si>
  <si>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</si>
  <si>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</si>
  <si>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</si>
  <si>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</si>
  <si>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</si>
  <si>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</si>
  <si>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</si>
  <si>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</si>
  <si>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</si>
  <si>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</si>
  <si>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</si>
  <si>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</si>
  <si>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</si>
  <si>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</si>
  <si>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</si>
  <si>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</si>
  <si>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</si>
  <si>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</si>
  <si>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</si>
  <si>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</si>
  <si>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</si>
  <si>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</si>
  <si>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</si>
  <si>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</si>
  <si>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</si>
  <si>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</si>
  <si>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</si>
  <si>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</si>
  <si>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</si>
  <si>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</si>
  <si>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</si>
  <si>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</si>
  <si>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</si>
  <si>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</si>
  <si>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</si>
  <si>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</si>
  <si>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</si>
  <si>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</si>
  <si>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</si>
  <si>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</si>
  <si>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</si>
  <si>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</si>
  <si>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</si>
  <si>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</si>
  <si>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</si>
  <si>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</si>
  <si>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</si>
  <si>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</si>
  <si>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</si>
  <si>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</si>
  <si>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</si>
  <si>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</si>
  <si>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</si>
  <si>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</si>
  <si>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</si>
  <si>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</si>
  <si>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</si>
  <si>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</si>
  <si>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</si>
  <si>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</si>
  <si>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</si>
  <si>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</si>
  <si>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</si>
  <si>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</si>
  <si>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</si>
  <si>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</si>
  <si>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</si>
  <si>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</si>
  <si>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</si>
  <si>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</si>
  <si>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</si>
  <si>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</si>
  <si>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</si>
  <si>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</si>
  <si>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</si>
  <si>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</si>
  <si>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</si>
  <si>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</si>
  <si>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</si>
  <si>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</si>
  <si>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</si>
  <si>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</si>
  <si>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</si>
  <si>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</si>
  <si>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</si>
  <si>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</si>
  <si>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</si>
  <si>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</si>
  <si>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</si>
  <si>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</si>
  <si>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</si>
  <si>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</si>
  <si>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</si>
  <si>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</si>
  <si>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</si>
  <si>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</si>
  <si>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</si>
  <si>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</si>
  <si>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</si>
  <si>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</si>
  <si>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</si>
  <si>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</si>
  <si>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</si>
  <si>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</si>
  <si>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</si>
  <si>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</si>
  <si>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</si>
  <si>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</si>
  <si>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</si>
  <si>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</si>
  <si>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</si>
  <si>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</si>
  <si>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</si>
  <si>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</si>
  <si>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</si>
  <si>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</si>
  <si>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</si>
  <si>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</si>
  <si>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</si>
  <si>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</si>
  <si>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</si>
  <si>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</si>
  <si>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</si>
  <si>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</si>
  <si>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</si>
  <si>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</si>
  <si>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</si>
  <si>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</si>
  <si>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</si>
  <si>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</si>
  <si>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</si>
  <si>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</si>
  <si>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</si>
  <si>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</si>
  <si>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</si>
  <si>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</si>
  <si>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</si>
  <si>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</si>
  <si>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</si>
  <si>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</si>
  <si>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</si>
  <si>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</si>
  <si>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</si>
  <si>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</si>
  <si>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</si>
  <si>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</si>
  <si>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</si>
  <si>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</si>
  <si>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</si>
  <si>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</si>
  <si>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</si>
  <si>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</si>
  <si>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</si>
  <si>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</si>
  <si>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</si>
  <si>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</si>
  <si>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</si>
  <si>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</si>
  <si>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</si>
  <si>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</si>
  <si>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</si>
  <si>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</si>
  <si>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</si>
  <si>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</si>
  <si>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</si>
  <si>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</si>
  <si>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</si>
  <si>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</si>
  <si>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</si>
  <si>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</si>
  <si>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</si>
  <si>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</si>
  <si>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</si>
  <si>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</si>
  <si>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</si>
  <si>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</si>
  <si>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</si>
  <si>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</si>
  <si>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</si>
  <si>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</si>
  <si>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</si>
  <si>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</si>
  <si>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</si>
  <si>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</si>
  <si>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</si>
  <si>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</si>
  <si>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</si>
  <si>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</si>
  <si>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</si>
  <si>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</si>
  <si>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</si>
  <si>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</si>
  <si>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</si>
  <si>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</si>
  <si>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</si>
  <si>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</si>
  <si>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</si>
  <si>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</si>
  <si>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</si>
  <si>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</si>
  <si>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</si>
  <si>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</si>
  <si>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</si>
  <si>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</si>
  <si>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</si>
  <si>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</si>
  <si>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</si>
  <si>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</si>
  <si>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</si>
  <si>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</si>
  <si>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</si>
  <si>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</si>
  <si>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</si>
  <si>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</si>
  <si>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</si>
  <si>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</si>
  <si>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</si>
  <si>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</si>
  <si>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</si>
  <si>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</si>
  <si>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</si>
  <si>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</si>
  <si>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</si>
  <si>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</si>
  <si>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</si>
  <si>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</si>
  <si>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</si>
  <si>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</si>
  <si>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</si>
  <si>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</si>
  <si>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</si>
  <si>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</si>
  <si>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</si>
  <si>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</si>
  <si>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</si>
  <si>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</si>
  <si>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</si>
  <si>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</si>
  <si>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</si>
  <si>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</si>
  <si>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</si>
  <si>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</si>
  <si>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</si>
  <si>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</si>
  <si>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</si>
  <si>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</si>
  <si>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</si>
  <si>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</si>
  <si>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</si>
  <si>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</si>
  <si>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</si>
  <si>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</si>
  <si>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</si>
  <si>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</si>
  <si>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</si>
  <si>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</si>
  <si>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</si>
  <si>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</si>
  <si>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</si>
  <si>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</si>
  <si>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</si>
  <si>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</si>
  <si>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</si>
  <si>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</si>
  <si>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</si>
  <si>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</si>
  <si>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</si>
  <si>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</si>
  <si>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</si>
  <si>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</si>
  <si>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</si>
  <si>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</si>
  <si>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</si>
  <si>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</si>
  <si>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</si>
  <si>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</si>
  <si>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</si>
  <si>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</si>
  <si>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</si>
  <si>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</si>
  <si>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</si>
  <si>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</si>
  <si>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</si>
  <si>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</si>
  <si>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</si>
  <si>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</si>
  <si>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</si>
  <si>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</si>
  <si>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</si>
  <si>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</si>
  <si>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</si>
  <si>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</si>
  <si>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</si>
  <si>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</si>
  <si>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</si>
  <si>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</si>
  <si>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</si>
  <si>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</si>
  <si>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</si>
  <si>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</si>
  <si>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</si>
  <si>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</si>
  <si>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</si>
  <si>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</si>
  <si>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</si>
  <si>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</si>
  <si>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</si>
  <si>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</si>
  <si>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</si>
  <si>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</si>
  <si>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</si>
  <si>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</si>
  <si>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</si>
  <si>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</si>
  <si>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</si>
  <si>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</si>
  <si>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</si>
  <si>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</si>
  <si>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</si>
  <si>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</si>
  <si>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</si>
  <si>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</si>
  <si>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</si>
  <si>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</si>
  <si>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</si>
  <si>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</si>
  <si>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</si>
  <si>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</si>
  <si>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</si>
  <si>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</si>
  <si>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</si>
  <si>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</si>
  <si>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</si>
  <si>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</si>
  <si>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</si>
  <si>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</si>
  <si>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</si>
  <si>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</si>
  <si>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</si>
  <si>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</si>
  <si>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</si>
  <si>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</si>
  <si>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</si>
  <si>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</si>
  <si>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</si>
  <si>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</si>
  <si>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</si>
  <si>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</si>
  <si>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</si>
  <si>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</si>
  <si>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</si>
  <si>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</si>
  <si>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</si>
  <si>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</si>
  <si>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</si>
  <si>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</si>
  <si>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</si>
  <si>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</si>
  <si>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</si>
  <si>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</si>
  <si>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</si>
  <si>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</si>
  <si>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</si>
  <si>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</si>
  <si>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</si>
  <si>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</si>
  <si>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</si>
  <si>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</si>
  <si>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</si>
  <si>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</si>
  <si>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</si>
  <si>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</si>
  <si>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</si>
  <si>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</si>
  <si>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</si>
  <si>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</si>
  <si>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</si>
  <si>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</si>
  <si>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</si>
  <si>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</si>
  <si>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</si>
  <si>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</si>
  <si>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</si>
  <si>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</si>
  <si>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</si>
  <si>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</si>
  <si>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</si>
  <si>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</si>
  <si>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</si>
  <si>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</si>
  <si>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</si>
  <si>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</si>
  <si>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</si>
  <si>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</si>
  <si>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</si>
  <si>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</si>
  <si>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</si>
  <si>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</si>
  <si>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</si>
  <si>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</si>
  <si>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</si>
  <si>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</si>
  <si>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</si>
  <si>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</si>
  <si>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</si>
  <si>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</si>
  <si>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</si>
  <si>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</si>
  <si>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</si>
  <si>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</si>
  <si>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</si>
  <si>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</si>
  <si>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</si>
  <si>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</si>
  <si>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</si>
  <si>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</si>
  <si>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</si>
  <si>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</si>
  <si>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</si>
  <si>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</si>
  <si>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</si>
  <si>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</si>
  <si>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</si>
  <si>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</si>
  <si>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</si>
  <si>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</si>
  <si>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</si>
  <si>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</si>
  <si>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</si>
  <si>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</si>
  <si>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</si>
  <si>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</si>
  <si>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</si>
  <si>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</si>
  <si>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</si>
  <si>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</si>
  <si>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</si>
  <si>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</si>
  <si>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</si>
  <si>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</si>
  <si>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</si>
  <si>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</si>
  <si>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</si>
  <si>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</si>
  <si>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</si>
  <si>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</si>
  <si>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</si>
  <si>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</si>
  <si>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</si>
  <si>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</si>
  <si>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</si>
  <si>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</si>
  <si>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</si>
  <si>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</si>
  <si>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</si>
  <si>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</si>
  <si>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</si>
  <si>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</si>
  <si>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</si>
  <si>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</si>
  <si>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</si>
  <si>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</si>
  <si>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</si>
  <si>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</si>
  <si>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</si>
  <si>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</si>
  <si>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</si>
  <si>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</si>
  <si>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</si>
  <si>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</si>
  <si>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</si>
  <si>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</si>
  <si>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</si>
  <si>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</si>
  <si>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</si>
  <si>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</si>
  <si>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</si>
  <si>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</si>
  <si>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</si>
  <si>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</si>
  <si>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</si>
  <si>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</si>
  <si>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</si>
  <si>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</si>
  <si>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</si>
  <si>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</si>
  <si>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</si>
  <si>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</si>
  <si>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</si>
  <si>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</si>
  <si>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</si>
  <si>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</si>
  <si>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</si>
  <si>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</si>
  <si>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</si>
  <si>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</si>
  <si>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</si>
  <si>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</si>
  <si>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</si>
  <si>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</si>
  <si>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</si>
  <si>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</si>
  <si>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</si>
  <si>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</si>
  <si>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</si>
  <si>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</si>
  <si>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</si>
  <si>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</si>
  <si>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</si>
  <si>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</si>
  <si>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</si>
  <si>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</si>
  <si>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</si>
  <si>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</si>
  <si>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</si>
  <si>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</si>
  <si>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</si>
  <si>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</si>
  <si>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</si>
  <si>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</si>
  <si>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</si>
  <si>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</si>
  <si>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</si>
  <si>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</si>
  <si>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</si>
  <si>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</si>
  <si>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</si>
  <si>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</si>
  <si>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</si>
  <si>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</si>
  <si>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</si>
  <si>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</si>
  <si>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</si>
  <si>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</si>
  <si>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</si>
  <si>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</si>
  <si>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</si>
  <si>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</si>
  <si>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</si>
  <si>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</si>
  <si>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</si>
  <si>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</si>
  <si>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</si>
  <si>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</si>
  <si>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</si>
  <si>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</si>
  <si>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</si>
  <si>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</si>
  <si>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</si>
  <si>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</si>
  <si>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</si>
  <si>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</si>
  <si>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</si>
  <si>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</si>
  <si>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</si>
  <si>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</si>
  <si>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</si>
  <si>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</si>
  <si>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</si>
  <si>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</si>
  <si>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</si>
  <si>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</si>
  <si>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</si>
  <si>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</si>
  <si>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</si>
  <si>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</si>
  <si>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</si>
  <si>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</si>
  <si>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</si>
  <si>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</si>
  <si>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</si>
  <si>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</si>
  <si>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</si>
  <si>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</si>
  <si>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</si>
  <si>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</si>
  <si>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</si>
  <si>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</si>
  <si>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</si>
  <si>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</si>
  <si>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</si>
  <si>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</si>
  <si>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</si>
  <si>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</si>
  <si>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</si>
  <si>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</si>
  <si>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</si>
  <si>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</si>
  <si>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</si>
  <si>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</si>
  <si>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</si>
  <si>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</si>
  <si>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</si>
  <si>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</si>
  <si>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</si>
  <si>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</si>
  <si>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</si>
  <si>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</si>
  <si>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</si>
  <si>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</si>
  <si>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</si>
  <si>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</si>
  <si>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</si>
  <si>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</si>
  <si>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</si>
  <si>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</si>
  <si>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</si>
  <si>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</si>
  <si>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</si>
  <si>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</si>
  <si>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</si>
  <si>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</si>
  <si>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</si>
  <si>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</si>
  <si>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</si>
  <si>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</si>
  <si>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</si>
  <si>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</si>
  <si>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</si>
  <si>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</si>
  <si>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</si>
  <si>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</si>
  <si>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</si>
  <si>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</si>
  <si>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</si>
  <si>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</si>
  <si>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</si>
  <si>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</si>
  <si>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</si>
  <si>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</si>
  <si>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</si>
  <si>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</si>
  <si>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</si>
  <si>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</si>
  <si>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</si>
  <si>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</si>
  <si>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</si>
  <si>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</si>
  <si>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</si>
  <si>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</si>
  <si>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</si>
  <si>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</si>
  <si>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</si>
  <si>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</si>
  <si>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</si>
  <si>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</si>
  <si>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</si>
  <si>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</si>
  <si>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</si>
  <si>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</si>
  <si>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</si>
  <si>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</si>
  <si>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</si>
  <si>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</si>
  <si>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</si>
  <si>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</si>
  <si>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</si>
  <si>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</si>
  <si>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</si>
  <si>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</si>
  <si>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</si>
  <si>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</si>
  <si>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</si>
  <si>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</si>
  <si>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</si>
  <si>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</si>
  <si>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</si>
  <si>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</si>
  <si>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</si>
  <si>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</si>
  <si>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</si>
  <si>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</si>
  <si>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</si>
  <si>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</si>
  <si>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</si>
  <si>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</si>
  <si>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</si>
  <si>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</si>
  <si>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</si>
  <si>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</si>
  <si>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</si>
  <si>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</si>
  <si>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</si>
  <si>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</si>
  <si>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</si>
  <si>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</si>
  <si>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</si>
  <si>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</si>
  <si>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</si>
  <si>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</si>
  <si>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</si>
  <si>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</si>
  <si>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</si>
  <si>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</si>
  <si>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</si>
  <si>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</si>
  <si>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</si>
  <si>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</si>
  <si>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</si>
  <si>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</si>
  <si>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</si>
  <si>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</si>
  <si>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</si>
  <si>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</si>
  <si>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</si>
  <si>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</si>
  <si>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</si>
  <si>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</si>
  <si>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</si>
  <si>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</si>
  <si>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</si>
  <si>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</si>
  <si>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</si>
  <si>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</si>
  <si>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</si>
  <si>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</si>
  <si>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</si>
  <si>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</si>
  <si>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</si>
  <si>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</si>
  <si>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</si>
  <si>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</si>
  <si>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</si>
  <si>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</si>
  <si>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</si>
  <si>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</si>
  <si>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</si>
  <si>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</si>
  <si>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</si>
  <si>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</si>
  <si>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</si>
  <si>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</si>
  <si>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</si>
  <si>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</si>
  <si>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</si>
  <si>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</si>
  <si>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</si>
  <si>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</si>
  <si>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</si>
  <si>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</si>
  <si>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</si>
  <si>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</si>
  <si>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</si>
  <si>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</si>
  <si>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</si>
  <si>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</si>
  <si>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</si>
  <si>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</si>
  <si>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</si>
  <si>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</si>
  <si>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</si>
  <si>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</si>
  <si>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</si>
  <si>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</si>
  <si>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</si>
  <si>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</si>
  <si>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</si>
  <si>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</si>
  <si>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</si>
  <si>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</si>
  <si>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</si>
  <si>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</si>
  <si>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</si>
  <si>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</si>
  <si>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</si>
  <si>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</si>
  <si>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</si>
  <si>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</si>
  <si>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</si>
  <si>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</si>
  <si>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</si>
  <si>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</si>
  <si>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</si>
  <si>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</si>
  <si>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</si>
  <si>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</si>
  <si>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</si>
  <si>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</si>
  <si>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</si>
  <si>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</si>
  <si>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</si>
  <si>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</si>
  <si>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</si>
  <si>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35011</t>
  </si>
  <si>
    <t>MIDDELKERKE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</si>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</sst>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131209.31746486152</c:v>
                </c:pt>
                <c:pt idx="1">
                  <c:v>79835.908687401155</c:v>
                </c:pt>
                <c:pt idx="2">
                  <c:v>1988.1369999999999</c:v>
                </c:pt>
                <c:pt idx="3">
                  <c:v>15109.337852685705</c:v>
                </c:pt>
                <c:pt idx="4">
                  <c:v>8367.6905214868839</c:v>
                </c:pt>
                <c:pt idx="5">
                  <c:v>192422.44322579508</c:v>
                </c:pt>
                <c:pt idx="6">
                  <c:v>3239.5967169047872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131209.31746486152</c:v>
                </c:pt>
                <c:pt idx="1">
                  <c:v>79835.908687401155</c:v>
                </c:pt>
                <c:pt idx="2">
                  <c:v>1988.1369999999999</c:v>
                </c:pt>
                <c:pt idx="3">
                  <c:v>15109.337852685705</c:v>
                </c:pt>
                <c:pt idx="4">
                  <c:v>8367.6905214868839</c:v>
                </c:pt>
                <c:pt idx="5">
                  <c:v>192422.44322579508</c:v>
                </c:pt>
                <c:pt idx="6">
                  <c:v>3239.5967169047872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25581.257614119808</c:v>
                </c:pt>
                <c:pt idx="2">
                  <c:v>15571.647720574081</c:v>
                </c:pt>
                <c:pt idx="3">
                  <c:v>395.55395921415277</c:v>
                </c:pt>
                <c:pt idx="4">
                  <c:v>3860.299553822711</c:v>
                </c:pt>
                <c:pt idx="5">
                  <c:v>1745.0041182803225</c:v>
                </c:pt>
                <c:pt idx="6">
                  <c:v>48258.466479969888</c:v>
                </c:pt>
                <c:pt idx="7">
                  <c:v>728.55311825274407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25581.257614119808</c:v>
                </c:pt>
                <c:pt idx="2">
                  <c:v>15571.647720574081</c:v>
                </c:pt>
                <c:pt idx="3">
                  <c:v>395.55395921415277</c:v>
                </c:pt>
                <c:pt idx="4">
                  <c:v>3860.299553822711</c:v>
                </c:pt>
                <c:pt idx="5">
                  <c:v>1745.0041182803225</c:v>
                </c:pt>
                <c:pt idx="6">
                  <c:v>48258.466479969888</c:v>
                </c:pt>
                <c:pt idx="7">
                  <c:v>728.55311825274407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35011</v>
      </c>
      <c r="B6" s="390"/>
      <c r="C6" s="391"/>
    </row>
    <row r="7" spans="1:7" s="388" customFormat="1" ht="15.75" customHeight="1">
      <c r="A7" s="392" t="str">
        <f>txtMunicipality</f>
        <v>MIDDELKERKE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0.19895709360781111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0.19895709360781111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9838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5774.27</v>
      </c>
      <c r="C14" s="330"/>
      <c r="D14" s="330"/>
      <c r="E14" s="330"/>
      <c r="F14" s="330"/>
    </row>
    <row r="15" spans="1:6">
      <c r="A15" s="1293" t="s">
        <v>183</v>
      </c>
      <c r="B15" s="1294">
        <v>51</v>
      </c>
      <c r="C15" s="330"/>
      <c r="D15" s="330"/>
      <c r="E15" s="330"/>
      <c r="F15" s="330"/>
    </row>
    <row r="16" spans="1:6">
      <c r="A16" s="1293" t="s">
        <v>6</v>
      </c>
      <c r="B16" s="1294">
        <v>1756</v>
      </c>
      <c r="C16" s="330"/>
      <c r="D16" s="330"/>
      <c r="E16" s="330"/>
      <c r="F16" s="330"/>
    </row>
    <row r="17" spans="1:6">
      <c r="A17" s="1293" t="s">
        <v>7</v>
      </c>
      <c r="B17" s="1294">
        <v>1808</v>
      </c>
      <c r="C17" s="330"/>
      <c r="D17" s="330"/>
      <c r="E17" s="330"/>
      <c r="F17" s="330"/>
    </row>
    <row r="18" spans="1:6">
      <c r="A18" s="1293" t="s">
        <v>8</v>
      </c>
      <c r="B18" s="1294">
        <v>2314</v>
      </c>
      <c r="C18" s="330"/>
      <c r="D18" s="330"/>
      <c r="E18" s="330"/>
      <c r="F18" s="330"/>
    </row>
    <row r="19" spans="1:6">
      <c r="A19" s="1293" t="s">
        <v>9</v>
      </c>
      <c r="B19" s="1294">
        <v>2021</v>
      </c>
      <c r="C19" s="330"/>
      <c r="D19" s="330"/>
      <c r="E19" s="330"/>
      <c r="F19" s="330"/>
    </row>
    <row r="20" spans="1:6">
      <c r="A20" s="1293" t="s">
        <v>10</v>
      </c>
      <c r="B20" s="1294">
        <v>1338</v>
      </c>
      <c r="C20" s="330"/>
      <c r="D20" s="330"/>
      <c r="E20" s="330"/>
      <c r="F20" s="330"/>
    </row>
    <row r="21" spans="1:6">
      <c r="A21" s="1293" t="s">
        <v>11</v>
      </c>
      <c r="B21" s="1294">
        <v>15132</v>
      </c>
      <c r="C21" s="330"/>
      <c r="D21" s="330"/>
      <c r="E21" s="330"/>
      <c r="F21" s="330"/>
    </row>
    <row r="22" spans="1:6">
      <c r="A22" s="1293" t="s">
        <v>12</v>
      </c>
      <c r="B22" s="1294">
        <v>26674</v>
      </c>
      <c r="C22" s="330"/>
      <c r="D22" s="330"/>
      <c r="E22" s="330"/>
      <c r="F22" s="330"/>
    </row>
    <row r="23" spans="1:6">
      <c r="A23" s="1293" t="s">
        <v>13</v>
      </c>
      <c r="B23" s="1294">
        <v>501</v>
      </c>
      <c r="C23" s="330"/>
      <c r="D23" s="330"/>
      <c r="E23" s="330"/>
      <c r="F23" s="330"/>
    </row>
    <row r="24" spans="1:6">
      <c r="A24" s="1293" t="s">
        <v>14</v>
      </c>
      <c r="B24" s="1294">
        <v>197</v>
      </c>
      <c r="C24" s="330"/>
      <c r="D24" s="330"/>
      <c r="E24" s="330"/>
      <c r="F24" s="330"/>
    </row>
    <row r="25" spans="1:6">
      <c r="A25" s="1293" t="s">
        <v>15</v>
      </c>
      <c r="B25" s="1294">
        <v>3567</v>
      </c>
      <c r="C25" s="330"/>
      <c r="D25" s="330"/>
      <c r="E25" s="330"/>
      <c r="F25" s="330"/>
    </row>
    <row r="26" spans="1:6">
      <c r="A26" s="1293" t="s">
        <v>16</v>
      </c>
      <c r="B26" s="1294">
        <v>328</v>
      </c>
      <c r="C26" s="330"/>
      <c r="D26" s="330"/>
      <c r="E26" s="330"/>
      <c r="F26" s="330"/>
    </row>
    <row r="27" spans="1:6">
      <c r="A27" s="1293" t="s">
        <v>17</v>
      </c>
      <c r="B27" s="1294">
        <v>716</v>
      </c>
      <c r="C27" s="330"/>
      <c r="D27" s="330"/>
      <c r="E27" s="330"/>
      <c r="F27" s="330"/>
    </row>
    <row r="28" spans="1:6" s="43" customFormat="1">
      <c r="A28" s="1295" t="s">
        <v>18</v>
      </c>
      <c r="B28" s="1296">
        <v>58891</v>
      </c>
      <c r="C28" s="336"/>
      <c r="D28" s="336"/>
      <c r="E28" s="336"/>
      <c r="F28" s="336"/>
    </row>
    <row r="29" spans="1:6">
      <c r="A29" s="1295" t="s">
        <v>734</v>
      </c>
      <c r="B29" s="1296">
        <v>264</v>
      </c>
      <c r="C29" s="336"/>
      <c r="D29" s="336"/>
      <c r="E29" s="336"/>
      <c r="F29" s="336"/>
    </row>
    <row r="30" spans="1:6">
      <c r="A30" s="1288" t="s">
        <v>735</v>
      </c>
      <c r="B30" s="1297">
        <v>64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24</v>
      </c>
      <c r="F36" s="1294">
        <v>613690</v>
      </c>
    </row>
    <row r="37" spans="1:6">
      <c r="A37" s="1293" t="s">
        <v>24</v>
      </c>
      <c r="B37" s="1293" t="s">
        <v>27</v>
      </c>
      <c r="C37" s="1294">
        <v>0</v>
      </c>
      <c r="D37" s="1294">
        <v>0</v>
      </c>
      <c r="E37" s="1294">
        <v>0</v>
      </c>
      <c r="F37" s="1294">
        <v>0</v>
      </c>
    </row>
    <row r="38" spans="1:6">
      <c r="A38" s="1293" t="s">
        <v>24</v>
      </c>
      <c r="B38" s="1293" t="s">
        <v>28</v>
      </c>
      <c r="C38" s="1294">
        <v>1</v>
      </c>
      <c r="D38" s="1294">
        <v>73279</v>
      </c>
      <c r="E38" s="1294">
        <v>1</v>
      </c>
      <c r="F38" s="1294">
        <v>4960</v>
      </c>
    </row>
    <row r="39" spans="1:6">
      <c r="A39" s="1293" t="s">
        <v>29</v>
      </c>
      <c r="B39" s="1293" t="s">
        <v>30</v>
      </c>
      <c r="C39" s="1294">
        <v>8707</v>
      </c>
      <c r="D39" s="1294">
        <v>81052696.999999896</v>
      </c>
      <c r="E39" s="1294">
        <v>22583</v>
      </c>
      <c r="F39" s="1294">
        <v>47286120</v>
      </c>
    </row>
    <row r="40" spans="1:6">
      <c r="A40" s="1293" t="s">
        <v>29</v>
      </c>
      <c r="B40" s="1293" t="s">
        <v>28</v>
      </c>
      <c r="C40" s="1294">
        <v>1</v>
      </c>
      <c r="D40" s="1294">
        <v>1256.95</v>
      </c>
      <c r="E40" s="1294">
        <v>1</v>
      </c>
      <c r="F40" s="1294">
        <v>526.75</v>
      </c>
    </row>
    <row r="41" spans="1:6">
      <c r="A41" s="1293" t="s">
        <v>31</v>
      </c>
      <c r="B41" s="1293" t="s">
        <v>32</v>
      </c>
      <c r="C41" s="1294">
        <v>133</v>
      </c>
      <c r="D41" s="1294">
        <v>1960421.9140000001</v>
      </c>
      <c r="E41" s="1294">
        <v>385</v>
      </c>
      <c r="F41" s="1294">
        <v>1675748.547</v>
      </c>
    </row>
    <row r="42" spans="1:6">
      <c r="A42" s="1293" t="s">
        <v>31</v>
      </c>
      <c r="B42" s="1293" t="s">
        <v>33</v>
      </c>
      <c r="C42" s="1294">
        <v>0</v>
      </c>
      <c r="D42" s="1294">
        <v>0</v>
      </c>
      <c r="E42" s="1294">
        <v>4</v>
      </c>
      <c r="F42" s="1294">
        <v>112362</v>
      </c>
    </row>
    <row r="43" spans="1:6">
      <c r="A43" s="1293" t="s">
        <v>31</v>
      </c>
      <c r="B43" s="1293" t="s">
        <v>34</v>
      </c>
      <c r="C43" s="1294">
        <v>0</v>
      </c>
      <c r="D43" s="1294">
        <v>0</v>
      </c>
      <c r="E43" s="1294">
        <v>0</v>
      </c>
      <c r="F43" s="1294">
        <v>0</v>
      </c>
    </row>
    <row r="44" spans="1:6">
      <c r="A44" s="1293" t="s">
        <v>31</v>
      </c>
      <c r="B44" s="1293" t="s">
        <v>35</v>
      </c>
      <c r="C44" s="1294">
        <v>6</v>
      </c>
      <c r="D44" s="1294">
        <v>151151</v>
      </c>
      <c r="E44" s="1294">
        <v>32</v>
      </c>
      <c r="F44" s="1294">
        <v>254570.2</v>
      </c>
    </row>
    <row r="45" spans="1:6">
      <c r="A45" s="1293" t="s">
        <v>31</v>
      </c>
      <c r="B45" s="1293" t="s">
        <v>36</v>
      </c>
      <c r="C45" s="1294">
        <v>3</v>
      </c>
      <c r="D45" s="1294">
        <v>72238</v>
      </c>
      <c r="E45" s="1294">
        <v>4</v>
      </c>
      <c r="F45" s="1294">
        <v>27218</v>
      </c>
    </row>
    <row r="46" spans="1:6">
      <c r="A46" s="1293" t="s">
        <v>31</v>
      </c>
      <c r="B46" s="1293" t="s">
        <v>37</v>
      </c>
      <c r="C46" s="1294">
        <v>0</v>
      </c>
      <c r="D46" s="1294">
        <v>0</v>
      </c>
      <c r="E46" s="1294">
        <v>0</v>
      </c>
      <c r="F46" s="1294">
        <v>0</v>
      </c>
    </row>
    <row r="47" spans="1:6">
      <c r="A47" s="1293" t="s">
        <v>31</v>
      </c>
      <c r="B47" s="1293" t="s">
        <v>38</v>
      </c>
      <c r="C47" s="1294">
        <v>0</v>
      </c>
      <c r="D47" s="1294">
        <v>0</v>
      </c>
      <c r="E47" s="1294">
        <v>6</v>
      </c>
      <c r="F47" s="1294">
        <v>39981</v>
      </c>
    </row>
    <row r="48" spans="1:6">
      <c r="A48" s="1293" t="s">
        <v>31</v>
      </c>
      <c r="B48" s="1293" t="s">
        <v>28</v>
      </c>
      <c r="C48" s="1294">
        <v>3</v>
      </c>
      <c r="D48" s="1294">
        <v>392364.3</v>
      </c>
      <c r="E48" s="1294">
        <v>3</v>
      </c>
      <c r="F48" s="1294">
        <v>52285</v>
      </c>
    </row>
    <row r="49" spans="1:6">
      <c r="A49" s="1293" t="s">
        <v>31</v>
      </c>
      <c r="B49" s="1293" t="s">
        <v>39</v>
      </c>
      <c r="C49" s="1294">
        <v>0</v>
      </c>
      <c r="D49" s="1294">
        <v>0</v>
      </c>
      <c r="E49" s="1294">
        <v>0</v>
      </c>
      <c r="F49" s="1294">
        <v>0</v>
      </c>
    </row>
    <row r="50" spans="1:6">
      <c r="A50" s="1293" t="s">
        <v>31</v>
      </c>
      <c r="B50" s="1293" t="s">
        <v>40</v>
      </c>
      <c r="C50" s="1294">
        <v>18</v>
      </c>
      <c r="D50" s="1294">
        <v>1183087</v>
      </c>
      <c r="E50" s="1294">
        <v>27</v>
      </c>
      <c r="F50" s="1294">
        <v>671827</v>
      </c>
    </row>
    <row r="51" spans="1:6">
      <c r="A51" s="1293" t="s">
        <v>41</v>
      </c>
      <c r="B51" s="1293" t="s">
        <v>42</v>
      </c>
      <c r="C51" s="1294">
        <v>14</v>
      </c>
      <c r="D51" s="1294">
        <v>279459</v>
      </c>
      <c r="E51" s="1294">
        <v>181</v>
      </c>
      <c r="F51" s="1294">
        <v>2782146.18</v>
      </c>
    </row>
    <row r="52" spans="1:6">
      <c r="A52" s="1293" t="s">
        <v>41</v>
      </c>
      <c r="B52" s="1293" t="s">
        <v>28</v>
      </c>
      <c r="C52" s="1294">
        <v>0</v>
      </c>
      <c r="D52" s="1294">
        <v>0</v>
      </c>
      <c r="E52" s="1294">
        <v>0</v>
      </c>
      <c r="F52" s="1294">
        <v>0</v>
      </c>
    </row>
    <row r="53" spans="1:6">
      <c r="A53" s="1293" t="s">
        <v>43</v>
      </c>
      <c r="B53" s="1293" t="s">
        <v>44</v>
      </c>
      <c r="C53" s="1294">
        <v>492</v>
      </c>
      <c r="D53" s="1294">
        <v>7880985.4500000002</v>
      </c>
      <c r="E53" s="1294">
        <v>2041</v>
      </c>
      <c r="F53" s="1294">
        <v>5720487.091</v>
      </c>
    </row>
    <row r="54" spans="1:6">
      <c r="A54" s="1293" t="s">
        <v>45</v>
      </c>
      <c r="B54" s="1293" t="s">
        <v>46</v>
      </c>
      <c r="C54" s="1294">
        <v>0</v>
      </c>
      <c r="D54" s="1294">
        <v>0</v>
      </c>
      <c r="E54" s="1294">
        <v>1</v>
      </c>
      <c r="F54" s="1294">
        <v>1988137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107</v>
      </c>
      <c r="D57" s="1294">
        <v>7918972.6529999999</v>
      </c>
      <c r="E57" s="1294">
        <v>291</v>
      </c>
      <c r="F57" s="1294">
        <v>4813445.4270000001</v>
      </c>
    </row>
    <row r="58" spans="1:6">
      <c r="A58" s="1293" t="s">
        <v>48</v>
      </c>
      <c r="B58" s="1293" t="s">
        <v>50</v>
      </c>
      <c r="C58" s="1294">
        <v>39</v>
      </c>
      <c r="D58" s="1294">
        <v>2667965.1</v>
      </c>
      <c r="E58" s="1294">
        <v>103</v>
      </c>
      <c r="F58" s="1294">
        <v>1272912.18</v>
      </c>
    </row>
    <row r="59" spans="1:6">
      <c r="A59" s="1293" t="s">
        <v>48</v>
      </c>
      <c r="B59" s="1293" t="s">
        <v>51</v>
      </c>
      <c r="C59" s="1294">
        <v>193</v>
      </c>
      <c r="D59" s="1294">
        <v>5799253.8190000001</v>
      </c>
      <c r="E59" s="1294">
        <v>474</v>
      </c>
      <c r="F59" s="1294">
        <v>10296440.395</v>
      </c>
    </row>
    <row r="60" spans="1:6">
      <c r="A60" s="1293" t="s">
        <v>48</v>
      </c>
      <c r="B60" s="1293" t="s">
        <v>52</v>
      </c>
      <c r="C60" s="1294">
        <v>224</v>
      </c>
      <c r="D60" s="1294">
        <v>10688548.038000001</v>
      </c>
      <c r="E60" s="1294">
        <v>370</v>
      </c>
      <c r="F60" s="1294">
        <v>11647079.961999999</v>
      </c>
    </row>
    <row r="61" spans="1:6">
      <c r="A61" s="1293" t="s">
        <v>48</v>
      </c>
      <c r="B61" s="1293" t="s">
        <v>53</v>
      </c>
      <c r="C61" s="1294">
        <v>235</v>
      </c>
      <c r="D61" s="1294">
        <v>11971579.923</v>
      </c>
      <c r="E61" s="1294">
        <v>958</v>
      </c>
      <c r="F61" s="1294">
        <v>5577438.3739999998</v>
      </c>
    </row>
    <row r="62" spans="1:6">
      <c r="A62" s="1293" t="s">
        <v>48</v>
      </c>
      <c r="B62" s="1293" t="s">
        <v>54</v>
      </c>
      <c r="C62" s="1294">
        <v>9</v>
      </c>
      <c r="D62" s="1294">
        <v>407126</v>
      </c>
      <c r="E62" s="1294">
        <v>14</v>
      </c>
      <c r="F62" s="1294">
        <v>155773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0</v>
      </c>
      <c r="E65" s="1294">
        <v>0</v>
      </c>
      <c r="F65" s="1294">
        <v>0</v>
      </c>
    </row>
    <row r="66" spans="1:6">
      <c r="A66" s="1293" t="s">
        <v>55</v>
      </c>
      <c r="B66" s="1293" t="s">
        <v>57</v>
      </c>
      <c r="C66" s="1294">
        <v>0</v>
      </c>
      <c r="D66" s="1294">
        <v>0</v>
      </c>
      <c r="E66" s="1294">
        <v>26</v>
      </c>
      <c r="F66" s="1294">
        <v>257292</v>
      </c>
    </row>
    <row r="67" spans="1:6">
      <c r="A67" s="1295" t="s">
        <v>55</v>
      </c>
      <c r="B67" s="1295" t="s">
        <v>58</v>
      </c>
      <c r="C67" s="1294">
        <v>0</v>
      </c>
      <c r="D67" s="1294">
        <v>0</v>
      </c>
      <c r="E67" s="1294">
        <v>0</v>
      </c>
      <c r="F67" s="1294">
        <v>0</v>
      </c>
    </row>
    <row r="68" spans="1:6">
      <c r="A68" s="1288" t="s">
        <v>55</v>
      </c>
      <c r="B68" s="1288" t="s">
        <v>59</v>
      </c>
      <c r="C68" s="1297">
        <v>4</v>
      </c>
      <c r="D68" s="1297">
        <v>92190</v>
      </c>
      <c r="E68" s="1297">
        <v>33</v>
      </c>
      <c r="F68" s="1297">
        <v>1941497.071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86793017</v>
      </c>
      <c r="E73" s="449"/>
      <c r="F73" s="330"/>
    </row>
    <row r="74" spans="1:6">
      <c r="A74" s="1293" t="s">
        <v>63</v>
      </c>
      <c r="B74" s="1293" t="s">
        <v>656</v>
      </c>
      <c r="C74" s="1307" t="s">
        <v>658</v>
      </c>
      <c r="D74" s="1308">
        <v>9932745</v>
      </c>
      <c r="E74" s="449"/>
      <c r="F74" s="330"/>
    </row>
    <row r="75" spans="1:6">
      <c r="A75" s="1293" t="s">
        <v>64</v>
      </c>
      <c r="B75" s="1293" t="s">
        <v>655</v>
      </c>
      <c r="C75" s="1307" t="s">
        <v>659</v>
      </c>
      <c r="D75" s="1308">
        <v>7040410</v>
      </c>
      <c r="E75" s="449"/>
      <c r="F75" s="330"/>
    </row>
    <row r="76" spans="1:6">
      <c r="A76" s="1293" t="s">
        <v>64</v>
      </c>
      <c r="B76" s="1293" t="s">
        <v>656</v>
      </c>
      <c r="C76" s="1307" t="s">
        <v>660</v>
      </c>
      <c r="D76" s="1308">
        <v>275836</v>
      </c>
      <c r="E76" s="449"/>
      <c r="F76" s="330"/>
    </row>
    <row r="77" spans="1:6">
      <c r="A77" s="1293" t="s">
        <v>65</v>
      </c>
      <c r="B77" s="1293" t="s">
        <v>655</v>
      </c>
      <c r="C77" s="1307" t="s">
        <v>661</v>
      </c>
      <c r="D77" s="1308">
        <v>74555129</v>
      </c>
      <c r="E77" s="449"/>
      <c r="F77" s="330"/>
    </row>
    <row r="78" spans="1:6">
      <c r="A78" s="1288" t="s">
        <v>65</v>
      </c>
      <c r="B78" s="1288" t="s">
        <v>656</v>
      </c>
      <c r="C78" s="1288" t="s">
        <v>662</v>
      </c>
      <c r="D78" s="1309">
        <v>20770876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426726</v>
      </c>
      <c r="C83" s="449"/>
      <c r="D83" s="330"/>
      <c r="E83" s="330"/>
      <c r="F83" s="330"/>
    </row>
    <row r="84" spans="1:6">
      <c r="A84" s="1288" t="s">
        <v>336</v>
      </c>
      <c r="B84" s="1309">
        <v>475166</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4064.9775756009331</v>
      </c>
      <c r="C90" s="330"/>
      <c r="D90" s="330"/>
      <c r="E90" s="330"/>
      <c r="F90" s="330"/>
    </row>
    <row r="91" spans="1:6">
      <c r="A91" s="1293" t="s">
        <v>67</v>
      </c>
      <c r="B91" s="1294">
        <v>2949.9246553991784</v>
      </c>
      <c r="C91" s="330"/>
      <c r="D91" s="330"/>
      <c r="E91" s="330"/>
      <c r="F91" s="330"/>
    </row>
    <row r="92" spans="1:6">
      <c r="A92" s="1288" t="s">
        <v>68</v>
      </c>
      <c r="B92" s="1289">
        <v>2865.0773176563212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3729</v>
      </c>
      <c r="C97" s="330"/>
      <c r="D97" s="330"/>
      <c r="E97" s="330"/>
      <c r="F97" s="330"/>
    </row>
    <row r="98" spans="1:6">
      <c r="A98" s="1293" t="s">
        <v>71</v>
      </c>
      <c r="B98" s="1294">
        <v>1</v>
      </c>
      <c r="C98" s="330"/>
      <c r="D98" s="330"/>
      <c r="E98" s="330"/>
      <c r="F98" s="330"/>
    </row>
    <row r="99" spans="1:6">
      <c r="A99" s="1293" t="s">
        <v>72</v>
      </c>
      <c r="B99" s="1294">
        <v>109</v>
      </c>
      <c r="C99" s="330"/>
      <c r="D99" s="330"/>
      <c r="E99" s="330"/>
      <c r="F99" s="330"/>
    </row>
    <row r="100" spans="1:6">
      <c r="A100" s="1293" t="s">
        <v>73</v>
      </c>
      <c r="B100" s="1294">
        <v>1582</v>
      </c>
      <c r="C100" s="330"/>
      <c r="D100" s="330"/>
      <c r="E100" s="330"/>
      <c r="F100" s="330"/>
    </row>
    <row r="101" spans="1:6">
      <c r="A101" s="1293" t="s">
        <v>74</v>
      </c>
      <c r="B101" s="1294">
        <v>78</v>
      </c>
      <c r="C101" s="330"/>
      <c r="D101" s="330"/>
      <c r="E101" s="330"/>
      <c r="F101" s="330"/>
    </row>
    <row r="102" spans="1:6">
      <c r="A102" s="1293" t="s">
        <v>75</v>
      </c>
      <c r="B102" s="1294">
        <v>201</v>
      </c>
      <c r="C102" s="330"/>
      <c r="D102" s="330"/>
      <c r="E102" s="330"/>
      <c r="F102" s="330"/>
    </row>
    <row r="103" spans="1:6">
      <c r="A103" s="1293" t="s">
        <v>76</v>
      </c>
      <c r="B103" s="1294">
        <v>138</v>
      </c>
      <c r="C103" s="330"/>
      <c r="D103" s="330"/>
      <c r="E103" s="330"/>
      <c r="F103" s="330"/>
    </row>
    <row r="104" spans="1:6">
      <c r="A104" s="1293" t="s">
        <v>77</v>
      </c>
      <c r="B104" s="1294">
        <v>1599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14</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144</v>
      </c>
      <c r="C129" s="330"/>
      <c r="D129" s="330"/>
      <c r="E129" s="330"/>
      <c r="F129" s="330"/>
    </row>
    <row r="130" spans="1:6">
      <c r="A130" s="1293" t="s">
        <v>294</v>
      </c>
      <c r="B130" s="1294">
        <v>10</v>
      </c>
      <c r="C130" s="330"/>
      <c r="D130" s="330"/>
      <c r="E130" s="330"/>
      <c r="F130" s="330"/>
    </row>
    <row r="131" spans="1:6">
      <c r="A131" s="1293" t="s">
        <v>295</v>
      </c>
      <c r="B131" s="1294">
        <v>1</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99055.69807377136</v>
      </c>
      <c r="C3" s="43" t="s">
        <v>169</v>
      </c>
      <c r="D3" s="43"/>
      <c r="E3" s="154"/>
      <c r="F3" s="43"/>
      <c r="G3" s="43"/>
      <c r="H3" s="43"/>
      <c r="I3" s="43"/>
      <c r="J3" s="43"/>
      <c r="K3" s="96"/>
    </row>
    <row r="4" spans="1:11">
      <c r="A4" s="358" t="s">
        <v>170</v>
      </c>
      <c r="B4" s="49">
        <f>IF(ISERROR('SEAP template'!B78+'SEAP template'!C78),0,'SEAP template'!B78+'SEAP template'!C78)</f>
        <v>9879.9795486564326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0.19895709360781111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1988.1369999999999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0.19895709360781111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395.55395921415277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47286.64675</v>
      </c>
      <c r="C5" s="17">
        <f>IF(ISERROR('Eigen informatie GS &amp; warmtenet'!B57),0,'Eigen informatie GS &amp; warmtenet'!B57)</f>
        <v>0</v>
      </c>
      <c r="D5" s="30">
        <f>(SUM(HH_hh_gas_kWh,HH_rest_gas_kWh)/1000)*0.902</f>
        <v>73110.666462899899</v>
      </c>
      <c r="E5" s="17">
        <f>B46*B57</f>
        <v>3603.4394227953194</v>
      </c>
      <c r="F5" s="17">
        <f>B51*B62</f>
        <v>0</v>
      </c>
      <c r="G5" s="18"/>
      <c r="H5" s="17"/>
      <c r="I5" s="17"/>
      <c r="J5" s="17">
        <f>B50*B61+C50*C61</f>
        <v>0</v>
      </c>
      <c r="K5" s="17"/>
      <c r="L5" s="17"/>
      <c r="M5" s="17"/>
      <c r="N5" s="17">
        <f>B48*B59+C48*C59</f>
        <v>3554.0335071004865</v>
      </c>
      <c r="O5" s="17">
        <f>B69*B70*B71</f>
        <v>247.00666666666669</v>
      </c>
      <c r="P5" s="17">
        <f>B77*B78*B79/1000-B77*B78*B79/1000/B80</f>
        <v>457.6</v>
      </c>
    </row>
    <row r="6" spans="1:16">
      <c r="A6" s="16" t="s">
        <v>620</v>
      </c>
      <c r="B6" s="762">
        <f>kWh_PV_kleiner_dan_10kW</f>
        <v>2949.9246553991784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50236.571405399176</v>
      </c>
      <c r="C8" s="21">
        <f>C5</f>
        <v>0</v>
      </c>
      <c r="D8" s="21">
        <f>D5</f>
        <v>73110.666462899899</v>
      </c>
      <c r="E8" s="21">
        <f>E5</f>
        <v>3603.4394227953194</v>
      </c>
      <c r="F8" s="21">
        <f>F5</f>
        <v>0</v>
      </c>
      <c r="G8" s="21"/>
      <c r="H8" s="21"/>
      <c r="I8" s="21"/>
      <c r="J8" s="21">
        <f>J5</f>
        <v>0</v>
      </c>
      <c r="K8" s="21"/>
      <c r="L8" s="21">
        <f>L5</f>
        <v>0</v>
      </c>
      <c r="M8" s="21">
        <f>M5</f>
        <v>0</v>
      </c>
      <c r="N8" s="21">
        <f>N5</f>
        <v>3554.0335071004865</v>
      </c>
      <c r="O8" s="21">
        <f>O5</f>
        <v>247.00666666666669</v>
      </c>
      <c r="P8" s="21">
        <f>P5</f>
        <v>457.6</v>
      </c>
    </row>
    <row r="9" spans="1:16">
      <c r="B9" s="19"/>
      <c r="C9" s="19"/>
      <c r="D9" s="258"/>
      <c r="E9" s="19"/>
      <c r="F9" s="19"/>
      <c r="G9" s="19"/>
      <c r="H9" s="19"/>
      <c r="I9" s="19"/>
      <c r="J9" s="19"/>
      <c r="K9" s="19"/>
      <c r="L9" s="19"/>
      <c r="M9" s="19"/>
      <c r="N9" s="19"/>
      <c r="O9" s="19"/>
      <c r="P9" s="19"/>
    </row>
    <row r="10" spans="1:16">
      <c r="A10" s="24" t="s">
        <v>213</v>
      </c>
      <c r="B10" s="25">
        <f ca="1">'EF ele_warmte'!B12</f>
        <v>0.19895709360781111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9994.9222396394907</v>
      </c>
      <c r="C12" s="23">
        <f ca="1">C10*C8</f>
        <v>0</v>
      </c>
      <c r="D12" s="23">
        <f>D8*D10</f>
        <v>14768.354625505781</v>
      </c>
      <c r="E12" s="23">
        <f>E10*E8</f>
        <v>817.98074897453751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9838</v>
      </c>
      <c r="C28" s="36"/>
      <c r="D28" s="228"/>
    </row>
    <row r="29" spans="1:7" s="15" customFormat="1">
      <c r="A29" s="230" t="s">
        <v>781</v>
      </c>
      <c r="B29" s="37">
        <f>SUM(HH_hh_gas_aantal,HH_rest_gas_aantal)</f>
        <v>8708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8708</v>
      </c>
      <c r="C32" s="167">
        <f>IF(ISERROR(B32/SUM($B$32,$B$34,$B$35,$B$36,$B$38,$B$39)*100),0,B32/SUM($B$32,$B$34,$B$35,$B$36,$B$38,$B$39)*100)</f>
        <v>88.730385164051356</v>
      </c>
      <c r="D32" s="233"/>
      <c r="G32" s="15"/>
    </row>
    <row r="33" spans="1:7">
      <c r="A33" s="171" t="s">
        <v>71</v>
      </c>
      <c r="B33" s="34" t="s">
        <v>110</v>
      </c>
      <c r="C33" s="167"/>
      <c r="D33" s="233"/>
      <c r="G33" s="15"/>
    </row>
    <row r="34" spans="1:7">
      <c r="A34" s="171" t="s">
        <v>72</v>
      </c>
      <c r="B34" s="33">
        <f>IF((($B$28-$B$32-$B$39-$B$77-$B$38)*C20/100)&lt;0,0,($B$28-$B$32-$B$39-$B$77-$B$38)*C20/100)</f>
        <v>68.148106274731489</v>
      </c>
      <c r="C34" s="167">
        <f>IF(ISERROR(B34/SUM($B$32,$B$34,$B$35,$B$36,$B$38,$B$39)*100),0,B34/SUM($B$32,$B$34,$B$35,$B$36,$B$38,$B$39)*100)</f>
        <v>0.69439684404658131</v>
      </c>
      <c r="D34" s="233"/>
      <c r="G34" s="15"/>
    </row>
    <row r="35" spans="1:7">
      <c r="A35" s="171" t="s">
        <v>73</v>
      </c>
      <c r="B35" s="33">
        <f>IF((($B$28-$B$32-$B$39-$B$77-$B$38)*C21/100)&lt;0,0,($B$28-$B$32-$B$39-$B$77-$B$38)*C21/100)</f>
        <v>989.08535895986438</v>
      </c>
      <c r="C35" s="167">
        <f>IF(ISERROR(B35/SUM($B$32,$B$34,$B$35,$B$36,$B$38,$B$39)*100),0,B35/SUM($B$32,$B$34,$B$35,$B$36,$B$38,$B$39)*100)</f>
        <v>10.078310158547628</v>
      </c>
      <c r="D35" s="233"/>
      <c r="G35" s="15"/>
    </row>
    <row r="36" spans="1:7">
      <c r="A36" s="171" t="s">
        <v>74</v>
      </c>
      <c r="B36" s="33">
        <f>IF((($B$28-$B$32-$B$39-$B$77-$B$38)*C22/100)&lt;0,0,($B$28-$B$32-$B$39-$B$77-$B$38)*C22/100)</f>
        <v>48.766534765404188</v>
      </c>
      <c r="C36" s="167">
        <f>IF(ISERROR(B36/SUM($B$32,$B$34,$B$35,$B$36,$B$38,$B$39)*100),0,B36/SUM($B$32,$B$34,$B$35,$B$36,$B$38,$B$39)*100)</f>
        <v>0.49690783335443434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8708</v>
      </c>
      <c r="C44" s="34" t="s">
        <v>110</v>
      </c>
      <c r="D44" s="174"/>
    </row>
    <row r="45" spans="1:7">
      <c r="A45" s="171" t="s">
        <v>71</v>
      </c>
      <c r="B45" s="33" t="str">
        <f t="shared" si="0"/>
        <v>-</v>
      </c>
      <c r="C45" s="34" t="s">
        <v>110</v>
      </c>
      <c r="D45" s="174"/>
    </row>
    <row r="46" spans="1:7">
      <c r="A46" s="171" t="s">
        <v>72</v>
      </c>
      <c r="B46" s="33">
        <f t="shared" si="0"/>
        <v>68.148106274731489</v>
      </c>
      <c r="C46" s="34" t="s">
        <v>110</v>
      </c>
      <c r="D46" s="174"/>
    </row>
    <row r="47" spans="1:7">
      <c r="A47" s="171" t="s">
        <v>73</v>
      </c>
      <c r="B47" s="33">
        <f t="shared" si="0"/>
        <v>989.08535895986438</v>
      </c>
      <c r="C47" s="34" t="s">
        <v>110</v>
      </c>
      <c r="D47" s="174"/>
    </row>
    <row r="48" spans="1:7">
      <c r="A48" s="171" t="s">
        <v>74</v>
      </c>
      <c r="B48" s="33">
        <f t="shared" si="0"/>
        <v>48.766534765404188</v>
      </c>
      <c r="C48" s="33">
        <f>B48*10</f>
        <v>487.66534765404185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33763.089337999998</v>
      </c>
      <c r="C5" s="17">
        <f>IF(ISERROR('Eigen informatie GS &amp; warmtenet'!B58),0,'Eigen informatie GS &amp; warmtenet'!B58)</f>
        <v>0</v>
      </c>
      <c r="D5" s="30">
        <f>SUM(D6:D12)</f>
        <v>35587.007870766007</v>
      </c>
      <c r="E5" s="17">
        <f>SUM(E6:E12)</f>
        <v>548.43734146731242</v>
      </c>
      <c r="F5" s="17">
        <f>SUM(F6:F12)</f>
        <v>5772.0364867849112</v>
      </c>
      <c r="G5" s="18"/>
      <c r="H5" s="17"/>
      <c r="I5" s="17"/>
      <c r="J5" s="17">
        <f>SUM(J6:J12)</f>
        <v>0.10448103203508373</v>
      </c>
      <c r="K5" s="17"/>
      <c r="L5" s="17"/>
      <c r="M5" s="17"/>
      <c r="N5" s="17">
        <f>SUM(N6:N12)</f>
        <v>4130.5331693508961</v>
      </c>
      <c r="O5" s="17">
        <f>B38*B39*B40</f>
        <v>15.633333333333333</v>
      </c>
      <c r="P5" s="17">
        <f>B46*B47*B48/1000-B46*B47*B48/1000/B49</f>
        <v>19.066666666666666</v>
      </c>
      <c r="R5" s="32"/>
    </row>
    <row r="6" spans="1:18">
      <c r="A6" s="32" t="s">
        <v>53</v>
      </c>
      <c r="B6" s="37">
        <f>B26</f>
        <v>5577.4383739999994</v>
      </c>
      <c r="C6" s="33"/>
      <c r="D6" s="37">
        <f>IF(ISERROR(TER_kantoor_gas_kWh/1000),0,TER_kantoor_gas_kWh/1000)*0.902</f>
        <v>10798.365090546002</v>
      </c>
      <c r="E6" s="33">
        <f>$C$26*'E Balans VL '!I12/100/3.6*1000000</f>
        <v>3.4957528701290416E-2</v>
      </c>
      <c r="F6" s="33">
        <f>$C$26*('E Balans VL '!L12+'E Balans VL '!N12)/100/3.6*1000000</f>
        <v>838.13313912017327</v>
      </c>
      <c r="G6" s="34"/>
      <c r="H6" s="33"/>
      <c r="I6" s="33"/>
      <c r="J6" s="33">
        <f>$C$26*('E Balans VL '!D12+'E Balans VL '!E12)/100/3.6*1000000</f>
        <v>0</v>
      </c>
      <c r="K6" s="33"/>
      <c r="L6" s="33"/>
      <c r="M6" s="33"/>
      <c r="N6" s="33">
        <f>$C$26*'E Balans VL '!Y12/100/3.6*1000000</f>
        <v>5.3339928587395562</v>
      </c>
      <c r="O6" s="33"/>
      <c r="P6" s="33"/>
      <c r="R6" s="32"/>
    </row>
    <row r="7" spans="1:18">
      <c r="A7" s="32" t="s">
        <v>52</v>
      </c>
      <c r="B7" s="37">
        <f t="shared" ref="B7:B12" si="0">B27</f>
        <v>11647.079962</v>
      </c>
      <c r="C7" s="33"/>
      <c r="D7" s="37">
        <f>IF(ISERROR(TER_horeca_gas_kWh/1000),0,TER_horeca_gas_kWh/1000)*0.902</f>
        <v>9641.0703302760012</v>
      </c>
      <c r="E7" s="33">
        <f>$C$27*'E Balans VL '!I9/100/3.6*1000000</f>
        <v>166.78424502266702</v>
      </c>
      <c r="F7" s="33">
        <f>$C$27*('E Balans VL '!L9+'E Balans VL '!N9)/100/3.6*1000000</f>
        <v>1474.9044586854989</v>
      </c>
      <c r="G7" s="34"/>
      <c r="H7" s="33"/>
      <c r="I7" s="33"/>
      <c r="J7" s="33">
        <f>$C$27*('E Balans VL '!D9+'E Balans VL '!E9)/100/3.6*1000000</f>
        <v>0</v>
      </c>
      <c r="K7" s="33"/>
      <c r="L7" s="33"/>
      <c r="M7" s="33"/>
      <c r="N7" s="33">
        <f>$C$27*'E Balans VL '!Y9/100/3.6*1000000</f>
        <v>3.3482786930051267</v>
      </c>
      <c r="O7" s="33"/>
      <c r="P7" s="33"/>
      <c r="R7" s="32"/>
    </row>
    <row r="8" spans="1:18">
      <c r="A8" s="6" t="s">
        <v>51</v>
      </c>
      <c r="B8" s="37">
        <f t="shared" si="0"/>
        <v>10296.440395</v>
      </c>
      <c r="C8" s="33"/>
      <c r="D8" s="37">
        <f>IF(ISERROR(TER_handel_gas_kWh/1000),0,TER_handel_gas_kWh/1000)*0.902</f>
        <v>5230.9269447380002</v>
      </c>
      <c r="E8" s="33">
        <f>$C$28*'E Balans VL '!I13/100/3.6*1000000</f>
        <v>373.45062342650505</v>
      </c>
      <c r="F8" s="33">
        <f>$C$28*('E Balans VL '!L13+'E Balans VL '!N13)/100/3.6*1000000</f>
        <v>1983.1986781645214</v>
      </c>
      <c r="G8" s="34"/>
      <c r="H8" s="33"/>
      <c r="I8" s="33"/>
      <c r="J8" s="33">
        <f>$C$28*('E Balans VL '!D13+'E Balans VL '!E13)/100/3.6*1000000</f>
        <v>0</v>
      </c>
      <c r="K8" s="33"/>
      <c r="L8" s="33"/>
      <c r="M8" s="33"/>
      <c r="N8" s="33">
        <f>$C$28*'E Balans VL '!Y13/100/3.6*1000000</f>
        <v>14.26293905235096</v>
      </c>
      <c r="O8" s="33"/>
      <c r="P8" s="33"/>
      <c r="R8" s="32"/>
    </row>
    <row r="9" spans="1:18">
      <c r="A9" s="32" t="s">
        <v>50</v>
      </c>
      <c r="B9" s="37">
        <f t="shared" si="0"/>
        <v>1272.91218</v>
      </c>
      <c r="C9" s="33"/>
      <c r="D9" s="37">
        <f>IF(ISERROR(TER_gezond_gas_kWh/1000),0,TER_gezond_gas_kWh/1000)*0.902</f>
        <v>2406.5045202000001</v>
      </c>
      <c r="E9" s="33">
        <f>$C$29*'E Balans VL '!I10/100/3.6*1000000</f>
        <v>7.9696870205284459E-2</v>
      </c>
      <c r="F9" s="33">
        <f>$C$29*('E Balans VL '!L10+'E Balans VL '!N10)/100/3.6*1000000</f>
        <v>189.09497998749083</v>
      </c>
      <c r="G9" s="34"/>
      <c r="H9" s="33"/>
      <c r="I9" s="33"/>
      <c r="J9" s="33">
        <f>$C$29*('E Balans VL '!D10+'E Balans VL '!E10)/100/3.6*1000000</f>
        <v>0</v>
      </c>
      <c r="K9" s="33"/>
      <c r="L9" s="33"/>
      <c r="M9" s="33"/>
      <c r="N9" s="33">
        <f>$C$29*'E Balans VL '!Y10/100/3.6*1000000</f>
        <v>19.689528425766223</v>
      </c>
      <c r="O9" s="33"/>
      <c r="P9" s="33"/>
      <c r="R9" s="32"/>
    </row>
    <row r="10" spans="1:18">
      <c r="A10" s="32" t="s">
        <v>49</v>
      </c>
      <c r="B10" s="37">
        <f t="shared" si="0"/>
        <v>4813.4454270000006</v>
      </c>
      <c r="C10" s="33"/>
      <c r="D10" s="37">
        <f>IF(ISERROR(TER_ander_gas_kWh/1000),0,TER_ander_gas_kWh/1000)*0.902</f>
        <v>7142.9133330060004</v>
      </c>
      <c r="E10" s="33">
        <f>$C$30*'E Balans VL '!I14/100/3.6*1000000</f>
        <v>5.7374549455079196</v>
      </c>
      <c r="F10" s="33">
        <f>$C$30*('E Balans VL '!L14+'E Balans VL '!N14)/100/3.6*1000000</f>
        <v>1259.4113126795178</v>
      </c>
      <c r="G10" s="34"/>
      <c r="H10" s="33"/>
      <c r="I10" s="33"/>
      <c r="J10" s="33">
        <f>$C$30*('E Balans VL '!D14+'E Balans VL '!E14)/100/3.6*1000000</f>
        <v>0.10448103203508373</v>
      </c>
      <c r="K10" s="33"/>
      <c r="L10" s="33"/>
      <c r="M10" s="33"/>
      <c r="N10" s="33">
        <f>$C$30*'E Balans VL '!Y14/100/3.6*1000000</f>
        <v>4087.4600732567205</v>
      </c>
      <c r="O10" s="33"/>
      <c r="P10" s="33"/>
      <c r="R10" s="32"/>
    </row>
    <row r="11" spans="1:18">
      <c r="A11" s="32" t="s">
        <v>54</v>
      </c>
      <c r="B11" s="37">
        <f t="shared" si="0"/>
        <v>155.773</v>
      </c>
      <c r="C11" s="33"/>
      <c r="D11" s="37">
        <f>IF(ISERROR(TER_onderwijs_gas_kWh/1000),0,TER_onderwijs_gas_kWh/1000)*0.902</f>
        <v>367.22765199999998</v>
      </c>
      <c r="E11" s="33">
        <f>$C$31*'E Balans VL '!I11/100/3.6*1000000</f>
        <v>2.3503636737258504</v>
      </c>
      <c r="F11" s="33">
        <f>$C$31*('E Balans VL '!L11+'E Balans VL '!N11)/100/3.6*1000000</f>
        <v>27.29391814770846</v>
      </c>
      <c r="G11" s="34"/>
      <c r="H11" s="33"/>
      <c r="I11" s="33"/>
      <c r="J11" s="33">
        <f>$C$31*('E Balans VL '!D11+'E Balans VL '!E11)/100/3.6*1000000</f>
        <v>0</v>
      </c>
      <c r="K11" s="33"/>
      <c r="L11" s="33"/>
      <c r="M11" s="33"/>
      <c r="N11" s="33">
        <f>$C$31*'E Balans VL '!Y11/100/3.6*1000000</f>
        <v>0.43835706431443755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33763.089337999998</v>
      </c>
      <c r="C16" s="21">
        <f t="shared" ca="1" si="1"/>
        <v>0</v>
      </c>
      <c r="D16" s="21">
        <f t="shared" ca="1" si="1"/>
        <v>35587.007870766007</v>
      </c>
      <c r="E16" s="21">
        <f t="shared" si="1"/>
        <v>548.43734146731242</v>
      </c>
      <c r="F16" s="21">
        <f t="shared" ca="1" si="1"/>
        <v>5772.0364867849112</v>
      </c>
      <c r="G16" s="21">
        <f t="shared" si="1"/>
        <v>0</v>
      </c>
      <c r="H16" s="21">
        <f t="shared" si="1"/>
        <v>0</v>
      </c>
      <c r="I16" s="21">
        <f t="shared" si="1"/>
        <v>0</v>
      </c>
      <c r="J16" s="21">
        <f t="shared" si="1"/>
        <v>0.10448103203508373</v>
      </c>
      <c r="K16" s="21">
        <f t="shared" si="1"/>
        <v>0</v>
      </c>
      <c r="L16" s="21">
        <f t="shared" ca="1" si="1"/>
        <v>0</v>
      </c>
      <c r="M16" s="21">
        <f t="shared" si="1"/>
        <v>0</v>
      </c>
      <c r="N16" s="21">
        <f t="shared" ca="1" si="1"/>
        <v>4130.5331693508961</v>
      </c>
      <c r="O16" s="21">
        <f>O5</f>
        <v>15.633333333333333</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0.19895709360781111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6717.4061259093551</v>
      </c>
      <c r="C20" s="23">
        <f t="shared" ref="C20:P20" ca="1" si="2">C16*C18</f>
        <v>0</v>
      </c>
      <c r="D20" s="23">
        <f t="shared" ca="1" si="2"/>
        <v>7188.5755898947336</v>
      </c>
      <c r="E20" s="23">
        <f t="shared" si="2"/>
        <v>124.49527651307993</v>
      </c>
      <c r="F20" s="23">
        <f t="shared" ca="1" si="2"/>
        <v>1541.1337419715715</v>
      </c>
      <c r="G20" s="23">
        <f t="shared" si="2"/>
        <v>0</v>
      </c>
      <c r="H20" s="23">
        <f t="shared" si="2"/>
        <v>0</v>
      </c>
      <c r="I20" s="23">
        <f t="shared" si="2"/>
        <v>0</v>
      </c>
      <c r="J20" s="23">
        <f t="shared" si="2"/>
        <v>3.6986285340419638E-2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5577.4383739999994</v>
      </c>
      <c r="C26" s="39">
        <f>IF(ISERROR(B26*3.6/1000000/'E Balans VL '!Z12*100),0,B26*3.6/1000000/'E Balans VL '!Z12*100)</f>
        <v>0.11789821185029746</v>
      </c>
      <c r="D26" s="237" t="s">
        <v>744</v>
      </c>
      <c r="F26" s="6"/>
    </row>
    <row r="27" spans="1:18">
      <c r="A27" s="231" t="s">
        <v>52</v>
      </c>
      <c r="B27" s="33">
        <f>IF(ISERROR(TER_horeca_ele_kWh/1000),0,TER_horeca_ele_kWh/1000)</f>
        <v>11647.079962</v>
      </c>
      <c r="C27" s="39">
        <f>IF(ISERROR(B27*3.6/1000000/'E Balans VL '!Z9*100),0,B27*3.6/1000000/'E Balans VL '!Z9*100)</f>
        <v>0.91813497231613761</v>
      </c>
      <c r="D27" s="237" t="s">
        <v>744</v>
      </c>
      <c r="F27" s="6"/>
    </row>
    <row r="28" spans="1:18">
      <c r="A28" s="171" t="s">
        <v>51</v>
      </c>
      <c r="B28" s="33">
        <f>IF(ISERROR(TER_handel_ele_kWh/1000),0,TER_handel_ele_kWh/1000)</f>
        <v>10296.440395</v>
      </c>
      <c r="C28" s="39">
        <f>IF(ISERROR(B28*3.6/1000000/'E Balans VL '!Z13*100),0,B28*3.6/1000000/'E Balans VL '!Z13*100)</f>
        <v>0.29884430254388533</v>
      </c>
      <c r="D28" s="237" t="s">
        <v>744</v>
      </c>
      <c r="F28" s="6"/>
    </row>
    <row r="29" spans="1:18">
      <c r="A29" s="231" t="s">
        <v>50</v>
      </c>
      <c r="B29" s="33">
        <f>IF(ISERROR(TER_gezond_ele_kWh/1000),0,TER_gezond_ele_kWh/1000)</f>
        <v>1272.91218</v>
      </c>
      <c r="C29" s="39">
        <f>IF(ISERROR(B29*3.6/1000000/'E Balans VL '!Z10*100),0,B29*3.6/1000000/'E Balans VL '!Z10*100)</f>
        <v>0.13405855432372152</v>
      </c>
      <c r="D29" s="237" t="s">
        <v>744</v>
      </c>
      <c r="F29" s="6"/>
    </row>
    <row r="30" spans="1:18">
      <c r="A30" s="231" t="s">
        <v>49</v>
      </c>
      <c r="B30" s="33">
        <f>IF(ISERROR(TER_ander_ele_kWh/1000),0,TER_ander_ele_kWh/1000)</f>
        <v>4813.4454270000006</v>
      </c>
      <c r="C30" s="39">
        <f>IF(ISERROR(B30*3.6/1000000/'E Balans VL '!Z14*100),0,B30*3.6/1000000/'E Balans VL '!Z14*100)</f>
        <v>0.3550407801706662</v>
      </c>
      <c r="D30" s="237" t="s">
        <v>744</v>
      </c>
      <c r="F30" s="6"/>
    </row>
    <row r="31" spans="1:18">
      <c r="A31" s="231" t="s">
        <v>54</v>
      </c>
      <c r="B31" s="33">
        <f>IF(ISERROR(TER_onderwijs_ele_kWh/1000),0,TER_onderwijs_ele_kWh/1000)</f>
        <v>155.773</v>
      </c>
      <c r="C31" s="39">
        <f>IF(ISERROR(B31*3.6/1000000/'E Balans VL '!Z11*100),0,B31*3.6/1000000/'E Balans VL '!Z11*100)</f>
        <v>3.8685732737045765E-2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2833.9917469999996</v>
      </c>
      <c r="C5" s="17">
        <f>IF(ISERROR('Eigen informatie GS &amp; warmtenet'!B59),0,'Eigen informatie GS &amp; warmtenet'!B59)</f>
        <v>0</v>
      </c>
      <c r="D5" s="30">
        <f>SUM(D6:D15)</f>
        <v>3390.8545170280004</v>
      </c>
      <c r="E5" s="17">
        <f>SUM(E6:E15)</f>
        <v>497.62494100249933</v>
      </c>
      <c r="F5" s="17">
        <f>SUM(F6:F15)</f>
        <v>1435.0696593235928</v>
      </c>
      <c r="G5" s="18"/>
      <c r="H5" s="17"/>
      <c r="I5" s="17"/>
      <c r="J5" s="17">
        <f>SUM(J6:J15)</f>
        <v>0.23809011880436012</v>
      </c>
      <c r="K5" s="17"/>
      <c r="L5" s="17"/>
      <c r="M5" s="17"/>
      <c r="N5" s="17">
        <f>SUM(N6:N15)</f>
        <v>209.91156701398728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254.5702</v>
      </c>
      <c r="C8" s="33"/>
      <c r="D8" s="37">
        <f>IF( ISERROR(IND_metaal_Gas_kWH/1000),0,IND_metaal_Gas_kWH/1000)*0.902</f>
        <v>136.33820200000002</v>
      </c>
      <c r="E8" s="33">
        <f>C30*'E Balans VL '!I18/100/3.6*1000000</f>
        <v>2.3405271227626452</v>
      </c>
      <c r="F8" s="33">
        <f>C30*'E Balans VL '!L18/100/3.6*1000000+C30*'E Balans VL '!N18/100/3.6*1000000</f>
        <v>23.870209260113043</v>
      </c>
      <c r="G8" s="34"/>
      <c r="H8" s="33"/>
      <c r="I8" s="33"/>
      <c r="J8" s="40">
        <f>C30*'E Balans VL '!D18/100/3.6*1000000+C30*'E Balans VL '!E18/100/3.6*1000000</f>
        <v>0</v>
      </c>
      <c r="K8" s="33"/>
      <c r="L8" s="33"/>
      <c r="M8" s="33"/>
      <c r="N8" s="33">
        <f>C30*'E Balans VL '!Y18/100/3.6*1000000</f>
        <v>3.6318645979714064</v>
      </c>
      <c r="O8" s="33"/>
      <c r="P8" s="33"/>
      <c r="R8" s="32"/>
    </row>
    <row r="9" spans="1:18">
      <c r="A9" s="6" t="s">
        <v>32</v>
      </c>
      <c r="B9" s="37">
        <f t="shared" si="0"/>
        <v>1675.7485469999999</v>
      </c>
      <c r="C9" s="33"/>
      <c r="D9" s="37">
        <f>IF( ISERROR(IND_andere_gas_kWh/1000),0,IND_andere_gas_kWh/1000)*0.902</f>
        <v>1768.3005664280001</v>
      </c>
      <c r="E9" s="33">
        <f>C31*'E Balans VL '!I19/100/3.6*1000000</f>
        <v>489.85392326445213</v>
      </c>
      <c r="F9" s="33">
        <f>C31*'E Balans VL '!L19/100/3.6*1000000+C31*'E Balans VL '!N19/100/3.6*1000000</f>
        <v>1346.5908000244669</v>
      </c>
      <c r="G9" s="34"/>
      <c r="H9" s="33"/>
      <c r="I9" s="33"/>
      <c r="J9" s="40">
        <f>C31*'E Balans VL '!D19/100/3.6*1000000+C31*'E Balans VL '!E19/100/3.6*1000000</f>
        <v>0</v>
      </c>
      <c r="K9" s="33"/>
      <c r="L9" s="33"/>
      <c r="M9" s="33"/>
      <c r="N9" s="33">
        <f>C31*'E Balans VL '!Y19/100/3.6*1000000</f>
        <v>131.44344007716924</v>
      </c>
      <c r="O9" s="33"/>
      <c r="P9" s="33"/>
      <c r="R9" s="32"/>
    </row>
    <row r="10" spans="1:18">
      <c r="A10" s="6" t="s">
        <v>40</v>
      </c>
      <c r="B10" s="37">
        <f t="shared" si="0"/>
        <v>671.827</v>
      </c>
      <c r="C10" s="33"/>
      <c r="D10" s="37">
        <f>IF( ISERROR(IND_voed_gas_kWh/1000),0,IND_voed_gas_kWh/1000)*0.902</f>
        <v>1067.1444739999999</v>
      </c>
      <c r="E10" s="33">
        <f>C32*'E Balans VL '!I20/100/3.6*1000000</f>
        <v>1.4212604353010103</v>
      </c>
      <c r="F10" s="33">
        <f>C32*'E Balans VL '!L20/100/3.6*1000000+C32*'E Balans VL '!N20/100/3.6*1000000</f>
        <v>42.715446911156498</v>
      </c>
      <c r="G10" s="34"/>
      <c r="H10" s="33"/>
      <c r="I10" s="33"/>
      <c r="J10" s="40">
        <f>C32*'E Balans VL '!D20/100/3.6*1000000+C32*'E Balans VL '!E20/100/3.6*1000000</f>
        <v>0</v>
      </c>
      <c r="K10" s="33"/>
      <c r="L10" s="33"/>
      <c r="M10" s="33"/>
      <c r="N10" s="33">
        <f>C32*'E Balans VL '!Y20/100/3.6*1000000</f>
        <v>46.362692750831201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27.218</v>
      </c>
      <c r="C12" s="33"/>
      <c r="D12" s="37">
        <f>IF( ISERROR(IND_min_gas_kWh/1000),0,IND_min_gas_kWh/1000)*0.902</f>
        <v>65.158676</v>
      </c>
      <c r="E12" s="33">
        <f>C34*'E Balans VL '!I22/100/3.6*1000000</f>
        <v>0.78893774541768158</v>
      </c>
      <c r="F12" s="33">
        <f>C34*'E Balans VL '!L22/100/3.6*1000000+C34*'E Balans VL '!N22/100/3.6*1000000</f>
        <v>9.3578559702548478</v>
      </c>
      <c r="G12" s="34"/>
      <c r="H12" s="33"/>
      <c r="I12" s="33"/>
      <c r="J12" s="40">
        <f>C34*'E Balans VL '!D22/100/3.6*1000000+C34*'E Balans VL '!E22/100/3.6*1000000</f>
        <v>4.4727376021956075E-2</v>
      </c>
      <c r="K12" s="33"/>
      <c r="L12" s="33"/>
      <c r="M12" s="33"/>
      <c r="N12" s="33">
        <f>C34*'E Balans VL '!Y22/100/3.6*1000000</f>
        <v>5.9584674813221836</v>
      </c>
      <c r="O12" s="33"/>
      <c r="P12" s="33"/>
      <c r="R12" s="32"/>
    </row>
    <row r="13" spans="1:18">
      <c r="A13" s="6" t="s">
        <v>38</v>
      </c>
      <c r="B13" s="37">
        <f t="shared" si="0"/>
        <v>39.981000000000002</v>
      </c>
      <c r="C13" s="33"/>
      <c r="D13" s="37">
        <f>IF( ISERROR(IND_papier_gas_kWh/1000),0,IND_papier_gas_kWh/1000)*0.902</f>
        <v>0</v>
      </c>
      <c r="E13" s="33">
        <f>C35*'E Balans VL '!I23/100/3.6*1000000</f>
        <v>5.6723895416281457E-2</v>
      </c>
      <c r="F13" s="33">
        <f>C35*'E Balans VL '!L23/100/3.6*1000000+C35*'E Balans VL '!N23/100/3.6*1000000</f>
        <v>0.97608654825297037</v>
      </c>
      <c r="G13" s="34"/>
      <c r="H13" s="33"/>
      <c r="I13" s="33"/>
      <c r="J13" s="40">
        <f>C35*'E Balans VL '!D23/100/3.6*1000000+C35*'E Balans VL '!E23/100/3.6*1000000</f>
        <v>6.1834370145017574E-3</v>
      </c>
      <c r="K13" s="33"/>
      <c r="L13" s="33"/>
      <c r="M13" s="33"/>
      <c r="N13" s="33">
        <f>C35*'E Balans VL '!Y23/100/3.6*1000000</f>
        <v>16.335656914377214</v>
      </c>
      <c r="O13" s="33"/>
      <c r="P13" s="33"/>
      <c r="R13" s="32"/>
    </row>
    <row r="14" spans="1:18">
      <c r="A14" s="6" t="s">
        <v>33</v>
      </c>
      <c r="B14" s="37">
        <f t="shared" si="0"/>
        <v>112.36199999999999</v>
      </c>
      <c r="C14" s="33"/>
      <c r="D14" s="37">
        <f>IF( ISERROR(IND_chemie_gas_kWh/1000),0,IND_chemie_gas_kWh/1000)*0.902</f>
        <v>0</v>
      </c>
      <c r="E14" s="33">
        <f>C36*'E Balans VL '!I24/100/3.6*1000000</f>
        <v>0.27660305017392534</v>
      </c>
      <c r="F14" s="33">
        <f>C36*'E Balans VL '!L24/100/3.6*1000000+C36*'E Balans VL '!N24/100/3.6*1000000</f>
        <v>1.2031670261225957</v>
      </c>
      <c r="G14" s="34"/>
      <c r="H14" s="33"/>
      <c r="I14" s="33"/>
      <c r="J14" s="40">
        <f>C36*'E Balans VL '!D24/100/3.6*1000000+C36*'E Balans VL '!E24/100/3.6*1000000</f>
        <v>0</v>
      </c>
      <c r="K14" s="33"/>
      <c r="L14" s="33"/>
      <c r="M14" s="33"/>
      <c r="N14" s="33">
        <f>C36*'E Balans VL '!Y24/100/3.6*1000000</f>
        <v>2.5093208282057344</v>
      </c>
      <c r="O14" s="33"/>
      <c r="P14" s="33"/>
      <c r="R14" s="32"/>
    </row>
    <row r="15" spans="1:18">
      <c r="A15" s="6" t="s">
        <v>269</v>
      </c>
      <c r="B15" s="37">
        <f t="shared" si="0"/>
        <v>52.284999999999997</v>
      </c>
      <c r="C15" s="33"/>
      <c r="D15" s="37">
        <f>IF( ISERROR(IND_rest_gas_kWh/1000),0,IND_rest_gas_kWh/1000)*0.902</f>
        <v>353.91259860000002</v>
      </c>
      <c r="E15" s="33">
        <f>C37*'E Balans VL '!I15/100/3.6*1000000</f>
        <v>2.8869654889756213</v>
      </c>
      <c r="F15" s="33">
        <f>C37*'E Balans VL '!L15/100/3.6*1000000+C37*'E Balans VL '!N15/100/3.6*1000000</f>
        <v>10.356093583225627</v>
      </c>
      <c r="G15" s="34"/>
      <c r="H15" s="33"/>
      <c r="I15" s="33"/>
      <c r="J15" s="40">
        <f>C37*'E Balans VL '!D15/100/3.6*1000000+C37*'E Balans VL '!E15/100/3.6*1000000</f>
        <v>0.18717930576790229</v>
      </c>
      <c r="K15" s="33"/>
      <c r="L15" s="33"/>
      <c r="M15" s="33"/>
      <c r="N15" s="33">
        <f>C37*'E Balans VL '!Y15/100/3.6*1000000</f>
        <v>3.6701243641103067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2833.9917469999996</v>
      </c>
      <c r="C18" s="21">
        <f>C5+C16</f>
        <v>0</v>
      </c>
      <c r="D18" s="21">
        <f>MAX((D5+D16),0)</f>
        <v>3390.8545170280004</v>
      </c>
      <c r="E18" s="21">
        <f>MAX((E5+E16),0)</f>
        <v>497.62494100249933</v>
      </c>
      <c r="F18" s="21">
        <f>MAX((F5+F16),0)</f>
        <v>1435.0696593235928</v>
      </c>
      <c r="G18" s="21"/>
      <c r="H18" s="21"/>
      <c r="I18" s="21"/>
      <c r="J18" s="21">
        <f>MAX((J5+J16),0)</f>
        <v>0.23809011880436012</v>
      </c>
      <c r="K18" s="21"/>
      <c r="L18" s="21">
        <f>MAX((L5+L16),0)</f>
        <v>0</v>
      </c>
      <c r="M18" s="21"/>
      <c r="N18" s="21">
        <f>MAX((N5+N16),0)</f>
        <v>209.91156701398728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0.19895709360781111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563.842761291643</v>
      </c>
      <c r="C22" s="23">
        <f ca="1">C18*C20</f>
        <v>0</v>
      </c>
      <c r="D22" s="23">
        <f>D18*D20</f>
        <v>684.95261243965615</v>
      </c>
      <c r="E22" s="23">
        <f>E18*E20</f>
        <v>112.96086160756735</v>
      </c>
      <c r="F22" s="23">
        <f>F18*F20</f>
        <v>383.16359903939929</v>
      </c>
      <c r="G22" s="23"/>
      <c r="H22" s="23"/>
      <c r="I22" s="23"/>
      <c r="J22" s="23">
        <f>J18*J20</f>
        <v>8.4283902056743479E-2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254.5702</v>
      </c>
      <c r="C30" s="39">
        <f>IF(ISERROR(B30*3.6/1000000/'E Balans VL '!Z18*100),0,B30*3.6/1000000/'E Balans VL '!Z18*100)</f>
        <v>1.4427145994686509E-2</v>
      </c>
      <c r="D30" s="237" t="s">
        <v>744</v>
      </c>
    </row>
    <row r="31" spans="1:18">
      <c r="A31" s="6" t="s">
        <v>32</v>
      </c>
      <c r="B31" s="37">
        <f>IF( ISERROR(IND_ander_ele_kWh/1000),0,IND_ander_ele_kWh/1000)</f>
        <v>1675.7485469999999</v>
      </c>
      <c r="C31" s="39">
        <f>IF(ISERROR(B31*3.6/1000000/'E Balans VL '!Z19*100),0,B31*3.6/1000000/'E Balans VL '!Z19*100)</f>
        <v>7.6004976396414931E-2</v>
      </c>
      <c r="D31" s="237" t="s">
        <v>744</v>
      </c>
    </row>
    <row r="32" spans="1:18">
      <c r="A32" s="171" t="s">
        <v>40</v>
      </c>
      <c r="B32" s="37">
        <f>IF( ISERROR(IND_voed_ele_kWh/1000),0,IND_voed_ele_kWh/1000)</f>
        <v>671.827</v>
      </c>
      <c r="C32" s="39">
        <f>IF(ISERROR(B32*3.6/1000000/'E Balans VL '!Z20*100),0,B32*3.6/1000000/'E Balans VL '!Z20*100)</f>
        <v>2.0782658947065505E-2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27.218</v>
      </c>
      <c r="C34" s="39">
        <f>IF(ISERROR(B34*3.6/1000000/'E Balans VL '!Z22*100),0,B34*3.6/1000000/'E Balans VL '!Z22*100)</f>
        <v>4.8956690081800704E-3</v>
      </c>
      <c r="D34" s="237" t="s">
        <v>744</v>
      </c>
    </row>
    <row r="35" spans="1:5">
      <c r="A35" s="171" t="s">
        <v>38</v>
      </c>
      <c r="B35" s="37">
        <f>IF( ISERROR(IND_papier_ele_kWh/1000),0,IND_papier_ele_kWh/1000)</f>
        <v>39.981000000000002</v>
      </c>
      <c r="C35" s="39">
        <f>IF(ISERROR(B35*3.6/1000000/'E Balans VL '!Z22*100),0,B35*3.6/1000000/'E Balans VL '!Z22*100)</f>
        <v>7.1913345071661187E-3</v>
      </c>
      <c r="D35" s="237" t="s">
        <v>744</v>
      </c>
    </row>
    <row r="36" spans="1:5">
      <c r="A36" s="171" t="s">
        <v>33</v>
      </c>
      <c r="B36" s="37">
        <f>IF( ISERROR(IND_chemie_ele_kWh/1000),0,IND_chemie_ele_kWh/1000)</f>
        <v>112.36199999999999</v>
      </c>
      <c r="C36" s="39">
        <f>IF(ISERROR(B36*3.6/1000000/'E Balans VL '!Z24*100),0,B36*3.6/1000000/'E Balans VL '!Z24*100)</f>
        <v>3.4263696222010579E-3</v>
      </c>
      <c r="D36" s="237" t="s">
        <v>744</v>
      </c>
    </row>
    <row r="37" spans="1:5">
      <c r="A37" s="171" t="s">
        <v>269</v>
      </c>
      <c r="B37" s="37">
        <f>IF( ISERROR(IND_rest_ele_kWh/1000),0,IND_rest_ele_kWh/1000)</f>
        <v>52.284999999999997</v>
      </c>
      <c r="C37" s="39">
        <f>IF(ISERROR(B37*3.6/1000000/'E Balans VL '!Z15*100),0,B37*3.6/1000000/'E Balans VL '!Z15*100)</f>
        <v>4.144228370868785E-4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2782.1461800000002</v>
      </c>
      <c r="C5" s="17">
        <f>'Eigen informatie GS &amp; warmtenet'!B60</f>
        <v>0</v>
      </c>
      <c r="D5" s="30">
        <f>IF(ISERROR(SUM(LB_lb_gas_kWh,LB_rest_gas_kWh)/1000),0,SUM(LB_lb_gas_kWh,LB_rest_gas_kWh)/1000)*0.902</f>
        <v>252.07201800000001</v>
      </c>
      <c r="E5" s="17">
        <f>B17*'E Balans VL '!I25/3.6*1000000/100</f>
        <v>81.775773885445844</v>
      </c>
      <c r="F5" s="17">
        <f>B17*('E Balans VL '!L25/3.6*1000000+'E Balans VL '!N25/3.6*1000000)/100</f>
        <v>11590.270646591394</v>
      </c>
      <c r="G5" s="18"/>
      <c r="H5" s="17"/>
      <c r="I5" s="17"/>
      <c r="J5" s="17">
        <f>('E Balans VL '!D25+'E Balans VL '!E25)/3.6*1000000*landbouw!B17/100</f>
        <v>403.07323420886422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2782.1461800000002</v>
      </c>
      <c r="C8" s="21">
        <f>C5+C6</f>
        <v>0</v>
      </c>
      <c r="D8" s="21">
        <f>MAX((D5+D6),0)</f>
        <v>252.07201800000001</v>
      </c>
      <c r="E8" s="21">
        <f>MAX((E5+E6),0)</f>
        <v>81.775773885445844</v>
      </c>
      <c r="F8" s="21">
        <f>MAX((F5+F6),0)</f>
        <v>11590.270646591394</v>
      </c>
      <c r="G8" s="21"/>
      <c r="H8" s="21"/>
      <c r="I8" s="21"/>
      <c r="J8" s="21">
        <f>MAX((J5+J6),0)</f>
        <v>403.07323420886422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0.19895709360781111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553.52771796487411</v>
      </c>
      <c r="C12" s="23">
        <f ca="1">C8*C10</f>
        <v>0</v>
      </c>
      <c r="D12" s="23">
        <f>D8*D10</f>
        <v>50.918547636000007</v>
      </c>
      <c r="E12" s="23">
        <f>E8*E10</f>
        <v>18.563100671996207</v>
      </c>
      <c r="F12" s="23">
        <f>F8*F10</f>
        <v>3094.6022626399026</v>
      </c>
      <c r="G12" s="23"/>
      <c r="H12" s="23"/>
      <c r="I12" s="23"/>
      <c r="J12" s="23">
        <f>J8*J10</f>
        <v>142.68792490993792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0.39479527165944106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747.4501539425595</v>
      </c>
      <c r="C26" s="247">
        <f>B26*'GWP N2O_CH4'!B5</f>
        <v>15696.453232793749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291.28749287911501</v>
      </c>
      <c r="C27" s="247">
        <f>B27*'GWP N2O_CH4'!B5</f>
        <v>6117.0373504614154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9.8767025819997141</v>
      </c>
      <c r="C28" s="247">
        <f>B28*'GWP N2O_CH4'!B4</f>
        <v>3061.7778004199113</v>
      </c>
      <c r="D28" s="50"/>
    </row>
    <row r="29" spans="1:4">
      <c r="A29" s="41" t="s">
        <v>276</v>
      </c>
      <c r="B29" s="247">
        <f>B34*'ha_N2O bodem landbouw'!B4</f>
        <v>37.568788668005112</v>
      </c>
      <c r="C29" s="247">
        <f>B29*'GWP N2O_CH4'!B4</f>
        <v>11646.324487081585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8.5730681062333725E-3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2.0273458453990838E-4</v>
      </c>
      <c r="C5" s="437" t="s">
        <v>210</v>
      </c>
      <c r="D5" s="422">
        <f>SUM(D6:D11)</f>
        <v>5.1680904882684168E-4</v>
      </c>
      <c r="E5" s="422">
        <f>SUM(E6:E11)</f>
        <v>9.7837227121278891E-4</v>
      </c>
      <c r="F5" s="435" t="s">
        <v>210</v>
      </c>
      <c r="G5" s="422">
        <f>SUM(G6:G11)</f>
        <v>0.56598926907059544</v>
      </c>
      <c r="H5" s="422">
        <f>SUM(H6:H11)</f>
        <v>8.9335434011648396E-2</v>
      </c>
      <c r="I5" s="437" t="s">
        <v>210</v>
      </c>
      <c r="J5" s="437" t="s">
        <v>210</v>
      </c>
      <c r="K5" s="437" t="s">
        <v>210</v>
      </c>
      <c r="L5" s="437" t="s">
        <v>210</v>
      </c>
      <c r="M5" s="422">
        <f>SUM(M6:M11)</f>
        <v>3.5698176626039017E-2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1.0449609320517129E-4</v>
      </c>
      <c r="C6" s="423"/>
      <c r="D6" s="865">
        <f>vkm_GW_PW*SUMIFS(TableVerdeelsleutelVkm[CNG],TableVerdeelsleutelVkm[Voertuigtype],"Lichte voertuigen")*SUMIFS(TableECFTransport[EnergieConsumptieFactor (PJ per km)],TableECFTransport[Index],CONCATENATE($A6,"_CNG_CNG"))</f>
        <v>2.5896683361399821E-4</v>
      </c>
      <c r="E6" s="865">
        <f>vkm_GW_PW*SUMIFS(TableVerdeelsleutelVkm[LPG],TableVerdeelsleutelVkm[Voertuigtype],"Lichte voertuigen")*SUMIFS(TableECFTransport[EnergieConsumptieFactor (PJ per km)],TableECFTransport[Index],CONCATENATE($A6,"_LPG_LPG"))</f>
        <v>4.4458138571901114E-4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0.13622619277656769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4.3999546844307402E-2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9.2544604884273862E-3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9.3316926188130644E-2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1.5610224338885934E-6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5.45209329836865E-3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8.4764346832490001E-6</v>
      </c>
      <c r="C8" s="423"/>
      <c r="D8" s="425">
        <f>vkm_NGW_PW*SUMIFS(TableVerdeelsleutelVkm[CNG],TableVerdeelsleutelVkm[Voertuigtype],"Lichte voertuigen")*SUMIFS(TableECFTransport[EnergieConsumptieFactor (PJ per km)],TableECFTransport[Index],CONCATENATE($A8,"_CNG_CNG"))</f>
        <v>3.5505838111845502E-5</v>
      </c>
      <c r="E8" s="425">
        <f>vkm_NGW_PW*SUMIFS(TableVerdeelsleutelVkm[LPG],TableVerdeelsleutelVkm[Voertuigtype],"Lichte voertuigen")*SUMIFS(TableECFTransport[EnergieConsumptieFactor (PJ per km)],TableECFTransport[Index],CONCATENATE($A8,"_LPG_LPG"))</f>
        <v>5.7886016961602723E-5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1.6684123954168642E-2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5.8999060883862262E-3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1.1484762868430561E-3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3.3340997524411715E-3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6.870559961785673E-8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1.9479701260323792E-4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8.9762056651488106E-5</v>
      </c>
      <c r="C10" s="423"/>
      <c r="D10" s="425">
        <f>vkm_SW_PW*SUMIFS(TableVerdeelsleutelVkm[CNG],TableVerdeelsleutelVkm[Voertuigtype],"Lichte voertuigen")*SUMIFS(TableECFTransport[EnergieConsumptieFactor (PJ per km)],TableECFTransport[Index],CONCATENATE($A10,"_CNG_CNG"))</f>
        <v>2.22336377100998E-4</v>
      </c>
      <c r="E10" s="425">
        <f>vkm_SW_PW*SUMIFS(TableVerdeelsleutelVkm[LPG],TableVerdeelsleutelVkm[Voertuigtype],"Lichte voertuigen")*SUMIFS(TableECFTransport[EnergieConsumptieFactor (PJ per km)],TableECFTransport[Index],CONCATENATE($A10,"_LPG_LPG"))</f>
        <v>4.7590486853217508E-4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0.13045915167621888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3.9431037421062645E-2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8.783014497697238E-3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0.18596877472306836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3.3139298586074842E-6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1.0865335042099451E-2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56.315162372196774</v>
      </c>
      <c r="C14" s="21"/>
      <c r="D14" s="21">
        <f t="shared" ref="D14:M14" si="0">((D5)*10^9/3600)+D12</f>
        <v>143.55806911856715</v>
      </c>
      <c r="E14" s="21">
        <f t="shared" si="0"/>
        <v>271.77007533688578</v>
      </c>
      <c r="F14" s="21"/>
      <c r="G14" s="21">
        <f t="shared" si="0"/>
        <v>157219.24140849872</v>
      </c>
      <c r="H14" s="21">
        <f t="shared" si="0"/>
        <v>24815.398336569</v>
      </c>
      <c r="I14" s="21"/>
      <c r="J14" s="21"/>
      <c r="K14" s="21"/>
      <c r="L14" s="21"/>
      <c r="M14" s="21">
        <f t="shared" si="0"/>
        <v>9916.1601738997288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0.19895709360781111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11.204301031624235</v>
      </c>
      <c r="C18" s="23"/>
      <c r="D18" s="23">
        <f t="shared" ref="D18:M18" si="1">D14*D16</f>
        <v>28.998729961950566</v>
      </c>
      <c r="E18" s="23">
        <f t="shared" si="1"/>
        <v>61.691807101473074</v>
      </c>
      <c r="F18" s="23"/>
      <c r="G18" s="23">
        <f t="shared" si="1"/>
        <v>41977.537456069163</v>
      </c>
      <c r="H18" s="23">
        <f t="shared" si="1"/>
        <v>6179.0341858056809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6.0298565399999997E-3</v>
      </c>
      <c r="C50" s="319">
        <f t="shared" ref="C50:P50" si="2">SUM(C51:C52)</f>
        <v>0</v>
      </c>
      <c r="D50" s="319">
        <f t="shared" si="2"/>
        <v>0</v>
      </c>
      <c r="E50" s="319">
        <f t="shared" si="2"/>
        <v>0</v>
      </c>
      <c r="F50" s="319">
        <f t="shared" si="2"/>
        <v>0</v>
      </c>
      <c r="G50" s="319">
        <f t="shared" si="2"/>
        <v>5.3299943582001E-3</v>
      </c>
      <c r="H50" s="319">
        <f t="shared" si="2"/>
        <v>0</v>
      </c>
      <c r="I50" s="319">
        <f t="shared" si="2"/>
        <v>0</v>
      </c>
      <c r="J50" s="319">
        <f t="shared" si="2"/>
        <v>0</v>
      </c>
      <c r="K50" s="319">
        <f t="shared" si="2"/>
        <v>0</v>
      </c>
      <c r="L50" s="319">
        <f t="shared" si="2"/>
        <v>0</v>
      </c>
      <c r="M50" s="319">
        <f t="shared" si="2"/>
        <v>3.0269728265713304E-4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5.3299943582001E-3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3.0269728265713304E-4</v>
      </c>
      <c r="N51" s="321"/>
      <c r="O51" s="321"/>
      <c r="P51" s="324"/>
    </row>
    <row r="52" spans="1:18">
      <c r="A52" s="4" t="s">
        <v>329</v>
      </c>
      <c r="B52" s="866">
        <f>vkm_tram*SUMIFS(TableECFTransport[EnergieConsumptieFactor (PJ per km)],TableECFTransport[Index],"Tram_gemiddeld_Electric_Electric")</f>
        <v>6.0298565399999997E-3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1674.9601500000001</v>
      </c>
      <c r="C54" s="21">
        <f t="shared" ref="C54:P54" si="3">(C50)*10^9/3600</f>
        <v>0</v>
      </c>
      <c r="D54" s="21">
        <f t="shared" si="3"/>
        <v>0</v>
      </c>
      <c r="E54" s="21">
        <f t="shared" si="3"/>
        <v>0</v>
      </c>
      <c r="F54" s="21">
        <f t="shared" si="3"/>
        <v>0</v>
      </c>
      <c r="G54" s="21">
        <f t="shared" si="3"/>
        <v>1480.5539883889167</v>
      </c>
      <c r="H54" s="21">
        <f t="shared" si="3"/>
        <v>0</v>
      </c>
      <c r="I54" s="21">
        <f t="shared" si="3"/>
        <v>0</v>
      </c>
      <c r="J54" s="21">
        <f t="shared" si="3"/>
        <v>0</v>
      </c>
      <c r="K54" s="21">
        <f t="shared" si="3"/>
        <v>0</v>
      </c>
      <c r="L54" s="21">
        <f t="shared" si="3"/>
        <v>0</v>
      </c>
      <c r="M54" s="21">
        <f t="shared" si="3"/>
        <v>84.082578515870296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0.19895709360781111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333.24520335290333</v>
      </c>
      <c r="C58" s="23">
        <f t="shared" ref="C58:P58" ca="1" si="4">C54*C56</f>
        <v>0</v>
      </c>
      <c r="D58" s="23">
        <f t="shared" si="4"/>
        <v>0</v>
      </c>
      <c r="E58" s="23">
        <f t="shared" si="4"/>
        <v>0</v>
      </c>
      <c r="F58" s="23">
        <f t="shared" si="4"/>
        <v>0</v>
      </c>
      <c r="G58" s="23">
        <f t="shared" si="4"/>
        <v>395.3079148998408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35751.226338</v>
      </c>
      <c r="D10" s="979">
        <f ca="1">tertiair!C16</f>
        <v>0</v>
      </c>
      <c r="E10" s="979">
        <f ca="1">tertiair!D16</f>
        <v>35587.007870766007</v>
      </c>
      <c r="F10" s="979">
        <f>tertiair!E16</f>
        <v>548.43734146731242</v>
      </c>
      <c r="G10" s="979">
        <f ca="1">tertiair!F16</f>
        <v>5772.0364867849112</v>
      </c>
      <c r="H10" s="979">
        <f>tertiair!G16</f>
        <v>0</v>
      </c>
      <c r="I10" s="979">
        <f>tertiair!H16</f>
        <v>0</v>
      </c>
      <c r="J10" s="979">
        <f>tertiair!I16</f>
        <v>0</v>
      </c>
      <c r="K10" s="979">
        <f>tertiair!J16</f>
        <v>0.10448103203508373</v>
      </c>
      <c r="L10" s="979">
        <f>tertiair!K16</f>
        <v>0</v>
      </c>
      <c r="M10" s="979">
        <f ca="1">tertiair!L16</f>
        <v>0</v>
      </c>
      <c r="N10" s="979">
        <f>tertiair!M16</f>
        <v>0</v>
      </c>
      <c r="O10" s="979">
        <f ca="1">tertiair!N16</f>
        <v>4130.5331693508961</v>
      </c>
      <c r="P10" s="979">
        <f>tertiair!O16</f>
        <v>15.633333333333333</v>
      </c>
      <c r="Q10" s="980">
        <f>tertiair!P16</f>
        <v>19.066666666666666</v>
      </c>
      <c r="R10" s="674">
        <f ca="1">SUM(C10:Q10)</f>
        <v>81824.045687401158</v>
      </c>
      <c r="S10" s="67"/>
    </row>
    <row r="11" spans="1:19" s="447" customFormat="1">
      <c r="A11" s="783" t="s">
        <v>224</v>
      </c>
      <c r="B11" s="788"/>
      <c r="C11" s="979">
        <f>huishoudens!B8</f>
        <v>50236.571405399176</v>
      </c>
      <c r="D11" s="979">
        <f>huishoudens!C8</f>
        <v>0</v>
      </c>
      <c r="E11" s="979">
        <f>huishoudens!D8</f>
        <v>73110.666462899899</v>
      </c>
      <c r="F11" s="979">
        <f>huishoudens!E8</f>
        <v>3603.4394227953194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3554.0335071004865</v>
      </c>
      <c r="P11" s="979">
        <f>huishoudens!O8</f>
        <v>247.00666666666669</v>
      </c>
      <c r="Q11" s="980">
        <f>huishoudens!P8</f>
        <v>457.6</v>
      </c>
      <c r="R11" s="674">
        <f>SUM(C11:Q11)</f>
        <v>131209.31746486152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2833.9917469999996</v>
      </c>
      <c r="D13" s="979">
        <f>industrie!C18</f>
        <v>0</v>
      </c>
      <c r="E13" s="979">
        <f>industrie!D18</f>
        <v>3390.8545170280004</v>
      </c>
      <c r="F13" s="979">
        <f>industrie!E18</f>
        <v>497.62494100249933</v>
      </c>
      <c r="G13" s="979">
        <f>industrie!F18</f>
        <v>1435.0696593235928</v>
      </c>
      <c r="H13" s="979">
        <f>industrie!G18</f>
        <v>0</v>
      </c>
      <c r="I13" s="979">
        <f>industrie!H18</f>
        <v>0</v>
      </c>
      <c r="J13" s="979">
        <f>industrie!I18</f>
        <v>0</v>
      </c>
      <c r="K13" s="979">
        <f>industrie!J18</f>
        <v>0.23809011880436012</v>
      </c>
      <c r="L13" s="979">
        <f>industrie!K18</f>
        <v>0</v>
      </c>
      <c r="M13" s="979">
        <f>industrie!L18</f>
        <v>0</v>
      </c>
      <c r="N13" s="979">
        <f>industrie!M18</f>
        <v>0</v>
      </c>
      <c r="O13" s="979">
        <f>industrie!N18</f>
        <v>209.91156701398728</v>
      </c>
      <c r="P13" s="979">
        <f>industrie!O18</f>
        <v>0</v>
      </c>
      <c r="Q13" s="980">
        <f>industrie!P18</f>
        <v>0</v>
      </c>
      <c r="R13" s="674">
        <f>SUM(C13:Q13)</f>
        <v>8367.6905214868839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88821.789490399169</v>
      </c>
      <c r="D16" s="706">
        <f t="shared" ref="D16:R16" ca="1" si="0">SUM(D9:D15)</f>
        <v>0</v>
      </c>
      <c r="E16" s="706">
        <f t="shared" ca="1" si="0"/>
        <v>112088.5288506939</v>
      </c>
      <c r="F16" s="706">
        <f t="shared" si="0"/>
        <v>4649.501705265131</v>
      </c>
      <c r="G16" s="706">
        <f t="shared" ca="1" si="0"/>
        <v>7207.1061461085037</v>
      </c>
      <c r="H16" s="706">
        <f t="shared" si="0"/>
        <v>0</v>
      </c>
      <c r="I16" s="706">
        <f t="shared" si="0"/>
        <v>0</v>
      </c>
      <c r="J16" s="706">
        <f t="shared" si="0"/>
        <v>0</v>
      </c>
      <c r="K16" s="706">
        <f t="shared" si="0"/>
        <v>0.34257115083944384</v>
      </c>
      <c r="L16" s="706">
        <f t="shared" si="0"/>
        <v>0</v>
      </c>
      <c r="M16" s="706">
        <f t="shared" ca="1" si="0"/>
        <v>0</v>
      </c>
      <c r="N16" s="706">
        <f t="shared" si="0"/>
        <v>0</v>
      </c>
      <c r="O16" s="706">
        <f t="shared" ca="1" si="0"/>
        <v>7894.4782434653698</v>
      </c>
      <c r="P16" s="706">
        <f t="shared" si="0"/>
        <v>262.64000000000004</v>
      </c>
      <c r="Q16" s="706">
        <f t="shared" si="0"/>
        <v>476.66666666666669</v>
      </c>
      <c r="R16" s="706">
        <f t="shared" ca="1" si="0"/>
        <v>221401.05367374959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1674.9601500000001</v>
      </c>
      <c r="D19" s="979">
        <f>transport!C54</f>
        <v>0</v>
      </c>
      <c r="E19" s="979">
        <f>transport!D54</f>
        <v>0</v>
      </c>
      <c r="F19" s="979">
        <f>transport!E54</f>
        <v>0</v>
      </c>
      <c r="G19" s="979">
        <f>transport!F54</f>
        <v>0</v>
      </c>
      <c r="H19" s="979">
        <f>transport!G54</f>
        <v>1480.5539883889167</v>
      </c>
      <c r="I19" s="979">
        <f>transport!H54</f>
        <v>0</v>
      </c>
      <c r="J19" s="979">
        <f>transport!I54</f>
        <v>0</v>
      </c>
      <c r="K19" s="979">
        <f>transport!J54</f>
        <v>0</v>
      </c>
      <c r="L19" s="979">
        <f>transport!K54</f>
        <v>0</v>
      </c>
      <c r="M19" s="979">
        <f>transport!L54</f>
        <v>0</v>
      </c>
      <c r="N19" s="979">
        <f>transport!M54</f>
        <v>84.082578515870296</v>
      </c>
      <c r="O19" s="979">
        <f>transport!N54</f>
        <v>0</v>
      </c>
      <c r="P19" s="979">
        <f>transport!O54</f>
        <v>0</v>
      </c>
      <c r="Q19" s="980">
        <f>transport!P54</f>
        <v>0</v>
      </c>
      <c r="R19" s="674">
        <f>SUM(C19:Q19)</f>
        <v>3239.5967169047872</v>
      </c>
      <c r="S19" s="67"/>
    </row>
    <row r="20" spans="1:19" s="447" customFormat="1">
      <c r="A20" s="783" t="s">
        <v>306</v>
      </c>
      <c r="B20" s="788"/>
      <c r="C20" s="979">
        <f>transport!B14</f>
        <v>56.315162372196774</v>
      </c>
      <c r="D20" s="979">
        <f>transport!C14</f>
        <v>0</v>
      </c>
      <c r="E20" s="979">
        <f>transport!D14</f>
        <v>143.55806911856715</v>
      </c>
      <c r="F20" s="979">
        <f>transport!E14</f>
        <v>271.77007533688578</v>
      </c>
      <c r="G20" s="979">
        <f>transport!F14</f>
        <v>0</v>
      </c>
      <c r="H20" s="979">
        <f>transport!G14</f>
        <v>157219.24140849872</v>
      </c>
      <c r="I20" s="979">
        <f>transport!H14</f>
        <v>24815.398336569</v>
      </c>
      <c r="J20" s="979">
        <f>transport!I14</f>
        <v>0</v>
      </c>
      <c r="K20" s="979">
        <f>transport!J14</f>
        <v>0</v>
      </c>
      <c r="L20" s="979">
        <f>transport!K14</f>
        <v>0</v>
      </c>
      <c r="M20" s="979">
        <f>transport!L14</f>
        <v>0</v>
      </c>
      <c r="N20" s="979">
        <f>transport!M14</f>
        <v>9916.1601738997288</v>
      </c>
      <c r="O20" s="979">
        <f>transport!N14</f>
        <v>0</v>
      </c>
      <c r="P20" s="979">
        <f>transport!O14</f>
        <v>0</v>
      </c>
      <c r="Q20" s="980">
        <f>transport!P14</f>
        <v>0</v>
      </c>
      <c r="R20" s="674">
        <f>SUM(C20:Q20)</f>
        <v>192422.44322579508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1731.2753123721968</v>
      </c>
      <c r="D22" s="786">
        <f t="shared" ref="D22:R22" si="1">SUM(D18:D21)</f>
        <v>0</v>
      </c>
      <c r="E22" s="786">
        <f t="shared" si="1"/>
        <v>143.55806911856715</v>
      </c>
      <c r="F22" s="786">
        <f t="shared" si="1"/>
        <v>271.77007533688578</v>
      </c>
      <c r="G22" s="786">
        <f t="shared" si="1"/>
        <v>0</v>
      </c>
      <c r="H22" s="786">
        <f t="shared" si="1"/>
        <v>158699.79539688764</v>
      </c>
      <c r="I22" s="786">
        <f t="shared" si="1"/>
        <v>24815.398336569</v>
      </c>
      <c r="J22" s="786">
        <f t="shared" si="1"/>
        <v>0</v>
      </c>
      <c r="K22" s="786">
        <f t="shared" si="1"/>
        <v>0</v>
      </c>
      <c r="L22" s="786">
        <f t="shared" si="1"/>
        <v>0</v>
      </c>
      <c r="M22" s="786">
        <f t="shared" si="1"/>
        <v>0</v>
      </c>
      <c r="N22" s="786">
        <f t="shared" si="1"/>
        <v>10000.242752415599</v>
      </c>
      <c r="O22" s="786">
        <f t="shared" si="1"/>
        <v>0</v>
      </c>
      <c r="P22" s="786">
        <f t="shared" si="1"/>
        <v>0</v>
      </c>
      <c r="Q22" s="786">
        <f t="shared" si="1"/>
        <v>0</v>
      </c>
      <c r="R22" s="786">
        <f t="shared" si="1"/>
        <v>195662.03994269986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2782.1461800000002</v>
      </c>
      <c r="D24" s="979">
        <f>+landbouw!C8</f>
        <v>0</v>
      </c>
      <c r="E24" s="979">
        <f>+landbouw!D8</f>
        <v>252.07201800000001</v>
      </c>
      <c r="F24" s="979">
        <f>+landbouw!E8</f>
        <v>81.775773885445844</v>
      </c>
      <c r="G24" s="979">
        <f>+landbouw!F8</f>
        <v>11590.270646591394</v>
      </c>
      <c r="H24" s="979">
        <f>+landbouw!G8</f>
        <v>0</v>
      </c>
      <c r="I24" s="979">
        <f>+landbouw!H8</f>
        <v>0</v>
      </c>
      <c r="J24" s="979">
        <f>+landbouw!I8</f>
        <v>0</v>
      </c>
      <c r="K24" s="979">
        <f>+landbouw!J8</f>
        <v>403.07323420886422</v>
      </c>
      <c r="L24" s="979">
        <f>+landbouw!K8</f>
        <v>0</v>
      </c>
      <c r="M24" s="979">
        <f>+landbouw!L8</f>
        <v>0</v>
      </c>
      <c r="N24" s="979">
        <f>+landbouw!M8</f>
        <v>0</v>
      </c>
      <c r="O24" s="979">
        <f>+landbouw!N8</f>
        <v>0</v>
      </c>
      <c r="P24" s="979">
        <f>+landbouw!O8</f>
        <v>0</v>
      </c>
      <c r="Q24" s="980">
        <f>+landbouw!P8</f>
        <v>0</v>
      </c>
      <c r="R24" s="674">
        <f>SUM(C24:Q24)</f>
        <v>15109.337852685705</v>
      </c>
      <c r="S24" s="67"/>
    </row>
    <row r="25" spans="1:19" s="447" customFormat="1" ht="15" thickBot="1">
      <c r="A25" s="805" t="s">
        <v>823</v>
      </c>
      <c r="B25" s="982"/>
      <c r="C25" s="983">
        <f>IF(Onbekend_ele_kWh="---",0,Onbekend_ele_kWh)/1000+IF(REST_rest_ele_kWh="---",0,REST_rest_ele_kWh)/1000</f>
        <v>5720.487091</v>
      </c>
      <c r="D25" s="983"/>
      <c r="E25" s="983">
        <f>IF(onbekend_gas_kWh="---",0,onbekend_gas_kWh)/1000+IF(REST_rest_gas_kWh="---",0,REST_rest_gas_kWh)/1000</f>
        <v>7880.9854500000001</v>
      </c>
      <c r="F25" s="983"/>
      <c r="G25" s="983"/>
      <c r="H25" s="983"/>
      <c r="I25" s="983"/>
      <c r="J25" s="983"/>
      <c r="K25" s="983"/>
      <c r="L25" s="983"/>
      <c r="M25" s="983"/>
      <c r="N25" s="983"/>
      <c r="O25" s="983"/>
      <c r="P25" s="983"/>
      <c r="Q25" s="984"/>
      <c r="R25" s="674">
        <f>SUM(C25:Q25)</f>
        <v>13601.472540999999</v>
      </c>
      <c r="S25" s="67"/>
    </row>
    <row r="26" spans="1:19" s="447" customFormat="1" ht="15.75" thickBot="1">
      <c r="A26" s="679" t="s">
        <v>824</v>
      </c>
      <c r="B26" s="791"/>
      <c r="C26" s="786">
        <f>SUM(C24:C25)</f>
        <v>8502.6332710000006</v>
      </c>
      <c r="D26" s="786">
        <f t="shared" ref="D26:R26" si="2">SUM(D24:D25)</f>
        <v>0</v>
      </c>
      <c r="E26" s="786">
        <f t="shared" si="2"/>
        <v>8133.057468</v>
      </c>
      <c r="F26" s="786">
        <f t="shared" si="2"/>
        <v>81.775773885445844</v>
      </c>
      <c r="G26" s="786">
        <f t="shared" si="2"/>
        <v>11590.270646591394</v>
      </c>
      <c r="H26" s="786">
        <f t="shared" si="2"/>
        <v>0</v>
      </c>
      <c r="I26" s="786">
        <f t="shared" si="2"/>
        <v>0</v>
      </c>
      <c r="J26" s="786">
        <f t="shared" si="2"/>
        <v>0</v>
      </c>
      <c r="K26" s="786">
        <f t="shared" si="2"/>
        <v>403.07323420886422</v>
      </c>
      <c r="L26" s="786">
        <f t="shared" si="2"/>
        <v>0</v>
      </c>
      <c r="M26" s="786">
        <f t="shared" si="2"/>
        <v>0</v>
      </c>
      <c r="N26" s="786">
        <f t="shared" si="2"/>
        <v>0</v>
      </c>
      <c r="O26" s="786">
        <f t="shared" si="2"/>
        <v>0</v>
      </c>
      <c r="P26" s="786">
        <f t="shared" si="2"/>
        <v>0</v>
      </c>
      <c r="Q26" s="786">
        <f t="shared" si="2"/>
        <v>0</v>
      </c>
      <c r="R26" s="786">
        <f t="shared" si="2"/>
        <v>28710.810393685704</v>
      </c>
      <c r="S26" s="67"/>
    </row>
    <row r="27" spans="1:19" s="447" customFormat="1" ht="17.25" thickTop="1" thickBot="1">
      <c r="A27" s="680" t="s">
        <v>115</v>
      </c>
      <c r="B27" s="779"/>
      <c r="C27" s="681">
        <f ca="1">C22+C16+C26</f>
        <v>99055.69807377136</v>
      </c>
      <c r="D27" s="681">
        <f t="shared" ref="D27:R27" ca="1" si="3">D22+D16+D26</f>
        <v>0</v>
      </c>
      <c r="E27" s="681">
        <f t="shared" ca="1" si="3"/>
        <v>120365.14438781246</v>
      </c>
      <c r="F27" s="681">
        <f t="shared" si="3"/>
        <v>5003.0475544874625</v>
      </c>
      <c r="G27" s="681">
        <f t="shared" ca="1" si="3"/>
        <v>18797.376792699899</v>
      </c>
      <c r="H27" s="681">
        <f t="shared" si="3"/>
        <v>158699.79539688764</v>
      </c>
      <c r="I27" s="681">
        <f t="shared" si="3"/>
        <v>24815.398336569</v>
      </c>
      <c r="J27" s="681">
        <f t="shared" si="3"/>
        <v>0</v>
      </c>
      <c r="K27" s="681">
        <f t="shared" si="3"/>
        <v>403.41580535970365</v>
      </c>
      <c r="L27" s="681">
        <f t="shared" si="3"/>
        <v>0</v>
      </c>
      <c r="M27" s="681">
        <f t="shared" ca="1" si="3"/>
        <v>0</v>
      </c>
      <c r="N27" s="681">
        <f t="shared" si="3"/>
        <v>10000.242752415599</v>
      </c>
      <c r="O27" s="681">
        <f t="shared" ca="1" si="3"/>
        <v>7894.4782434653698</v>
      </c>
      <c r="P27" s="681">
        <f t="shared" si="3"/>
        <v>262.64000000000004</v>
      </c>
      <c r="Q27" s="681">
        <f t="shared" si="3"/>
        <v>476.66666666666669</v>
      </c>
      <c r="R27" s="681">
        <f t="shared" ca="1" si="3"/>
        <v>445773.90401013516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7112.9600851235082</v>
      </c>
      <c r="D40" s="979">
        <f ca="1">tertiair!C20</f>
        <v>0</v>
      </c>
      <c r="E40" s="979">
        <f ca="1">tertiair!D20</f>
        <v>7188.5755898947336</v>
      </c>
      <c r="F40" s="979">
        <f>tertiair!E20</f>
        <v>124.49527651307993</v>
      </c>
      <c r="G40" s="979">
        <f ca="1">tertiair!F20</f>
        <v>1541.1337419715715</v>
      </c>
      <c r="H40" s="979">
        <f>tertiair!G20</f>
        <v>0</v>
      </c>
      <c r="I40" s="979">
        <f>tertiair!H20</f>
        <v>0</v>
      </c>
      <c r="J40" s="979">
        <f>tertiair!I20</f>
        <v>0</v>
      </c>
      <c r="K40" s="979">
        <f>tertiair!J20</f>
        <v>3.6986285340419638E-2</v>
      </c>
      <c r="L40" s="979">
        <f>tertiair!K20</f>
        <v>0</v>
      </c>
      <c r="M40" s="979">
        <f ca="1">tertiair!L20</f>
        <v>0</v>
      </c>
      <c r="N40" s="979">
        <f>tertiair!M20</f>
        <v>0</v>
      </c>
      <c r="O40" s="979">
        <f ca="1">tertiair!N20</f>
        <v>0</v>
      </c>
      <c r="P40" s="979">
        <f>tertiair!O20</f>
        <v>0</v>
      </c>
      <c r="Q40" s="748">
        <f>tertiair!P20</f>
        <v>0</v>
      </c>
      <c r="R40" s="824">
        <f t="shared" ca="1" si="4"/>
        <v>15967.201679788233</v>
      </c>
    </row>
    <row r="41" spans="1:18">
      <c r="A41" s="796" t="s">
        <v>224</v>
      </c>
      <c r="B41" s="803"/>
      <c r="C41" s="979">
        <f ca="1">huishoudens!B12</f>
        <v>9994.9222396394907</v>
      </c>
      <c r="D41" s="979">
        <f ca="1">huishoudens!C12</f>
        <v>0</v>
      </c>
      <c r="E41" s="979">
        <f>huishoudens!D12</f>
        <v>14768.354625505781</v>
      </c>
      <c r="F41" s="979">
        <f>huishoudens!E12</f>
        <v>817.98074897453751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25581.257614119808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563.842761291643</v>
      </c>
      <c r="D43" s="979">
        <f ca="1">industrie!C22</f>
        <v>0</v>
      </c>
      <c r="E43" s="979">
        <f>industrie!D22</f>
        <v>684.95261243965615</v>
      </c>
      <c r="F43" s="979">
        <f>industrie!E22</f>
        <v>112.96086160756735</v>
      </c>
      <c r="G43" s="979">
        <f>industrie!F22</f>
        <v>383.16359903939929</v>
      </c>
      <c r="H43" s="979">
        <f>industrie!G22</f>
        <v>0</v>
      </c>
      <c r="I43" s="979">
        <f>industrie!H22</f>
        <v>0</v>
      </c>
      <c r="J43" s="979">
        <f>industrie!I22</f>
        <v>0</v>
      </c>
      <c r="K43" s="979">
        <f>industrie!J22</f>
        <v>8.4283902056743479E-2</v>
      </c>
      <c r="L43" s="979">
        <f>industrie!K22</f>
        <v>0</v>
      </c>
      <c r="M43" s="979">
        <f>industrie!L22</f>
        <v>0</v>
      </c>
      <c r="N43" s="979">
        <f>industrie!M22</f>
        <v>0</v>
      </c>
      <c r="O43" s="979">
        <f>industrie!N22</f>
        <v>0</v>
      </c>
      <c r="P43" s="979">
        <f>industrie!O22</f>
        <v>0</v>
      </c>
      <c r="Q43" s="748">
        <f>industrie!P22</f>
        <v>0</v>
      </c>
      <c r="R43" s="823">
        <f t="shared" ca="1" si="4"/>
        <v>1745.0041182803225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17671.725086054641</v>
      </c>
      <c r="D46" s="706">
        <f t="shared" ref="D46:Q46" ca="1" si="5">SUM(D39:D45)</f>
        <v>0</v>
      </c>
      <c r="E46" s="706">
        <f t="shared" ca="1" si="5"/>
        <v>22641.882827840171</v>
      </c>
      <c r="F46" s="706">
        <f t="shared" si="5"/>
        <v>1055.4368870951848</v>
      </c>
      <c r="G46" s="706">
        <f t="shared" ca="1" si="5"/>
        <v>1924.2973410109707</v>
      </c>
      <c r="H46" s="706">
        <f t="shared" si="5"/>
        <v>0</v>
      </c>
      <c r="I46" s="706">
        <f t="shared" si="5"/>
        <v>0</v>
      </c>
      <c r="J46" s="706">
        <f t="shared" si="5"/>
        <v>0</v>
      </c>
      <c r="K46" s="706">
        <f t="shared" si="5"/>
        <v>0.12127018739716311</v>
      </c>
      <c r="L46" s="706">
        <f t="shared" si="5"/>
        <v>0</v>
      </c>
      <c r="M46" s="706">
        <f t="shared" ca="1" si="5"/>
        <v>0</v>
      </c>
      <c r="N46" s="706">
        <f t="shared" si="5"/>
        <v>0</v>
      </c>
      <c r="O46" s="706">
        <f t="shared" ca="1" si="5"/>
        <v>0</v>
      </c>
      <c r="P46" s="706">
        <f t="shared" si="5"/>
        <v>0</v>
      </c>
      <c r="Q46" s="706">
        <f t="shared" si="5"/>
        <v>0</v>
      </c>
      <c r="R46" s="706">
        <f ca="1">SUM(R39:R45)</f>
        <v>43293.463412188365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333.24520335290333</v>
      </c>
      <c r="D49" s="979">
        <f ca="1">transport!C58</f>
        <v>0</v>
      </c>
      <c r="E49" s="979">
        <f>transport!D58</f>
        <v>0</v>
      </c>
      <c r="F49" s="979">
        <f>transport!E58</f>
        <v>0</v>
      </c>
      <c r="G49" s="979">
        <f>transport!F58</f>
        <v>0</v>
      </c>
      <c r="H49" s="979">
        <f>transport!G58</f>
        <v>395.3079148998408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728.55311825274407</v>
      </c>
    </row>
    <row r="50" spans="1:18">
      <c r="A50" s="799" t="s">
        <v>306</v>
      </c>
      <c r="B50" s="809"/>
      <c r="C50" s="677">
        <f ca="1">transport!B18</f>
        <v>11.204301031624235</v>
      </c>
      <c r="D50" s="677">
        <f>transport!C18</f>
        <v>0</v>
      </c>
      <c r="E50" s="677">
        <f>transport!D18</f>
        <v>28.998729961950566</v>
      </c>
      <c r="F50" s="677">
        <f>transport!E18</f>
        <v>61.691807101473074</v>
      </c>
      <c r="G50" s="677">
        <f>transport!F18</f>
        <v>0</v>
      </c>
      <c r="H50" s="677">
        <f>transport!G18</f>
        <v>41977.537456069163</v>
      </c>
      <c r="I50" s="677">
        <f>transport!H18</f>
        <v>6179.0341858056809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48258.466479969888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344.44950438452759</v>
      </c>
      <c r="D52" s="706">
        <f t="shared" ref="D52:Q52" ca="1" si="6">SUM(D48:D51)</f>
        <v>0</v>
      </c>
      <c r="E52" s="706">
        <f t="shared" si="6"/>
        <v>28.998729961950566</v>
      </c>
      <c r="F52" s="706">
        <f t="shared" si="6"/>
        <v>61.691807101473074</v>
      </c>
      <c r="G52" s="706">
        <f t="shared" si="6"/>
        <v>0</v>
      </c>
      <c r="H52" s="706">
        <f t="shared" si="6"/>
        <v>42372.845370969007</v>
      </c>
      <c r="I52" s="706">
        <f t="shared" si="6"/>
        <v>6179.0341858056809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48987.019598222629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553.52771796487411</v>
      </c>
      <c r="D54" s="677">
        <f ca="1">+landbouw!C12</f>
        <v>0</v>
      </c>
      <c r="E54" s="677">
        <f>+landbouw!D12</f>
        <v>50.918547636000007</v>
      </c>
      <c r="F54" s="677">
        <f>+landbouw!E12</f>
        <v>18.563100671996207</v>
      </c>
      <c r="G54" s="677">
        <f>+landbouw!F12</f>
        <v>3094.6022626399026</v>
      </c>
      <c r="H54" s="677">
        <f>+landbouw!G12</f>
        <v>0</v>
      </c>
      <c r="I54" s="677">
        <f>+landbouw!H12</f>
        <v>0</v>
      </c>
      <c r="J54" s="677">
        <f>+landbouw!I12</f>
        <v>0</v>
      </c>
      <c r="K54" s="677">
        <f>+landbouw!J12</f>
        <v>142.68792490993792</v>
      </c>
      <c r="L54" s="677">
        <f>+landbouw!K12</f>
        <v>0</v>
      </c>
      <c r="M54" s="677">
        <f>+landbouw!L12</f>
        <v>0</v>
      </c>
      <c r="N54" s="677">
        <f>+landbouw!M12</f>
        <v>0</v>
      </c>
      <c r="O54" s="677">
        <f>+landbouw!N12</f>
        <v>0</v>
      </c>
      <c r="P54" s="677">
        <f>+landbouw!O12</f>
        <v>0</v>
      </c>
      <c r="Q54" s="678">
        <f>+landbouw!P12</f>
        <v>0</v>
      </c>
      <c r="R54" s="705">
        <f ca="1">SUM(C54:Q54)</f>
        <v>3860.299553822711</v>
      </c>
    </row>
    <row r="55" spans="1:18" ht="15" thickBot="1">
      <c r="A55" s="799" t="s">
        <v>823</v>
      </c>
      <c r="B55" s="809"/>
      <c r="C55" s="677">
        <f ca="1">C25*'EF ele_warmte'!B12</f>
        <v>1138.1314856463621</v>
      </c>
      <c r="D55" s="677"/>
      <c r="E55" s="677">
        <f>E25*EF_CO2_aardgas</f>
        <v>1591.9590609000002</v>
      </c>
      <c r="F55" s="677"/>
      <c r="G55" s="677"/>
      <c r="H55" s="677"/>
      <c r="I55" s="677"/>
      <c r="J55" s="677"/>
      <c r="K55" s="677"/>
      <c r="L55" s="677"/>
      <c r="M55" s="677"/>
      <c r="N55" s="677"/>
      <c r="O55" s="677"/>
      <c r="P55" s="677"/>
      <c r="Q55" s="678"/>
      <c r="R55" s="705">
        <f ca="1">SUM(C55:Q55)</f>
        <v>2730.090546546362</v>
      </c>
    </row>
    <row r="56" spans="1:18" ht="15.75" thickBot="1">
      <c r="A56" s="797" t="s">
        <v>824</v>
      </c>
      <c r="B56" s="810"/>
      <c r="C56" s="706">
        <f ca="1">SUM(C54:C55)</f>
        <v>1691.6592036112361</v>
      </c>
      <c r="D56" s="706">
        <f t="shared" ref="D56:Q56" ca="1" si="7">SUM(D54:D55)</f>
        <v>0</v>
      </c>
      <c r="E56" s="706">
        <f t="shared" si="7"/>
        <v>1642.8776085360003</v>
      </c>
      <c r="F56" s="706">
        <f t="shared" si="7"/>
        <v>18.563100671996207</v>
      </c>
      <c r="G56" s="706">
        <f t="shared" si="7"/>
        <v>3094.6022626399026</v>
      </c>
      <c r="H56" s="706">
        <f t="shared" si="7"/>
        <v>0</v>
      </c>
      <c r="I56" s="706">
        <f t="shared" si="7"/>
        <v>0</v>
      </c>
      <c r="J56" s="706">
        <f t="shared" si="7"/>
        <v>0</v>
      </c>
      <c r="K56" s="706">
        <f t="shared" si="7"/>
        <v>142.68792490993792</v>
      </c>
      <c r="L56" s="706">
        <f t="shared" si="7"/>
        <v>0</v>
      </c>
      <c r="M56" s="706">
        <f t="shared" si="7"/>
        <v>0</v>
      </c>
      <c r="N56" s="706">
        <f t="shared" si="7"/>
        <v>0</v>
      </c>
      <c r="O56" s="706">
        <f t="shared" si="7"/>
        <v>0</v>
      </c>
      <c r="P56" s="706">
        <f t="shared" si="7"/>
        <v>0</v>
      </c>
      <c r="Q56" s="707">
        <f t="shared" si="7"/>
        <v>0</v>
      </c>
      <c r="R56" s="708">
        <f ca="1">SUM(R54:R55)</f>
        <v>6590.3901003690735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19707.833794050406</v>
      </c>
      <c r="D61" s="714">
        <f t="shared" ref="D61:Q61" ca="1" si="8">D46+D52+D56</f>
        <v>0</v>
      </c>
      <c r="E61" s="714">
        <f t="shared" ca="1" si="8"/>
        <v>24313.759166338121</v>
      </c>
      <c r="F61" s="714">
        <f t="shared" si="8"/>
        <v>1135.6917948686541</v>
      </c>
      <c r="G61" s="714">
        <f t="shared" ca="1" si="8"/>
        <v>5018.8996036508734</v>
      </c>
      <c r="H61" s="714">
        <f t="shared" si="8"/>
        <v>42372.845370969007</v>
      </c>
      <c r="I61" s="714">
        <f t="shared" si="8"/>
        <v>6179.0341858056809</v>
      </c>
      <c r="J61" s="714">
        <f t="shared" si="8"/>
        <v>0</v>
      </c>
      <c r="K61" s="714">
        <f t="shared" si="8"/>
        <v>142.80919509733508</v>
      </c>
      <c r="L61" s="714">
        <f t="shared" si="8"/>
        <v>0</v>
      </c>
      <c r="M61" s="714">
        <f t="shared" ca="1" si="8"/>
        <v>0</v>
      </c>
      <c r="N61" s="714">
        <f t="shared" si="8"/>
        <v>0</v>
      </c>
      <c r="O61" s="714">
        <f t="shared" ca="1" si="8"/>
        <v>0</v>
      </c>
      <c r="P61" s="714">
        <f t="shared" si="8"/>
        <v>0</v>
      </c>
      <c r="Q61" s="714">
        <f t="shared" si="8"/>
        <v>0</v>
      </c>
      <c r="R61" s="714">
        <f ca="1">R46+R52+R56</f>
        <v>98870.87311078007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0.19895709360781114</v>
      </c>
      <c r="D63" s="755">
        <f t="shared" ca="1" si="9"/>
        <v>0</v>
      </c>
      <c r="E63" s="990">
        <f t="shared" ca="1" si="9"/>
        <v>0.20200000000000004</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4064.9775756009331</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5815.0019730554995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9879.9795486564326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4064.9775756009331</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5815.0019730554995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9879.9795486564326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50236.571405399176</v>
      </c>
      <c r="C4" s="451">
        <f>huishoudens!C8</f>
        <v>0</v>
      </c>
      <c r="D4" s="451">
        <f>huishoudens!D8</f>
        <v>73110.666462899899</v>
      </c>
      <c r="E4" s="451">
        <f>huishoudens!E8</f>
        <v>3603.4394227953194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3554.0335071004865</v>
      </c>
      <c r="O4" s="451">
        <f>huishoudens!O8</f>
        <v>247.00666666666669</v>
      </c>
      <c r="P4" s="452">
        <f>huishoudens!P8</f>
        <v>457.6</v>
      </c>
      <c r="Q4" s="453">
        <f>SUM(B4:P4)</f>
        <v>131209.31746486152</v>
      </c>
    </row>
    <row r="5" spans="1:17">
      <c r="A5" s="450" t="s">
        <v>155</v>
      </c>
      <c r="B5" s="451">
        <f ca="1">tertiair!B16</f>
        <v>33763.089337999998</v>
      </c>
      <c r="C5" s="451">
        <f ca="1">tertiair!C16</f>
        <v>0</v>
      </c>
      <c r="D5" s="451">
        <f ca="1">tertiair!D16</f>
        <v>35587.007870766007</v>
      </c>
      <c r="E5" s="451">
        <f>tertiair!E16</f>
        <v>548.43734146731242</v>
      </c>
      <c r="F5" s="451">
        <f ca="1">tertiair!F16</f>
        <v>5772.0364867849112</v>
      </c>
      <c r="G5" s="451">
        <f>tertiair!G16</f>
        <v>0</v>
      </c>
      <c r="H5" s="451">
        <f>tertiair!H16</f>
        <v>0</v>
      </c>
      <c r="I5" s="451">
        <f>tertiair!I16</f>
        <v>0</v>
      </c>
      <c r="J5" s="451">
        <f>tertiair!J16</f>
        <v>0.10448103203508373</v>
      </c>
      <c r="K5" s="451">
        <f>tertiair!K16</f>
        <v>0</v>
      </c>
      <c r="L5" s="451">
        <f ca="1">tertiair!L16</f>
        <v>0</v>
      </c>
      <c r="M5" s="451">
        <f>tertiair!M16</f>
        <v>0</v>
      </c>
      <c r="N5" s="451">
        <f ca="1">tertiair!N16</f>
        <v>4130.5331693508961</v>
      </c>
      <c r="O5" s="451">
        <f>tertiair!O16</f>
        <v>15.633333333333333</v>
      </c>
      <c r="P5" s="452">
        <f>tertiair!P16</f>
        <v>19.066666666666666</v>
      </c>
      <c r="Q5" s="450">
        <f t="shared" ref="Q5:Q14" ca="1" si="0">SUM(B5:P5)</f>
        <v>79835.908687401155</v>
      </c>
    </row>
    <row r="6" spans="1:17">
      <c r="A6" s="450" t="s">
        <v>193</v>
      </c>
      <c r="B6" s="451">
        <f>'openbare verlichting'!B8</f>
        <v>1988.1369999999999</v>
      </c>
      <c r="C6" s="451"/>
      <c r="D6" s="451"/>
      <c r="E6" s="451"/>
      <c r="F6" s="451"/>
      <c r="G6" s="451"/>
      <c r="H6" s="451"/>
      <c r="I6" s="451"/>
      <c r="J6" s="451"/>
      <c r="K6" s="451"/>
      <c r="L6" s="451"/>
      <c r="M6" s="451"/>
      <c r="N6" s="451"/>
      <c r="O6" s="451"/>
      <c r="P6" s="452"/>
      <c r="Q6" s="450">
        <f t="shared" si="0"/>
        <v>1988.1369999999999</v>
      </c>
    </row>
    <row r="7" spans="1:17">
      <c r="A7" s="450" t="s">
        <v>111</v>
      </c>
      <c r="B7" s="451">
        <f>landbouw!B8</f>
        <v>2782.1461800000002</v>
      </c>
      <c r="C7" s="451">
        <f>landbouw!C8</f>
        <v>0</v>
      </c>
      <c r="D7" s="451">
        <f>landbouw!D8</f>
        <v>252.07201800000001</v>
      </c>
      <c r="E7" s="451">
        <f>landbouw!E8</f>
        <v>81.775773885445844</v>
      </c>
      <c r="F7" s="451">
        <f>landbouw!F8</f>
        <v>11590.270646591394</v>
      </c>
      <c r="G7" s="451">
        <f>landbouw!G8</f>
        <v>0</v>
      </c>
      <c r="H7" s="451">
        <f>landbouw!H8</f>
        <v>0</v>
      </c>
      <c r="I7" s="451">
        <f>landbouw!I8</f>
        <v>0</v>
      </c>
      <c r="J7" s="451">
        <f>landbouw!J8</f>
        <v>403.07323420886422</v>
      </c>
      <c r="K7" s="451">
        <f>landbouw!K8</f>
        <v>0</v>
      </c>
      <c r="L7" s="451">
        <f>landbouw!L8</f>
        <v>0</v>
      </c>
      <c r="M7" s="451">
        <f>landbouw!M8</f>
        <v>0</v>
      </c>
      <c r="N7" s="451">
        <f>landbouw!N8</f>
        <v>0</v>
      </c>
      <c r="O7" s="451">
        <f>landbouw!O8</f>
        <v>0</v>
      </c>
      <c r="P7" s="452">
        <f>landbouw!P8</f>
        <v>0</v>
      </c>
      <c r="Q7" s="450">
        <f t="shared" si="0"/>
        <v>15109.337852685705</v>
      </c>
    </row>
    <row r="8" spans="1:17">
      <c r="A8" s="450" t="s">
        <v>634</v>
      </c>
      <c r="B8" s="451">
        <f>industrie!B18</f>
        <v>2833.9917469999996</v>
      </c>
      <c r="C8" s="451">
        <f>industrie!C18</f>
        <v>0</v>
      </c>
      <c r="D8" s="451">
        <f>industrie!D18</f>
        <v>3390.8545170280004</v>
      </c>
      <c r="E8" s="451">
        <f>industrie!E18</f>
        <v>497.62494100249933</v>
      </c>
      <c r="F8" s="451">
        <f>industrie!F18</f>
        <v>1435.0696593235928</v>
      </c>
      <c r="G8" s="451">
        <f>industrie!G18</f>
        <v>0</v>
      </c>
      <c r="H8" s="451">
        <f>industrie!H18</f>
        <v>0</v>
      </c>
      <c r="I8" s="451">
        <f>industrie!I18</f>
        <v>0</v>
      </c>
      <c r="J8" s="451">
        <f>industrie!J18</f>
        <v>0.23809011880436012</v>
      </c>
      <c r="K8" s="451">
        <f>industrie!K18</f>
        <v>0</v>
      </c>
      <c r="L8" s="451">
        <f>industrie!L18</f>
        <v>0</v>
      </c>
      <c r="M8" s="451">
        <f>industrie!M18</f>
        <v>0</v>
      </c>
      <c r="N8" s="451">
        <f>industrie!N18</f>
        <v>209.91156701398728</v>
      </c>
      <c r="O8" s="451">
        <f>industrie!O18</f>
        <v>0</v>
      </c>
      <c r="P8" s="452">
        <f>industrie!P18</f>
        <v>0</v>
      </c>
      <c r="Q8" s="450">
        <f t="shared" si="0"/>
        <v>8367.6905214868839</v>
      </c>
    </row>
    <row r="9" spans="1:17" s="456" customFormat="1">
      <c r="A9" s="454" t="s">
        <v>560</v>
      </c>
      <c r="B9" s="455">
        <f>transport!B14</f>
        <v>56.315162372196774</v>
      </c>
      <c r="C9" s="455">
        <f>transport!C14</f>
        <v>0</v>
      </c>
      <c r="D9" s="455">
        <f>transport!D14</f>
        <v>143.55806911856715</v>
      </c>
      <c r="E9" s="455">
        <f>transport!E14</f>
        <v>271.77007533688578</v>
      </c>
      <c r="F9" s="455">
        <f>transport!F14</f>
        <v>0</v>
      </c>
      <c r="G9" s="455">
        <f>transport!G14</f>
        <v>157219.24140849872</v>
      </c>
      <c r="H9" s="455">
        <f>transport!H14</f>
        <v>24815.398336569</v>
      </c>
      <c r="I9" s="455">
        <f>transport!I14</f>
        <v>0</v>
      </c>
      <c r="J9" s="455">
        <f>transport!J14</f>
        <v>0</v>
      </c>
      <c r="K9" s="455">
        <f>transport!K14</f>
        <v>0</v>
      </c>
      <c r="L9" s="455">
        <f>transport!L14</f>
        <v>0</v>
      </c>
      <c r="M9" s="455">
        <f>transport!M14</f>
        <v>9916.1601738997288</v>
      </c>
      <c r="N9" s="455">
        <f>transport!N14</f>
        <v>0</v>
      </c>
      <c r="O9" s="455">
        <f>transport!O14</f>
        <v>0</v>
      </c>
      <c r="P9" s="455">
        <f>transport!P14</f>
        <v>0</v>
      </c>
      <c r="Q9" s="454">
        <f>SUM(B9:P9)</f>
        <v>192422.44322579508</v>
      </c>
    </row>
    <row r="10" spans="1:17">
      <c r="A10" s="450" t="s">
        <v>550</v>
      </c>
      <c r="B10" s="451">
        <f>transport!B54</f>
        <v>1674.9601500000001</v>
      </c>
      <c r="C10" s="451">
        <f>transport!C54</f>
        <v>0</v>
      </c>
      <c r="D10" s="451">
        <f>transport!D54</f>
        <v>0</v>
      </c>
      <c r="E10" s="451">
        <f>transport!E54</f>
        <v>0</v>
      </c>
      <c r="F10" s="451">
        <f>transport!F54</f>
        <v>0</v>
      </c>
      <c r="G10" s="451">
        <f>transport!G54</f>
        <v>1480.5539883889167</v>
      </c>
      <c r="H10" s="451">
        <f>transport!H54</f>
        <v>0</v>
      </c>
      <c r="I10" s="451">
        <f>transport!I54</f>
        <v>0</v>
      </c>
      <c r="J10" s="451">
        <f>transport!J54</f>
        <v>0</v>
      </c>
      <c r="K10" s="451">
        <f>transport!K54</f>
        <v>0</v>
      </c>
      <c r="L10" s="451">
        <f>transport!L54</f>
        <v>0</v>
      </c>
      <c r="M10" s="451">
        <f>transport!M54</f>
        <v>84.082578515870296</v>
      </c>
      <c r="N10" s="451">
        <f>transport!N54</f>
        <v>0</v>
      </c>
      <c r="O10" s="451">
        <f>transport!O54</f>
        <v>0</v>
      </c>
      <c r="P10" s="452">
        <f>transport!P54</f>
        <v>0</v>
      </c>
      <c r="Q10" s="450">
        <f t="shared" si="0"/>
        <v>3239.5967169047872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5720.487091</v>
      </c>
      <c r="C14" s="458"/>
      <c r="D14" s="458">
        <f>'SEAP template'!E25</f>
        <v>7880.9854500000001</v>
      </c>
      <c r="E14" s="458"/>
      <c r="F14" s="458"/>
      <c r="G14" s="458"/>
      <c r="H14" s="458"/>
      <c r="I14" s="458"/>
      <c r="J14" s="458"/>
      <c r="K14" s="458"/>
      <c r="L14" s="458"/>
      <c r="M14" s="458"/>
      <c r="N14" s="458"/>
      <c r="O14" s="458"/>
      <c r="P14" s="459"/>
      <c r="Q14" s="450">
        <f t="shared" si="0"/>
        <v>13601.472540999999</v>
      </c>
    </row>
    <row r="15" spans="1:17" s="460" customFormat="1">
      <c r="A15" s="1005" t="s">
        <v>554</v>
      </c>
      <c r="B15" s="953">
        <f ca="1">SUM(B4:B14)</f>
        <v>99055.69807377136</v>
      </c>
      <c r="C15" s="953">
        <f t="shared" ref="C15:Q15" ca="1" si="1">SUM(C4:C14)</f>
        <v>0</v>
      </c>
      <c r="D15" s="953">
        <f t="shared" ca="1" si="1"/>
        <v>120365.14438781247</v>
      </c>
      <c r="E15" s="953">
        <f t="shared" si="1"/>
        <v>5003.0475544874625</v>
      </c>
      <c r="F15" s="953">
        <f t="shared" ca="1" si="1"/>
        <v>18797.376792699899</v>
      </c>
      <c r="G15" s="953">
        <f t="shared" si="1"/>
        <v>158699.79539688764</v>
      </c>
      <c r="H15" s="953">
        <f t="shared" si="1"/>
        <v>24815.398336569</v>
      </c>
      <c r="I15" s="953">
        <f t="shared" si="1"/>
        <v>0</v>
      </c>
      <c r="J15" s="953">
        <f t="shared" si="1"/>
        <v>403.41580535970365</v>
      </c>
      <c r="K15" s="953">
        <f t="shared" si="1"/>
        <v>0</v>
      </c>
      <c r="L15" s="953">
        <f t="shared" ca="1" si="1"/>
        <v>0</v>
      </c>
      <c r="M15" s="953">
        <f t="shared" si="1"/>
        <v>10000.242752415599</v>
      </c>
      <c r="N15" s="953">
        <f t="shared" ca="1" si="1"/>
        <v>7894.4782434653698</v>
      </c>
      <c r="O15" s="953">
        <f t="shared" si="1"/>
        <v>262.64000000000004</v>
      </c>
      <c r="P15" s="953">
        <f t="shared" si="1"/>
        <v>476.66666666666669</v>
      </c>
      <c r="Q15" s="953">
        <f t="shared" ca="1" si="1"/>
        <v>445773.9040101351</v>
      </c>
    </row>
    <row r="17" spans="1:17">
      <c r="A17" s="461" t="s">
        <v>555</v>
      </c>
      <c r="B17" s="760">
        <f ca="1">huishoudens!B10</f>
        <v>0.19895709360781111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9994.9222396394907</v>
      </c>
      <c r="C22" s="451">
        <f t="shared" ref="C22:C32" ca="1" si="3">C4*$C$17</f>
        <v>0</v>
      </c>
      <c r="D22" s="451">
        <f t="shared" ref="D22:D32" si="4">D4*$D$17</f>
        <v>14768.354625505781</v>
      </c>
      <c r="E22" s="451">
        <f t="shared" ref="E22:E32" si="5">E4*$E$17</f>
        <v>817.98074897453751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25581.257614119808</v>
      </c>
    </row>
    <row r="23" spans="1:17">
      <c r="A23" s="450" t="s">
        <v>155</v>
      </c>
      <c r="B23" s="451">
        <f t="shared" ca="1" si="2"/>
        <v>6717.4061259093551</v>
      </c>
      <c r="C23" s="451">
        <f t="shared" ca="1" si="3"/>
        <v>0</v>
      </c>
      <c r="D23" s="451">
        <f t="shared" ca="1" si="4"/>
        <v>7188.5755898947336</v>
      </c>
      <c r="E23" s="451">
        <f t="shared" si="5"/>
        <v>124.49527651307993</v>
      </c>
      <c r="F23" s="451">
        <f t="shared" ca="1" si="6"/>
        <v>1541.1337419715715</v>
      </c>
      <c r="G23" s="451">
        <f t="shared" si="7"/>
        <v>0</v>
      </c>
      <c r="H23" s="451">
        <f t="shared" si="8"/>
        <v>0</v>
      </c>
      <c r="I23" s="451">
        <f t="shared" si="9"/>
        <v>0</v>
      </c>
      <c r="J23" s="451">
        <f t="shared" si="10"/>
        <v>3.6986285340419638E-2</v>
      </c>
      <c r="K23" s="451">
        <f t="shared" si="11"/>
        <v>0</v>
      </c>
      <c r="L23" s="451">
        <f t="shared" ca="1" si="12"/>
        <v>0</v>
      </c>
      <c r="M23" s="451">
        <f t="shared" si="13"/>
        <v>0</v>
      </c>
      <c r="N23" s="451">
        <f t="shared" ca="1" si="14"/>
        <v>0</v>
      </c>
      <c r="O23" s="451">
        <f t="shared" si="15"/>
        <v>0</v>
      </c>
      <c r="P23" s="452">
        <f t="shared" si="16"/>
        <v>0</v>
      </c>
      <c r="Q23" s="450">
        <f t="shared" ref="Q23:Q32" ca="1" si="17">SUM(B23:P23)</f>
        <v>15571.647720574081</v>
      </c>
    </row>
    <row r="24" spans="1:17">
      <c r="A24" s="450" t="s">
        <v>193</v>
      </c>
      <c r="B24" s="451">
        <f t="shared" ca="1" si="2"/>
        <v>395.55395921415277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395.55395921415277</v>
      </c>
    </row>
    <row r="25" spans="1:17">
      <c r="A25" s="450" t="s">
        <v>111</v>
      </c>
      <c r="B25" s="451">
        <f t="shared" ca="1" si="2"/>
        <v>553.52771796487411</v>
      </c>
      <c r="C25" s="451">
        <f t="shared" ca="1" si="3"/>
        <v>0</v>
      </c>
      <c r="D25" s="451">
        <f t="shared" si="4"/>
        <v>50.918547636000007</v>
      </c>
      <c r="E25" s="451">
        <f t="shared" si="5"/>
        <v>18.563100671996207</v>
      </c>
      <c r="F25" s="451">
        <f t="shared" si="6"/>
        <v>3094.6022626399026</v>
      </c>
      <c r="G25" s="451">
        <f t="shared" si="7"/>
        <v>0</v>
      </c>
      <c r="H25" s="451">
        <f t="shared" si="8"/>
        <v>0</v>
      </c>
      <c r="I25" s="451">
        <f t="shared" si="9"/>
        <v>0</v>
      </c>
      <c r="J25" s="451">
        <f t="shared" si="10"/>
        <v>142.68792490993792</v>
      </c>
      <c r="K25" s="451">
        <f t="shared" si="11"/>
        <v>0</v>
      </c>
      <c r="L25" s="451">
        <f t="shared" si="12"/>
        <v>0</v>
      </c>
      <c r="M25" s="451">
        <f t="shared" si="13"/>
        <v>0</v>
      </c>
      <c r="N25" s="451">
        <f t="shared" si="14"/>
        <v>0</v>
      </c>
      <c r="O25" s="451">
        <f t="shared" si="15"/>
        <v>0</v>
      </c>
      <c r="P25" s="452">
        <f t="shared" si="16"/>
        <v>0</v>
      </c>
      <c r="Q25" s="450">
        <f t="shared" ca="1" si="17"/>
        <v>3860.299553822711</v>
      </c>
    </row>
    <row r="26" spans="1:17">
      <c r="A26" s="450" t="s">
        <v>634</v>
      </c>
      <c r="B26" s="451">
        <f t="shared" ca="1" si="2"/>
        <v>563.842761291643</v>
      </c>
      <c r="C26" s="451">
        <f t="shared" ca="1" si="3"/>
        <v>0</v>
      </c>
      <c r="D26" s="451">
        <f t="shared" si="4"/>
        <v>684.95261243965615</v>
      </c>
      <c r="E26" s="451">
        <f t="shared" si="5"/>
        <v>112.96086160756735</v>
      </c>
      <c r="F26" s="451">
        <f t="shared" si="6"/>
        <v>383.16359903939929</v>
      </c>
      <c r="G26" s="451">
        <f t="shared" si="7"/>
        <v>0</v>
      </c>
      <c r="H26" s="451">
        <f t="shared" si="8"/>
        <v>0</v>
      </c>
      <c r="I26" s="451">
        <f t="shared" si="9"/>
        <v>0</v>
      </c>
      <c r="J26" s="451">
        <f t="shared" si="10"/>
        <v>8.4283902056743479E-2</v>
      </c>
      <c r="K26" s="451">
        <f t="shared" si="11"/>
        <v>0</v>
      </c>
      <c r="L26" s="451">
        <f t="shared" si="12"/>
        <v>0</v>
      </c>
      <c r="M26" s="451">
        <f t="shared" si="13"/>
        <v>0</v>
      </c>
      <c r="N26" s="451">
        <f t="shared" si="14"/>
        <v>0</v>
      </c>
      <c r="O26" s="451">
        <f t="shared" si="15"/>
        <v>0</v>
      </c>
      <c r="P26" s="452">
        <f t="shared" si="16"/>
        <v>0</v>
      </c>
      <c r="Q26" s="450">
        <f t="shared" ca="1" si="17"/>
        <v>1745.0041182803225</v>
      </c>
    </row>
    <row r="27" spans="1:17" s="456" customFormat="1">
      <c r="A27" s="454" t="s">
        <v>560</v>
      </c>
      <c r="B27" s="754">
        <f t="shared" ca="1" si="2"/>
        <v>11.204301031624235</v>
      </c>
      <c r="C27" s="455">
        <f t="shared" ca="1" si="3"/>
        <v>0</v>
      </c>
      <c r="D27" s="455">
        <f t="shared" si="4"/>
        <v>28.998729961950566</v>
      </c>
      <c r="E27" s="455">
        <f t="shared" si="5"/>
        <v>61.691807101473074</v>
      </c>
      <c r="F27" s="455">
        <f t="shared" si="6"/>
        <v>0</v>
      </c>
      <c r="G27" s="455">
        <f t="shared" si="7"/>
        <v>41977.537456069163</v>
      </c>
      <c r="H27" s="455">
        <f t="shared" si="8"/>
        <v>6179.0341858056809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48258.466479969888</v>
      </c>
    </row>
    <row r="28" spans="1:17">
      <c r="A28" s="450" t="s">
        <v>550</v>
      </c>
      <c r="B28" s="451">
        <f t="shared" ca="1" si="2"/>
        <v>333.24520335290333</v>
      </c>
      <c r="C28" s="451">
        <f t="shared" ca="1" si="3"/>
        <v>0</v>
      </c>
      <c r="D28" s="451">
        <f t="shared" si="4"/>
        <v>0</v>
      </c>
      <c r="E28" s="451">
        <f t="shared" si="5"/>
        <v>0</v>
      </c>
      <c r="F28" s="451">
        <f t="shared" si="6"/>
        <v>0</v>
      </c>
      <c r="G28" s="451">
        <f t="shared" si="7"/>
        <v>395.3079148998408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728.55311825274407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1138.1314856463621</v>
      </c>
      <c r="C32" s="451">
        <f t="shared" ca="1" si="3"/>
        <v>0</v>
      </c>
      <c r="D32" s="451">
        <f t="shared" si="4"/>
        <v>1591.9590609000002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2730.090546546362</v>
      </c>
    </row>
    <row r="33" spans="1:17" s="460" customFormat="1">
      <c r="A33" s="1005" t="s">
        <v>554</v>
      </c>
      <c r="B33" s="953">
        <f ca="1">SUM(B22:B32)</f>
        <v>19707.833794050403</v>
      </c>
      <c r="C33" s="953">
        <f t="shared" ref="C33:Q33" ca="1" si="18">SUM(C22:C32)</f>
        <v>0</v>
      </c>
      <c r="D33" s="953">
        <f t="shared" ca="1" si="18"/>
        <v>24313.759166338121</v>
      </c>
      <c r="E33" s="953">
        <f t="shared" si="18"/>
        <v>1135.6917948686541</v>
      </c>
      <c r="F33" s="953">
        <f t="shared" ca="1" si="18"/>
        <v>5018.8996036508725</v>
      </c>
      <c r="G33" s="953">
        <f t="shared" si="18"/>
        <v>42372.845370969007</v>
      </c>
      <c r="H33" s="953">
        <f t="shared" si="18"/>
        <v>6179.0341858056809</v>
      </c>
      <c r="I33" s="953">
        <f t="shared" si="18"/>
        <v>0</v>
      </c>
      <c r="J33" s="953">
        <f t="shared" si="18"/>
        <v>142.80919509733508</v>
      </c>
      <c r="K33" s="953">
        <f t="shared" si="18"/>
        <v>0</v>
      </c>
      <c r="L33" s="953">
        <f t="shared" ca="1" si="18"/>
        <v>0</v>
      </c>
      <c r="M33" s="953">
        <f t="shared" si="18"/>
        <v>0</v>
      </c>
      <c r="N33" s="953">
        <f t="shared" ca="1" si="18"/>
        <v>0</v>
      </c>
      <c r="O33" s="953">
        <f t="shared" si="18"/>
        <v>0</v>
      </c>
      <c r="P33" s="953">
        <f t="shared" si="18"/>
        <v>0</v>
      </c>
      <c r="Q33" s="953">
        <f t="shared" ca="1" si="18"/>
        <v>98870.87311078007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4064.9775756009331</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5815.0019730554995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9879.9795486564326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0.19895709360781111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0.19895709360781111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2020-06-20T15:44:41Z</dcterms:modified>
</cp:coreProperties>
</file>