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B9" i="18"/>
  <c r="K22" i="18"/>
  <c r="J22" i="18"/>
  <c r="I22" i="18"/>
  <c r="H22" i="18"/>
  <c r="K12" i="18"/>
  <c r="J12" i="18"/>
  <c r="I12" i="18"/>
  <c r="H12" i="18"/>
  <c r="W39" i="18"/>
  <c r="V39" i="18"/>
  <c r="U39" i="18"/>
  <c r="T39" i="18"/>
  <c r="S39" i="18"/>
  <c r="R39" i="18"/>
  <c r="Q39" i="18"/>
  <c r="P39" i="18"/>
  <c r="D6" i="17" s="1"/>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J9" i="18" s="1"/>
  <c r="J77" i="14" s="1"/>
  <c r="J9" i="61" s="1"/>
  <c r="P36" i="18"/>
  <c r="C9" i="18" s="1"/>
  <c r="O36" i="18"/>
  <c r="N36" i="18"/>
  <c r="M36" i="18"/>
  <c r="W32" i="18"/>
  <c r="V32" i="18"/>
  <c r="U32" i="18"/>
  <c r="T32" i="18"/>
  <c r="L6" i="17" s="1"/>
  <c r="S32" i="18"/>
  <c r="R32" i="18"/>
  <c r="Q32" i="18"/>
  <c r="P32" i="18"/>
  <c r="O32" i="18"/>
  <c r="N32" i="18"/>
  <c r="M32" i="18"/>
  <c r="W31" i="18"/>
  <c r="V31" i="18"/>
  <c r="U31" i="18"/>
  <c r="T31" i="18"/>
  <c r="S31" i="18"/>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Q14" i="48" s="1"/>
  <c r="H26" i="14"/>
  <c r="L22" i="14"/>
  <c r="Q22" i="14"/>
  <c r="M22" i="14"/>
  <c r="G22" i="14"/>
  <c r="L16" i="14"/>
  <c r="I16" i="14"/>
  <c r="R12" i="14"/>
  <c r="D5" i="17"/>
  <c r="F13" i="15" l="1"/>
  <c r="H9" i="18"/>
  <c r="O9" i="18" s="1"/>
  <c r="F6" i="17"/>
  <c r="B45" i="18"/>
  <c r="G49"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C49" i="18"/>
  <c r="B49" i="18"/>
  <c r="C17" i="18" s="1"/>
  <c r="H49" i="18"/>
  <c r="D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8" i="18" l="1"/>
  <c r="E49" i="18"/>
  <c r="E17" i="18" s="1"/>
  <c r="I49" i="18"/>
  <c r="H17" i="18" s="1"/>
  <c r="F49" i="18"/>
  <c r="M77" i="14"/>
  <c r="M9" i="61" s="1"/>
  <c r="H78" i="14"/>
  <c r="H9" i="61"/>
  <c r="H10" i="61" s="1"/>
  <c r="O90" i="14"/>
  <c r="O18" i="61"/>
  <c r="O20" i="61" s="1"/>
  <c r="B88" i="14"/>
  <c r="B18" i="61" s="1"/>
  <c r="B77" i="14"/>
  <c r="B9" i="61" s="1"/>
  <c r="J17" i="18"/>
  <c r="H20" i="18"/>
  <c r="M87" i="14"/>
  <c r="J8" i="18"/>
  <c r="O8" i="18" s="1"/>
  <c r="O10" i="18" s="1"/>
  <c r="M76" i="14"/>
  <c r="H10" i="18"/>
  <c r="E20" i="18"/>
  <c r="F87" i="14"/>
  <c r="C77" i="14"/>
  <c r="C9" i="61" s="1"/>
  <c r="C20" i="18"/>
  <c r="D87" i="14"/>
  <c r="D17" i="61" s="1"/>
  <c r="D20" i="61" s="1"/>
  <c r="D76" i="14"/>
  <c r="D8" i="61" s="1"/>
  <c r="D10" i="61" s="1"/>
  <c r="C10" i="18"/>
  <c r="C88" i="14"/>
  <c r="C18" i="61" s="1"/>
  <c r="F76" i="14"/>
  <c r="E10" i="18"/>
  <c r="I17" i="18"/>
  <c r="I10" i="18"/>
  <c r="I76" i="14"/>
  <c r="I8" i="61" s="1"/>
  <c r="I10" i="61" s="1"/>
  <c r="Q88" i="14"/>
  <c r="P18" i="61" s="1"/>
  <c r="I33" i="48"/>
  <c r="Q77" i="14" l="1"/>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P4" i="48" l="1"/>
  <c r="P22" i="48" s="1"/>
  <c r="Q11" i="14"/>
  <c r="D4" i="48"/>
  <c r="D22" i="48" s="1"/>
  <c r="E11" i="14"/>
  <c r="C11" i="14"/>
  <c r="B4" i="48"/>
  <c r="P11" i="14"/>
  <c r="O4" i="48"/>
  <c r="O22" i="48" s="1"/>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P8" i="48" l="1"/>
  <c r="P26" i="48" s="1"/>
  <c r="Q13" i="14"/>
  <c r="Q16" i="14"/>
  <c r="Q27" i="14" s="1"/>
  <c r="J7" i="48"/>
  <c r="J25" i="48" s="1"/>
  <c r="K24" i="14"/>
  <c r="K26"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D18" i="16"/>
  <c r="G31" i="20"/>
  <c r="H48" i="14" s="1"/>
  <c r="G12" i="22"/>
  <c r="D16" i="15"/>
  <c r="E8" i="17"/>
  <c r="O18" i="16"/>
  <c r="B36" i="13"/>
  <c r="B48" i="13" s="1"/>
  <c r="C48" i="13" s="1"/>
  <c r="N5" i="13" s="1"/>
  <c r="N8" i="13" s="1"/>
  <c r="H12" i="22"/>
  <c r="B34" i="13"/>
  <c r="B46" i="13" s="1"/>
  <c r="E5" i="13" s="1"/>
  <c r="E8" i="13" s="1"/>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B47" i="13"/>
  <c r="N12" i="16"/>
  <c r="J12" i="16"/>
  <c r="F12" i="16"/>
  <c r="E12" i="16"/>
  <c r="C50" i="13"/>
  <c r="J5" i="13" s="1"/>
  <c r="J8" i="13" s="1"/>
  <c r="E12" i="17"/>
  <c r="F54" i="14" s="1"/>
  <c r="F56" i="14" s="1"/>
  <c r="O8" i="48" l="1"/>
  <c r="O26" i="48" s="1"/>
  <c r="P13" i="14"/>
  <c r="P16" i="14" s="1"/>
  <c r="P27" i="14" s="1"/>
  <c r="F24" i="14"/>
  <c r="F26" i="14" s="1"/>
  <c r="E7" i="48"/>
  <c r="E25" i="48" s="1"/>
  <c r="O23" i="48"/>
  <c r="O33" i="48" s="1"/>
  <c r="O15" i="48"/>
  <c r="O11" i="14"/>
  <c r="N4" i="48"/>
  <c r="N22" i="48" s="1"/>
  <c r="K11" i="14"/>
  <c r="J4" i="48"/>
  <c r="F11" i="14"/>
  <c r="E4" i="48"/>
  <c r="H14" i="22"/>
  <c r="M14" i="22"/>
  <c r="M9" i="48" s="1"/>
  <c r="H19" i="14"/>
  <c r="G10" i="48"/>
  <c r="M10" i="48"/>
  <c r="M28" i="48" s="1"/>
  <c r="N19" i="14"/>
  <c r="E27" i="48"/>
  <c r="I20" i="14"/>
  <c r="I22" i="14" s="1"/>
  <c r="I27" i="14" s="1"/>
  <c r="H9"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P63" i="14" s="1"/>
  <c r="E12" i="13"/>
  <c r="F41" i="14" s="1"/>
  <c r="D22" i="16"/>
  <c r="E43" i="14" s="1"/>
  <c r="D20" i="15"/>
  <c r="E40" i="14" s="1"/>
  <c r="G14" i="22"/>
  <c r="J16" i="15"/>
  <c r="E16" i="15"/>
  <c r="M58" i="22"/>
  <c r="N49" i="14" s="1"/>
  <c r="D18" i="22"/>
  <c r="E50" i="14" s="1"/>
  <c r="E52" i="14" s="1"/>
  <c r="E18" i="22"/>
  <c r="F50" i="14" s="1"/>
  <c r="F52" i="14" s="1"/>
  <c r="G58" i="22"/>
  <c r="H49" i="14" s="1"/>
  <c r="N20" i="15"/>
  <c r="O40" i="14" s="1"/>
  <c r="F20" i="15"/>
  <c r="G40" i="14" s="1"/>
  <c r="N5" i="16"/>
  <c r="E5" i="16"/>
  <c r="J5" i="16"/>
  <c r="C35" i="13"/>
  <c r="F5" i="16"/>
  <c r="C36" i="13"/>
  <c r="N12" i="13"/>
  <c r="O41" i="14" s="1"/>
  <c r="C38" i="13"/>
  <c r="C39" i="13"/>
  <c r="C32" i="13"/>
  <c r="C34" i="13"/>
  <c r="J12" i="13"/>
  <c r="K41" i="14" s="1"/>
  <c r="L20" i="15"/>
  <c r="M40" i="14" s="1"/>
  <c r="M18" i="22" l="1"/>
  <c r="N50" i="14" s="1"/>
  <c r="N52" i="14" s="1"/>
  <c r="N61" i="14" s="1"/>
  <c r="F10" i="14"/>
  <c r="E5" i="48"/>
  <c r="E23" i="48" s="1"/>
  <c r="K10" i="14"/>
  <c r="J5" i="48"/>
  <c r="J23" i="48" s="1"/>
  <c r="J20" i="15"/>
  <c r="K40" i="14" s="1"/>
  <c r="E22" i="48"/>
  <c r="Q4" i="48"/>
  <c r="R11" i="14"/>
  <c r="J22" i="48"/>
  <c r="N20" i="14"/>
  <c r="N22" i="14" s="1"/>
  <c r="N27" i="14" s="1"/>
  <c r="R19" i="14"/>
  <c r="G28" i="48"/>
  <c r="Q10" i="48"/>
  <c r="H20" i="14"/>
  <c r="H22" i="14" s="1"/>
  <c r="H27" i="14" s="1"/>
  <c r="G9" i="48"/>
  <c r="Q9" i="48" s="1"/>
  <c r="Q7" i="48"/>
  <c r="M15" i="48"/>
  <c r="M27" i="48"/>
  <c r="M33" i="48" s="1"/>
  <c r="H15" i="48"/>
  <c r="H27" i="48"/>
  <c r="H33" i="48" s="1"/>
  <c r="N63" i="14"/>
  <c r="R24" i="14"/>
  <c r="R26" i="14" s="1"/>
  <c r="N18" i="16"/>
  <c r="E20" i="15"/>
  <c r="F40" i="14" s="1"/>
  <c r="F18" i="16"/>
  <c r="J18" i="16"/>
  <c r="E18" i="16"/>
  <c r="G18" i="22"/>
  <c r="H50" i="14" s="1"/>
  <c r="H52" i="14" s="1"/>
  <c r="H61" i="14" s="1"/>
  <c r="H18" i="22"/>
  <c r="I50" i="14" s="1"/>
  <c r="I52" i="14" s="1"/>
  <c r="I61" i="14" s="1"/>
  <c r="I63" i="14" s="1"/>
  <c r="E8" i="48" l="1"/>
  <c r="E26" i="48" s="1"/>
  <c r="F13" i="14"/>
  <c r="F16" i="14" s="1"/>
  <c r="F27" i="14" s="1"/>
  <c r="F63" i="14" s="1"/>
  <c r="H63" i="14"/>
  <c r="E33" i="48"/>
  <c r="K13" i="14"/>
  <c r="K16" i="14" s="1"/>
  <c r="K27" i="14" s="1"/>
  <c r="J8"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J26" i="48" l="1"/>
  <c r="J33" i="48" s="1"/>
  <c r="J15" i="48"/>
  <c r="K63" i="14"/>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<sst xmlns="http://schemas.openxmlformats.org/spreadsheetml/2006/main" count="2407" uniqueCount="893">
  <si>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</si>
  <si>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</si>
  <si>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</si>
  <si>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</si>
  <si>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</si>
  <si>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</si>
  <si>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</si>
  <si>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</si>
  <si>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</si>
  <si>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</si>
  <si>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</si>
  <si>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</si>
  <si>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</si>
  <si>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</si>
  <si>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</si>
  <si>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</si>
  <si>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</si>
  <si>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</si>
  <si>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</si>
  <si>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</si>
  <si>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</si>
  <si>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</si>
  <si>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</si>
  <si>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</si>
  <si>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</si>
  <si>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</si>
  <si>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</si>
  <si>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</si>
  <si>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</si>
  <si>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</si>
  <si>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</si>
  <si>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</si>
  <si>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</si>
  <si>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</si>
  <si>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</si>
  <si>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</si>
  <si>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</si>
  <si>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</si>
  <si>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</si>
  <si>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</si>
  <si>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</si>
  <si>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</si>
  <si>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</si>
  <si>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</si>
  <si>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</si>
  <si>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</si>
  <si>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</si>
  <si>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</si>
  <si>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</si>
  <si>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</si>
  <si>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</si>
  <si>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</si>
  <si>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</si>
  <si>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</si>
  <si>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</si>
  <si>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</si>
  <si>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</si>
  <si>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</si>
  <si>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</si>
  <si>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</si>
  <si>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</si>
  <si>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</si>
  <si>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</si>
  <si>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</si>
  <si>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</si>
  <si>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</si>
  <si>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</si>
  <si>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</si>
  <si>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</si>
  <si>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</si>
  <si>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</si>
  <si>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</si>
  <si>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</si>
  <si>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</si>
  <si>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</si>
  <si>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</si>
  <si>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</si>
  <si>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</si>
  <si>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</si>
  <si>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</si>
  <si>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</si>
  <si>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</si>
  <si>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</si>
  <si>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</si>
  <si>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</si>
  <si>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</si>
  <si>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</si>
  <si>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</si>
  <si>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</si>
  <si>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</si>
  <si>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</si>
  <si>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</si>
  <si>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</si>
  <si>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</si>
  <si>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</si>
  <si>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</si>
  <si>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</si>
  <si>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</si>
  <si>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</si>
  <si>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</si>
  <si>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</si>
  <si>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</si>
  <si>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</si>
  <si>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</si>
  <si>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</si>
  <si>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</si>
  <si>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</si>
  <si>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</si>
  <si>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</si>
  <si>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</si>
  <si>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</si>
  <si>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</si>
  <si>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</si>
  <si>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</si>
  <si>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</si>
  <si>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</si>
  <si>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</si>
  <si>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</si>
  <si>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</si>
  <si>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</si>
  <si>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</si>
  <si>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</si>
  <si>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</si>
  <si>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</si>
  <si>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</si>
  <si>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</si>
  <si>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</si>
  <si>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</si>
  <si>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</si>
  <si>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</si>
  <si>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</si>
  <si>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</si>
  <si>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</si>
  <si>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</si>
  <si>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</si>
  <si>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</si>
  <si>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</si>
  <si>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</si>
  <si>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</si>
  <si>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</si>
  <si>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</si>
  <si>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</si>
  <si>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</si>
  <si>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</si>
  <si>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</si>
  <si>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</si>
  <si>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</si>
  <si>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</si>
  <si>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</si>
  <si>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</si>
  <si>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</si>
  <si>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</si>
  <si>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</si>
  <si>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</si>
  <si>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</si>
  <si>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</si>
  <si>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</si>
  <si>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</si>
  <si>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</si>
  <si>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</si>
  <si>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</si>
  <si>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</si>
  <si>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</si>
  <si>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</si>
  <si>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</si>
  <si>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</si>
  <si>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</si>
  <si>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</si>
  <si>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</si>
  <si>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</si>
  <si>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</si>
  <si>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</si>
  <si>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</si>
  <si>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</si>
  <si>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</si>
  <si>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</si>
  <si>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</si>
  <si>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</si>
  <si>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</si>
  <si>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</si>
  <si>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</si>
  <si>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</si>
  <si>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</si>
  <si>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</si>
  <si>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</si>
  <si>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</si>
  <si>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</si>
  <si>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</si>
  <si>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</si>
  <si>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</si>
  <si>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</si>
  <si>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</si>
  <si>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</si>
  <si>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</si>
  <si>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</si>
  <si>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</si>
  <si>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</si>
  <si>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</si>
  <si>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</si>
  <si>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</si>
  <si>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</si>
  <si>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</si>
  <si>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</si>
  <si>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</si>
  <si>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</si>
  <si>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</si>
  <si>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</si>
  <si>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</si>
  <si>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</si>
  <si>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</si>
  <si>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</si>
  <si>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</si>
  <si>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</si>
  <si>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</si>
  <si>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</si>
  <si>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</si>
  <si>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</si>
  <si>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</si>
  <si>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</si>
  <si>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</si>
  <si>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</si>
  <si>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</si>
  <si>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</si>
  <si>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</si>
  <si>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</si>
  <si>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</si>
  <si>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</si>
  <si>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</si>
  <si>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</si>
  <si>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</si>
  <si>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</si>
  <si>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</si>
  <si>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</si>
  <si>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</si>
  <si>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</si>
  <si>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</si>
  <si>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</si>
  <si>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</si>
  <si>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</si>
  <si>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</si>
  <si>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</si>
  <si>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</si>
  <si>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</si>
  <si>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</si>
  <si>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</si>
  <si>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</si>
  <si>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</si>
  <si>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</si>
  <si>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</si>
  <si>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</si>
  <si>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</si>
  <si>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</si>
  <si>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</si>
  <si>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</si>
  <si>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</si>
  <si>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</si>
  <si>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</si>
  <si>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</si>
  <si>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</si>
  <si>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</si>
  <si>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</si>
  <si>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</si>
  <si>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</si>
  <si>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</si>
  <si>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</si>
  <si>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</si>
  <si>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</si>
  <si>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</si>
  <si>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</si>
  <si>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</si>
  <si>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</si>
  <si>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</si>
  <si>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</si>
  <si>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</si>
  <si>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</si>
  <si>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</si>
  <si>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</si>
  <si>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</si>
  <si>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</si>
  <si>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</si>
  <si>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</si>
  <si>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</si>
  <si>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</si>
  <si>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</si>
  <si>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</si>
  <si>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</si>
  <si>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</si>
  <si>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</si>
  <si>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</si>
  <si>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</si>
  <si>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</si>
  <si>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</si>
  <si>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</si>
  <si>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</si>
  <si>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</si>
  <si>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</si>
  <si>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</si>
  <si>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</si>
  <si>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</si>
  <si>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</si>
  <si>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</si>
  <si>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</si>
  <si>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</si>
  <si>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</si>
  <si>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</si>
  <si>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</si>
  <si>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</si>
  <si>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</si>
  <si>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</si>
  <si>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</si>
  <si>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</si>
  <si>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</si>
  <si>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</si>
  <si>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</si>
  <si>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</si>
  <si>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</si>
  <si>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</si>
  <si>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</si>
  <si>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</si>
  <si>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</si>
  <si>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</si>
  <si>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</si>
  <si>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</si>
  <si>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</si>
  <si>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</si>
  <si>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</si>
  <si>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</si>
  <si>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</si>
  <si>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</si>
  <si>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</si>
  <si>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</si>
  <si>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</si>
  <si>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</si>
  <si>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</si>
  <si>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</si>
  <si>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</si>
  <si>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</si>
  <si>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</si>
  <si>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</si>
  <si>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</si>
  <si>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</si>
  <si>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</si>
  <si>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</si>
  <si>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</si>
  <si>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</si>
  <si>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</si>
  <si>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</si>
  <si>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</si>
  <si>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</si>
  <si>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</si>
  <si>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</si>
  <si>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</si>
  <si>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</si>
  <si>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</si>
  <si>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</si>
  <si>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</si>
  <si>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</si>
  <si>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</si>
  <si>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</si>
  <si>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</si>
  <si>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</si>
  <si>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</si>
  <si>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</si>
  <si>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</si>
  <si>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</si>
  <si>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</si>
  <si>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</si>
  <si>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</si>
  <si>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</si>
  <si>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</si>
  <si>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</si>
  <si>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</si>
  <si>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</si>
  <si>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</si>
  <si>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</si>
  <si>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</si>
  <si>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</si>
  <si>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</si>
  <si>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</si>
  <si>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</si>
  <si>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</si>
  <si>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</si>
  <si>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</si>
  <si>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</si>
  <si>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</si>
  <si>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</si>
  <si>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</si>
  <si>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</si>
  <si>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</si>
  <si>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</si>
  <si>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</si>
  <si>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</si>
  <si>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</si>
  <si>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</si>
  <si>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</si>
  <si>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</si>
  <si>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</si>
  <si>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</si>
  <si>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</si>
  <si>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</si>
  <si>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</si>
  <si>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</si>
  <si>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</si>
  <si>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</si>
  <si>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</si>
  <si>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</si>
  <si>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</si>
  <si>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</si>
  <si>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</si>
  <si>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</si>
  <si>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</si>
  <si>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</si>
  <si>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</si>
  <si>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</si>
  <si>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</si>
  <si>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</si>
  <si>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</si>
  <si>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</si>
  <si>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</si>
  <si>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</si>
  <si>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</si>
  <si>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</si>
  <si>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</si>
  <si>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</si>
  <si>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</si>
  <si>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</si>
  <si>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</si>
  <si>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</si>
  <si>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</si>
  <si>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</si>
  <si>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</si>
  <si>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</si>
  <si>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</si>
  <si>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</si>
  <si>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</si>
  <si>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</si>
  <si>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</si>
  <si>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</si>
  <si>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</si>
  <si>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</si>
  <si>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</si>
  <si>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</si>
  <si>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</si>
  <si>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</si>
  <si>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</si>
  <si>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</si>
  <si>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</si>
  <si>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</si>
  <si>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</si>
  <si>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</si>
  <si>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</si>
  <si>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</si>
  <si>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</si>
  <si>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</si>
  <si>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</si>
  <si>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</si>
  <si>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</si>
  <si>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</si>
  <si>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</si>
  <si>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</si>
  <si>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</si>
  <si>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</si>
  <si>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</si>
  <si>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</si>
  <si>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</si>
  <si>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</si>
  <si>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</si>
  <si>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</si>
  <si>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</si>
  <si>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</si>
  <si>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</si>
  <si>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</si>
  <si>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</si>
  <si>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</si>
  <si>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</si>
  <si>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</si>
  <si>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</si>
  <si>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</si>
  <si>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</si>
  <si>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</si>
  <si>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</si>
  <si>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</si>
  <si>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</si>
  <si>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</si>
  <si>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</si>
  <si>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</si>
  <si>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</si>
  <si>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</si>
  <si>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</si>
  <si>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</si>
  <si>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</si>
  <si>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</si>
  <si>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</si>
  <si>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</si>
  <si>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</si>
  <si>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</si>
  <si>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</si>
  <si>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</si>
  <si>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</si>
  <si>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</si>
  <si>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</si>
  <si>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</si>
  <si>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</si>
  <si>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</si>
  <si>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</si>
  <si>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</si>
  <si>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</si>
  <si>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</si>
  <si>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</si>
  <si>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</si>
  <si>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</si>
  <si>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</si>
  <si>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</si>
  <si>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</si>
  <si>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</si>
  <si>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</si>
  <si>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</si>
  <si>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</si>
  <si>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</si>
  <si>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</si>
  <si>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</si>
  <si>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</si>
  <si>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</si>
  <si>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</si>
  <si>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</si>
  <si>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</si>
  <si>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</si>
  <si>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</si>
  <si>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</si>
  <si>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</si>
  <si>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</si>
  <si>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</si>
  <si>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</si>
  <si>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</si>
  <si>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</si>
  <si>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</si>
  <si>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</si>
  <si>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</si>
  <si>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</si>
  <si>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</si>
  <si>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</si>
  <si>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</si>
  <si>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</si>
  <si>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</si>
  <si>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</si>
  <si>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</si>
  <si>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</si>
  <si>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</si>
  <si>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</si>
  <si>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</si>
  <si>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</si>
  <si>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</si>
  <si>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</si>
  <si>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</si>
  <si>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</si>
  <si>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</si>
  <si>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</si>
  <si>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</si>
  <si>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</si>
  <si>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</si>
  <si>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</si>
  <si>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</si>
  <si>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</si>
  <si>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</si>
  <si>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</si>
  <si>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</si>
  <si>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</si>
  <si>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</si>
  <si>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</si>
  <si>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</si>
  <si>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</si>
  <si>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</si>
  <si>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</si>
  <si>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</si>
  <si>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</si>
  <si>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</si>
  <si>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</si>
  <si>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</si>
  <si>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</si>
  <si>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</si>
  <si>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</si>
  <si>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</si>
  <si>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</si>
  <si>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</si>
  <si>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</si>
  <si>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</si>
  <si>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</si>
  <si>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</si>
  <si>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</si>
  <si>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</si>
  <si>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</si>
  <si>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</si>
  <si>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</si>
  <si>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</si>
  <si>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</si>
  <si>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</si>
  <si>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</si>
  <si>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</si>
  <si>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</si>
  <si>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</si>
  <si>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</si>
  <si>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</si>
  <si>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</si>
  <si>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</si>
  <si>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</si>
  <si>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</si>
  <si>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</si>
  <si>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</si>
  <si>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</si>
  <si>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</si>
  <si>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</si>
  <si>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</si>
  <si>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</si>
  <si>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</si>
  <si>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</si>
  <si>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</si>
  <si>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</si>
  <si>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</si>
  <si>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</si>
  <si>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</si>
  <si>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</si>
  <si>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</si>
  <si>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</si>
  <si>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</si>
  <si>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</si>
  <si>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</si>
  <si>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</si>
  <si>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</si>
  <si>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</si>
  <si>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</si>
  <si>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</si>
  <si>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</si>
  <si>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</si>
  <si>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</si>
  <si>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</si>
  <si>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</si>
  <si>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</si>
  <si>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</si>
  <si>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</si>
  <si>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</si>
  <si>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</si>
  <si>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</si>
  <si>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</si>
  <si>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</si>
  <si>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</si>
  <si>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</si>
  <si>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</si>
  <si>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</si>
  <si>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</si>
  <si>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</si>
  <si>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</si>
  <si>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</si>
  <si>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</si>
  <si>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</si>
  <si>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</si>
  <si>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</si>
  <si>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</si>
  <si>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</si>
  <si>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</si>
  <si>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</si>
  <si>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</si>
  <si>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</si>
  <si>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</si>
  <si>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</si>
  <si>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</si>
  <si>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</si>
  <si>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</si>
  <si>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</si>
  <si>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</si>
  <si>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</si>
  <si>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</si>
  <si>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</si>
  <si>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</si>
  <si>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</si>
  <si>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</si>
  <si>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</si>
  <si>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</si>
  <si>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</si>
  <si>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</si>
  <si>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</si>
  <si>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</si>
  <si>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</si>
  <si>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</si>
  <si>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</si>
  <si>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</si>
  <si>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</si>
  <si>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</si>
  <si>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</si>
  <si>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</si>
  <si>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</si>
  <si>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</si>
  <si>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</si>
  <si>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</si>
  <si>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</si>
  <si>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</si>
  <si>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</si>
  <si>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</si>
  <si>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</si>
  <si>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</si>
  <si>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</si>
  <si>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</si>
  <si>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</si>
  <si>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</si>
  <si>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</si>
  <si>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</si>
  <si>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</si>
  <si>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</si>
  <si>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</si>
  <si>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</si>
  <si>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</si>
  <si>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</si>
  <si>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</si>
  <si>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</si>
  <si>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</si>
  <si>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</si>
  <si>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</si>
  <si>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</si>
  <si>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</si>
  <si>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</si>
  <si>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</si>
  <si>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</si>
  <si>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</si>
  <si>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</si>
  <si>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</si>
  <si>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</si>
  <si>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</si>
  <si>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</si>
  <si>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</si>
  <si>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</si>
  <si>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</si>
  <si>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</si>
  <si>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</si>
  <si>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</si>
  <si>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</si>
  <si>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</si>
  <si>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</si>
  <si>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</si>
  <si>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</si>
  <si>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</si>
  <si>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</si>
  <si>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</si>
  <si>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</si>
  <si>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</si>
  <si>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</si>
  <si>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</si>
  <si>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</si>
  <si>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</si>
  <si>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</si>
  <si>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</si>
  <si>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</si>
  <si>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</si>
  <si>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</si>
  <si>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</si>
  <si>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</si>
  <si>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</si>
  <si>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</si>
  <si>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</si>
  <si>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</si>
  <si>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</si>
  <si>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</si>
  <si>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</si>
  <si>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</si>
  <si>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</si>
  <si>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</si>
  <si>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</si>
  <si>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</si>
  <si>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</si>
  <si>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</si>
  <si>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</si>
  <si>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</si>
  <si>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</si>
  <si>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</si>
  <si>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</si>
  <si>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</si>
  <si>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</si>
  <si>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</si>
  <si>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</si>
  <si>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</si>
  <si>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</si>
  <si>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</si>
  <si>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</si>
  <si>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</si>
  <si>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</si>
  <si>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</si>
  <si>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</si>
  <si>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</si>
  <si>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</si>
  <si>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</si>
  <si>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</si>
  <si>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</si>
  <si>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</si>
  <si>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</si>
  <si>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</si>
  <si>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</si>
  <si>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</si>
  <si>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</si>
  <si>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</si>
  <si>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</si>
  <si>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</si>
  <si>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</si>
  <si>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</si>
  <si>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</si>
  <si>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</si>
  <si>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</si>
  <si>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</si>
  <si>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</si>
  <si>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</si>
  <si>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</si>
  <si>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</si>
  <si>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</si>
  <si>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</si>
  <si>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</si>
  <si>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</si>
  <si>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</si>
  <si>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</si>
  <si>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</si>
  <si>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</si>
  <si>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</si>
  <si>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</si>
  <si>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</si>
  <si>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</si>
  <si>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</si>
  <si>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</si>
  <si>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</si>
  <si>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</si>
  <si>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</si>
  <si>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</si>
  <si>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</si>
  <si>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</si>
  <si>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</si>
  <si>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</si>
  <si>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</si>
  <si>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</si>
  <si>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</si>
  <si>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</si>
  <si>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</si>
  <si>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</si>
  <si>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</si>
  <si>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</si>
  <si>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</si>
  <si>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</si>
  <si>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</si>
  <si>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</si>
  <si>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</si>
  <si>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</si>
  <si>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</si>
  <si>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</si>
  <si>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</si>
  <si>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</si>
  <si>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</si>
  <si>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</si>
  <si>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</si>
  <si>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</si>
  <si>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</si>
  <si>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</si>
  <si>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</si>
  <si>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</si>
  <si>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</si>
  <si>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</si>
  <si>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</si>
  <si>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</si>
  <si>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</si>
  <si>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</si>
  <si>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</si>
  <si>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</si>
  <si>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</si>
  <si>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</si>
  <si>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</si>
  <si>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</si>
  <si>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</si>
  <si>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</si>
  <si>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</si>
  <si>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</si>
  <si>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</si>
  <si>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</si>
  <si>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</si>
  <si>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</si>
  <si>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</si>
  <si>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</si>
  <si>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</si>
  <si>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</si>
  <si>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</si>
  <si>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</si>
  <si>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35006</t>
  </si>
  <si>
    <t>ICHTEGEM</t>
  </si>
  <si>
    <t>Fluvius</t>
  </si>
  <si>
    <t>referentietaak LNE (2017); Jaarverslag De Lijn</t>
  </si>
  <si>
    <t>Mildevan bvba</t>
  </si>
  <si>
    <t>Meersenstraat 3 , 8480 Eernegem</t>
  </si>
  <si>
    <t>WKK-0195 Mildevan</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</si>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</sst>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130284.87733029557</c:v>
                </c:pt>
                <c:pt idx="1">
                  <c:v>27432.561685443347</c:v>
                </c:pt>
                <c:pt idx="2">
                  <c:v>756.47299999999996</c:v>
                </c:pt>
                <c:pt idx="3">
                  <c:v>52393.637439693259</c:v>
                </c:pt>
                <c:pt idx="4">
                  <c:v>98429.530619488913</c:v>
                </c:pt>
                <c:pt idx="5">
                  <c:v>57048.048470764988</c:v>
                </c:pt>
                <c:pt idx="6">
                  <c:v>1145.774375490385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130284.87733029557</c:v>
                </c:pt>
                <c:pt idx="1">
                  <c:v>27432.561685443347</c:v>
                </c:pt>
                <c:pt idx="2">
                  <c:v>756.47299999999996</c:v>
                </c:pt>
                <c:pt idx="3">
                  <c:v>52393.637439693259</c:v>
                </c:pt>
                <c:pt idx="4">
                  <c:v>98429.530619488913</c:v>
                </c:pt>
                <c:pt idx="5">
                  <c:v>57048.048470764988</c:v>
                </c:pt>
                <c:pt idx="6">
                  <c:v>1145.774375490385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22595.796862371873</c:v>
                </c:pt>
                <c:pt idx="2">
                  <c:v>5402.7373692798255</c:v>
                </c:pt>
                <c:pt idx="3">
                  <c:v>154.19380120812767</c:v>
                </c:pt>
                <c:pt idx="4">
                  <c:v>12804.410407911466</c:v>
                </c:pt>
                <c:pt idx="5">
                  <c:v>19905.843353544671</c:v>
                </c:pt>
                <c:pt idx="6">
                  <c:v>14270.789027878975</c:v>
                </c:pt>
                <c:pt idx="7">
                  <c:v>289.48171664987922</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22595.796862371873</c:v>
                </c:pt>
                <c:pt idx="2">
                  <c:v>5402.7373692798255</c:v>
                </c:pt>
                <c:pt idx="3">
                  <c:v>154.19380120812767</c:v>
                </c:pt>
                <c:pt idx="4">
                  <c:v>12804.410407911466</c:v>
                </c:pt>
                <c:pt idx="5">
                  <c:v>19905.843353544671</c:v>
                </c:pt>
                <c:pt idx="6">
                  <c:v>14270.789027878975</c:v>
                </c:pt>
                <c:pt idx="7">
                  <c:v>289.48171664987922</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35006</v>
      </c>
      <c r="B6" s="390"/>
      <c r="C6" s="391"/>
    </row>
    <row r="7" spans="1:7" s="388" customFormat="1" ht="15.75" customHeight="1">
      <c r="A7" s="392" t="str">
        <f>txtMunicipality</f>
        <v>ICHTEGEM</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10697.978471769044</v>
      </c>
      <c r="D10" s="979">
        <f ca="1">tertiair!C16</f>
        <v>0</v>
      </c>
      <c r="E10" s="979">
        <f ca="1">tertiair!D16</f>
        <v>14093.506783322351</v>
      </c>
      <c r="F10" s="979">
        <f>tertiair!E16</f>
        <v>183.08730088943216</v>
      </c>
      <c r="G10" s="979">
        <f ca="1">tertiair!F16</f>
        <v>1827.2434236645886</v>
      </c>
      <c r="H10" s="979">
        <f>tertiair!G16</f>
        <v>0</v>
      </c>
      <c r="I10" s="979">
        <f>tertiair!H16</f>
        <v>0</v>
      </c>
      <c r="J10" s="979">
        <f>tertiair!I16</f>
        <v>0</v>
      </c>
      <c r="K10" s="979">
        <f>tertiair!J16</f>
        <v>3.3986651158396497E-2</v>
      </c>
      <c r="L10" s="979">
        <f>tertiair!K16</f>
        <v>0</v>
      </c>
      <c r="M10" s="979">
        <f ca="1">tertiair!L16</f>
        <v>0</v>
      </c>
      <c r="N10" s="979">
        <f>tertiair!M16</f>
        <v>0</v>
      </c>
      <c r="O10" s="979">
        <f ca="1">tertiair!N16</f>
        <v>1342.7980524801062</v>
      </c>
      <c r="P10" s="979">
        <f>tertiair!O16</f>
        <v>6.2533333333333339</v>
      </c>
      <c r="Q10" s="980">
        <f>tertiair!P16</f>
        <v>38.133333333333333</v>
      </c>
      <c r="R10" s="674">
        <f ca="1">SUM(C10:Q10)</f>
        <v>28189.034685443345</v>
      </c>
      <c r="S10" s="67"/>
    </row>
    <row r="11" spans="1:19" s="447" customFormat="1">
      <c r="A11" s="783" t="s">
        <v>224</v>
      </c>
      <c r="B11" s="788"/>
      <c r="C11" s="979">
        <f>huishoudens!B8</f>
        <v>23465.298214451075</v>
      </c>
      <c r="D11" s="979">
        <f>huishoudens!C8</f>
        <v>0</v>
      </c>
      <c r="E11" s="979">
        <f>huishoudens!D8</f>
        <v>54147.390797249573</v>
      </c>
      <c r="F11" s="979">
        <f>huishoudens!E8</f>
        <v>17391.373386822484</v>
      </c>
      <c r="G11" s="979">
        <f>huishoudens!F8</f>
        <v>9747.6590859090702</v>
      </c>
      <c r="H11" s="979">
        <f>huishoudens!G8</f>
        <v>0</v>
      </c>
      <c r="I11" s="979">
        <f>huishoudens!H8</f>
        <v>0</v>
      </c>
      <c r="J11" s="979">
        <f>huishoudens!I8</f>
        <v>0</v>
      </c>
      <c r="K11" s="979">
        <f>huishoudens!J8</f>
        <v>916.85371870851327</v>
      </c>
      <c r="L11" s="979">
        <f>huishoudens!K8</f>
        <v>0</v>
      </c>
      <c r="M11" s="979">
        <f>huishoudens!L8</f>
        <v>0</v>
      </c>
      <c r="N11" s="979">
        <f>huishoudens!M8</f>
        <v>0</v>
      </c>
      <c r="O11" s="979">
        <f>huishoudens!N8</f>
        <v>23814.462127154835</v>
      </c>
      <c r="P11" s="979">
        <f>huishoudens!O8</f>
        <v>325.17333333333335</v>
      </c>
      <c r="Q11" s="980">
        <f>huishoudens!P8</f>
        <v>476.66666666666663</v>
      </c>
      <c r="R11" s="674">
        <f>SUM(C11:Q11)</f>
        <v>130284.87733029557</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9932.5579863163512</v>
      </c>
      <c r="D13" s="979">
        <f>industrie!C18</f>
        <v>0</v>
      </c>
      <c r="E13" s="979">
        <f>industrie!D18</f>
        <v>85193.854007224043</v>
      </c>
      <c r="F13" s="979">
        <f>industrie!E18</f>
        <v>568.6731941408766</v>
      </c>
      <c r="G13" s="979">
        <f>industrie!F18</f>
        <v>2026.6371888160818</v>
      </c>
      <c r="H13" s="979">
        <f>industrie!G18</f>
        <v>0</v>
      </c>
      <c r="I13" s="979">
        <f>industrie!H18</f>
        <v>0</v>
      </c>
      <c r="J13" s="979">
        <f>industrie!I18</f>
        <v>0</v>
      </c>
      <c r="K13" s="979">
        <f>industrie!J18</f>
        <v>5.3828581759228653</v>
      </c>
      <c r="L13" s="979">
        <f>industrie!K18</f>
        <v>0</v>
      </c>
      <c r="M13" s="979">
        <f>industrie!L18</f>
        <v>0</v>
      </c>
      <c r="N13" s="979">
        <f>industrie!M18</f>
        <v>0</v>
      </c>
      <c r="O13" s="979">
        <f>industrie!N18</f>
        <v>702.42538481563963</v>
      </c>
      <c r="P13" s="979">
        <f>industrie!O18</f>
        <v>0</v>
      </c>
      <c r="Q13" s="980">
        <f>industrie!P18</f>
        <v>0</v>
      </c>
      <c r="R13" s="674">
        <f>SUM(C13:Q13)</f>
        <v>98429.530619488913</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44095.834672536468</v>
      </c>
      <c r="D16" s="706">
        <f t="shared" ref="D16:R16" ca="1" si="0">SUM(D9:D15)</f>
        <v>0</v>
      </c>
      <c r="E16" s="706">
        <f t="shared" ca="1" si="0"/>
        <v>153434.75158779597</v>
      </c>
      <c r="F16" s="706">
        <f t="shared" si="0"/>
        <v>18143.133881852791</v>
      </c>
      <c r="G16" s="706">
        <f t="shared" ca="1" si="0"/>
        <v>13601.539698389739</v>
      </c>
      <c r="H16" s="706">
        <f t="shared" si="0"/>
        <v>0</v>
      </c>
      <c r="I16" s="706">
        <f t="shared" si="0"/>
        <v>0</v>
      </c>
      <c r="J16" s="706">
        <f t="shared" si="0"/>
        <v>0</v>
      </c>
      <c r="K16" s="706">
        <f t="shared" si="0"/>
        <v>922.27056353559453</v>
      </c>
      <c r="L16" s="706">
        <f t="shared" si="0"/>
        <v>0</v>
      </c>
      <c r="M16" s="706">
        <f t="shared" ca="1" si="0"/>
        <v>0</v>
      </c>
      <c r="N16" s="706">
        <f t="shared" si="0"/>
        <v>0</v>
      </c>
      <c r="O16" s="706">
        <f t="shared" ca="1" si="0"/>
        <v>25859.685564450581</v>
      </c>
      <c r="P16" s="706">
        <f t="shared" si="0"/>
        <v>331.42666666666668</v>
      </c>
      <c r="Q16" s="706">
        <f t="shared" si="0"/>
        <v>514.79999999999995</v>
      </c>
      <c r="R16" s="706">
        <f t="shared" ca="1" si="0"/>
        <v>256903.44263522781</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1084.2011859546037</v>
      </c>
      <c r="I19" s="979">
        <f>transport!H54</f>
        <v>0</v>
      </c>
      <c r="J19" s="979">
        <f>transport!I54</f>
        <v>0</v>
      </c>
      <c r="K19" s="979">
        <f>transport!J54</f>
        <v>0</v>
      </c>
      <c r="L19" s="979">
        <f>transport!K54</f>
        <v>0</v>
      </c>
      <c r="M19" s="979">
        <f>transport!L54</f>
        <v>0</v>
      </c>
      <c r="N19" s="979">
        <f>transport!M54</f>
        <v>61.573189535781253</v>
      </c>
      <c r="O19" s="979">
        <f>transport!N54</f>
        <v>0</v>
      </c>
      <c r="P19" s="979">
        <f>transport!O54</f>
        <v>0</v>
      </c>
      <c r="Q19" s="980">
        <f>transport!P54</f>
        <v>0</v>
      </c>
      <c r="R19" s="674">
        <f>SUM(C19:Q19)</f>
        <v>1145.774375490385</v>
      </c>
      <c r="S19" s="67"/>
    </row>
    <row r="20" spans="1:19" s="447" customFormat="1">
      <c r="A20" s="783" t="s">
        <v>306</v>
      </c>
      <c r="B20" s="788"/>
      <c r="C20" s="979">
        <f>transport!B14</f>
        <v>20.678369528905581</v>
      </c>
      <c r="D20" s="979">
        <f>transport!C14</f>
        <v>0</v>
      </c>
      <c r="E20" s="979">
        <f>transport!D14</f>
        <v>63.078480079311234</v>
      </c>
      <c r="F20" s="979">
        <f>transport!E14</f>
        <v>105.78575205436024</v>
      </c>
      <c r="G20" s="979">
        <f>transport!F14</f>
        <v>0</v>
      </c>
      <c r="H20" s="979">
        <f>transport!G14</f>
        <v>43401.20627960188</v>
      </c>
      <c r="I20" s="979">
        <f>transport!H14</f>
        <v>10609.224129606298</v>
      </c>
      <c r="J20" s="979">
        <f>transport!I14</f>
        <v>0</v>
      </c>
      <c r="K20" s="979">
        <f>transport!J14</f>
        <v>0</v>
      </c>
      <c r="L20" s="979">
        <f>transport!K14</f>
        <v>0</v>
      </c>
      <c r="M20" s="979">
        <f>transport!L14</f>
        <v>0</v>
      </c>
      <c r="N20" s="979">
        <f>transport!M14</f>
        <v>2848.0754598942312</v>
      </c>
      <c r="O20" s="979">
        <f>transport!N14</f>
        <v>0</v>
      </c>
      <c r="P20" s="979">
        <f>transport!O14</f>
        <v>0</v>
      </c>
      <c r="Q20" s="980">
        <f>transport!P14</f>
        <v>0</v>
      </c>
      <c r="R20" s="674">
        <f>SUM(C20:Q20)</f>
        <v>57048.048470764988</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20.678369528905581</v>
      </c>
      <c r="D22" s="786">
        <f t="shared" ref="D22:R22" si="1">SUM(D18:D21)</f>
        <v>0</v>
      </c>
      <c r="E22" s="786">
        <f t="shared" si="1"/>
        <v>63.078480079311234</v>
      </c>
      <c r="F22" s="786">
        <f t="shared" si="1"/>
        <v>105.78575205436024</v>
      </c>
      <c r="G22" s="786">
        <f t="shared" si="1"/>
        <v>0</v>
      </c>
      <c r="H22" s="786">
        <f t="shared" si="1"/>
        <v>44485.407465556484</v>
      </c>
      <c r="I22" s="786">
        <f t="shared" si="1"/>
        <v>10609.224129606298</v>
      </c>
      <c r="J22" s="786">
        <f t="shared" si="1"/>
        <v>0</v>
      </c>
      <c r="K22" s="786">
        <f t="shared" si="1"/>
        <v>0</v>
      </c>
      <c r="L22" s="786">
        <f t="shared" si="1"/>
        <v>0</v>
      </c>
      <c r="M22" s="786">
        <f t="shared" si="1"/>
        <v>0</v>
      </c>
      <c r="N22" s="786">
        <f t="shared" si="1"/>
        <v>2909.6486494300125</v>
      </c>
      <c r="O22" s="786">
        <f t="shared" si="1"/>
        <v>0</v>
      </c>
      <c r="P22" s="786">
        <f t="shared" si="1"/>
        <v>0</v>
      </c>
      <c r="Q22" s="786">
        <f t="shared" si="1"/>
        <v>0</v>
      </c>
      <c r="R22" s="786">
        <f t="shared" si="1"/>
        <v>58193.822846255374</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3363.5725000313892</v>
      </c>
      <c r="D24" s="979">
        <f>+landbouw!C8</f>
        <v>34431.428571428572</v>
      </c>
      <c r="E24" s="979">
        <f>+landbouw!D8</f>
        <v>0</v>
      </c>
      <c r="F24" s="979">
        <f>+landbouw!E8</f>
        <v>98.865669312124567</v>
      </c>
      <c r="G24" s="979">
        <f>+landbouw!F8</f>
        <v>14012.461277212915</v>
      </c>
      <c r="H24" s="979">
        <f>+landbouw!G8</f>
        <v>0</v>
      </c>
      <c r="I24" s="979">
        <f>+landbouw!H8</f>
        <v>0</v>
      </c>
      <c r="J24" s="979">
        <f>+landbouw!I8</f>
        <v>0</v>
      </c>
      <c r="K24" s="979">
        <f>+landbouw!J8</f>
        <v>487.30942170826086</v>
      </c>
      <c r="L24" s="979">
        <f>+landbouw!K8</f>
        <v>0</v>
      </c>
      <c r="M24" s="979">
        <f>+landbouw!L8</f>
        <v>0</v>
      </c>
      <c r="N24" s="979">
        <f>+landbouw!M8</f>
        <v>0</v>
      </c>
      <c r="O24" s="979">
        <f>+landbouw!N8</f>
        <v>0</v>
      </c>
      <c r="P24" s="979">
        <f>+landbouw!O8</f>
        <v>0</v>
      </c>
      <c r="Q24" s="980">
        <f>+landbouw!P8</f>
        <v>0</v>
      </c>
      <c r="R24" s="674">
        <f>SUM(C24:Q24)</f>
        <v>52393.637439693259</v>
      </c>
      <c r="S24" s="67"/>
    </row>
    <row r="25" spans="1:19" s="447" customFormat="1" ht="15" thickBot="1">
      <c r="A25" s="805" t="s">
        <v>823</v>
      </c>
      <c r="B25" s="982"/>
      <c r="C25" s="983">
        <f>IF(Onbekend_ele_kWh="---",0,Onbekend_ele_kWh)/1000+IF(REST_rest_ele_kWh="---",0,REST_rest_ele_kWh)/1000</f>
        <v>673.31728620613399</v>
      </c>
      <c r="D25" s="983"/>
      <c r="E25" s="983">
        <f>IF(onbekend_gas_kWh="---",0,onbekend_gas_kWh)/1000+IF(REST_rest_gas_kWh="---",0,REST_rest_gas_kWh)/1000</f>
        <v>2155.13226046609</v>
      </c>
      <c r="F25" s="983"/>
      <c r="G25" s="983"/>
      <c r="H25" s="983"/>
      <c r="I25" s="983"/>
      <c r="J25" s="983"/>
      <c r="K25" s="983"/>
      <c r="L25" s="983"/>
      <c r="M25" s="983"/>
      <c r="N25" s="983"/>
      <c r="O25" s="983"/>
      <c r="P25" s="983"/>
      <c r="Q25" s="984"/>
      <c r="R25" s="674">
        <f>SUM(C25:Q25)</f>
        <v>2828.4495466722237</v>
      </c>
      <c r="S25" s="67"/>
    </row>
    <row r="26" spans="1:19" s="447" customFormat="1" ht="15.75" thickBot="1">
      <c r="A26" s="679" t="s">
        <v>824</v>
      </c>
      <c r="B26" s="791"/>
      <c r="C26" s="786">
        <f>SUM(C24:C25)</f>
        <v>4036.8897862375234</v>
      </c>
      <c r="D26" s="786">
        <f t="shared" ref="D26:R26" si="2">SUM(D24:D25)</f>
        <v>34431.428571428572</v>
      </c>
      <c r="E26" s="786">
        <f t="shared" si="2"/>
        <v>2155.13226046609</v>
      </c>
      <c r="F26" s="786">
        <f t="shared" si="2"/>
        <v>98.865669312124567</v>
      </c>
      <c r="G26" s="786">
        <f t="shared" si="2"/>
        <v>14012.461277212915</v>
      </c>
      <c r="H26" s="786">
        <f t="shared" si="2"/>
        <v>0</v>
      </c>
      <c r="I26" s="786">
        <f t="shared" si="2"/>
        <v>0</v>
      </c>
      <c r="J26" s="786">
        <f t="shared" si="2"/>
        <v>0</v>
      </c>
      <c r="K26" s="786">
        <f t="shared" si="2"/>
        <v>487.30942170826086</v>
      </c>
      <c r="L26" s="786">
        <f t="shared" si="2"/>
        <v>0</v>
      </c>
      <c r="M26" s="786">
        <f t="shared" si="2"/>
        <v>0</v>
      </c>
      <c r="N26" s="786">
        <f t="shared" si="2"/>
        <v>0</v>
      </c>
      <c r="O26" s="786">
        <f t="shared" si="2"/>
        <v>0</v>
      </c>
      <c r="P26" s="786">
        <f t="shared" si="2"/>
        <v>0</v>
      </c>
      <c r="Q26" s="786">
        <f t="shared" si="2"/>
        <v>0</v>
      </c>
      <c r="R26" s="786">
        <f t="shared" si="2"/>
        <v>55222.086986365481</v>
      </c>
      <c r="S26" s="67"/>
    </row>
    <row r="27" spans="1:19" s="447" customFormat="1" ht="17.25" thickTop="1" thickBot="1">
      <c r="A27" s="680" t="s">
        <v>115</v>
      </c>
      <c r="B27" s="779"/>
      <c r="C27" s="681">
        <f ca="1">C22+C16+C26</f>
        <v>48153.402828302897</v>
      </c>
      <c r="D27" s="681">
        <f t="shared" ref="D27:R27" ca="1" si="3">D22+D16+D26</f>
        <v>34431.428571428572</v>
      </c>
      <c r="E27" s="681">
        <f t="shared" ca="1" si="3"/>
        <v>155652.96232834135</v>
      </c>
      <c r="F27" s="681">
        <f t="shared" si="3"/>
        <v>18347.785303219272</v>
      </c>
      <c r="G27" s="681">
        <f t="shared" ca="1" si="3"/>
        <v>27614.000975602656</v>
      </c>
      <c r="H27" s="681">
        <f t="shared" si="3"/>
        <v>44485.407465556484</v>
      </c>
      <c r="I27" s="681">
        <f t="shared" si="3"/>
        <v>10609.224129606298</v>
      </c>
      <c r="J27" s="681">
        <f t="shared" si="3"/>
        <v>0</v>
      </c>
      <c r="K27" s="681">
        <f t="shared" si="3"/>
        <v>1409.5799852438554</v>
      </c>
      <c r="L27" s="681">
        <f t="shared" si="3"/>
        <v>0</v>
      </c>
      <c r="M27" s="681">
        <f t="shared" ca="1" si="3"/>
        <v>0</v>
      </c>
      <c r="N27" s="681">
        <f t="shared" si="3"/>
        <v>2909.6486494300125</v>
      </c>
      <c r="O27" s="681">
        <f t="shared" ca="1" si="3"/>
        <v>25859.685564450581</v>
      </c>
      <c r="P27" s="681">
        <f t="shared" si="3"/>
        <v>331.42666666666668</v>
      </c>
      <c r="Q27" s="681">
        <f t="shared" si="3"/>
        <v>514.79999999999995</v>
      </c>
      <c r="R27" s="681">
        <f t="shared" ca="1" si="3"/>
        <v>370319.35246784869</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2180.5959575619822</v>
      </c>
      <c r="D40" s="979">
        <f ca="1">tertiair!C20</f>
        <v>0</v>
      </c>
      <c r="E40" s="979">
        <f ca="1">tertiair!D20</f>
        <v>2846.888370231115</v>
      </c>
      <c r="F40" s="979">
        <f>tertiair!E20</f>
        <v>41.560817301901103</v>
      </c>
      <c r="G40" s="979">
        <f ca="1">tertiair!F20</f>
        <v>487.87399411844518</v>
      </c>
      <c r="H40" s="979">
        <f>tertiair!G20</f>
        <v>0</v>
      </c>
      <c r="I40" s="979">
        <f>tertiair!H20</f>
        <v>0</v>
      </c>
      <c r="J40" s="979">
        <f>tertiair!I20</f>
        <v>0</v>
      </c>
      <c r="K40" s="979">
        <f>tertiair!J20</f>
        <v>1.2031274510072359E-2</v>
      </c>
      <c r="L40" s="979">
        <f>tertiair!K20</f>
        <v>0</v>
      </c>
      <c r="M40" s="979">
        <f ca="1">tertiair!L20</f>
        <v>0</v>
      </c>
      <c r="N40" s="979">
        <f>tertiair!M20</f>
        <v>0</v>
      </c>
      <c r="O40" s="979">
        <f ca="1">tertiair!N20</f>
        <v>0</v>
      </c>
      <c r="P40" s="979">
        <f>tertiair!O20</f>
        <v>0</v>
      </c>
      <c r="Q40" s="748">
        <f>tertiair!P20</f>
        <v>0</v>
      </c>
      <c r="R40" s="824">
        <f t="shared" ca="1" si="4"/>
        <v>5556.9311704879538</v>
      </c>
    </row>
    <row r="41" spans="1:18">
      <c r="A41" s="796" t="s">
        <v>224</v>
      </c>
      <c r="B41" s="803"/>
      <c r="C41" s="979">
        <f ca="1">huishoudens!B12</f>
        <v>4782.9909701582237</v>
      </c>
      <c r="D41" s="979">
        <f ca="1">huishoudens!C12</f>
        <v>0</v>
      </c>
      <c r="E41" s="979">
        <f>huishoudens!D12</f>
        <v>10937.772941044414</v>
      </c>
      <c r="F41" s="979">
        <f>huishoudens!E12</f>
        <v>3947.8417588087041</v>
      </c>
      <c r="G41" s="979">
        <f>huishoudens!F12</f>
        <v>2602.624975937722</v>
      </c>
      <c r="H41" s="979">
        <f>huishoudens!G12</f>
        <v>0</v>
      </c>
      <c r="I41" s="979">
        <f>huishoudens!H12</f>
        <v>0</v>
      </c>
      <c r="J41" s="979">
        <f>huishoudens!I12</f>
        <v>0</v>
      </c>
      <c r="K41" s="979">
        <f>huishoudens!J12</f>
        <v>324.56621642281368</v>
      </c>
      <c r="L41" s="979">
        <f>huishoudens!K12</f>
        <v>0</v>
      </c>
      <c r="M41" s="979">
        <f>huishoudens!L12</f>
        <v>0</v>
      </c>
      <c r="N41" s="979">
        <f>huishoudens!M12</f>
        <v>0</v>
      </c>
      <c r="O41" s="979">
        <f>huishoudens!N12</f>
        <v>0</v>
      </c>
      <c r="P41" s="979">
        <f>huishoudens!O12</f>
        <v>0</v>
      </c>
      <c r="Q41" s="748">
        <f>huishoudens!P12</f>
        <v>0</v>
      </c>
      <c r="R41" s="824">
        <f t="shared" ca="1" si="4"/>
        <v>22595.796862371873</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2024.5783678072639</v>
      </c>
      <c r="D43" s="979">
        <f ca="1">industrie!C22</f>
        <v>0</v>
      </c>
      <c r="E43" s="979">
        <f>industrie!D22</f>
        <v>17209.158509459259</v>
      </c>
      <c r="F43" s="979">
        <f>industrie!E22</f>
        <v>129.08881506997901</v>
      </c>
      <c r="G43" s="979">
        <f>industrie!F22</f>
        <v>541.11212941389385</v>
      </c>
      <c r="H43" s="979">
        <f>industrie!G22</f>
        <v>0</v>
      </c>
      <c r="I43" s="979">
        <f>industrie!H22</f>
        <v>0</v>
      </c>
      <c r="J43" s="979">
        <f>industrie!I22</f>
        <v>0</v>
      </c>
      <c r="K43" s="979">
        <f>industrie!J22</f>
        <v>1.9055317942766943</v>
      </c>
      <c r="L43" s="979">
        <f>industrie!K22</f>
        <v>0</v>
      </c>
      <c r="M43" s="979">
        <f>industrie!L22</f>
        <v>0</v>
      </c>
      <c r="N43" s="979">
        <f>industrie!M22</f>
        <v>0</v>
      </c>
      <c r="O43" s="979">
        <f>industrie!N22</f>
        <v>0</v>
      </c>
      <c r="P43" s="979">
        <f>industrie!O22</f>
        <v>0</v>
      </c>
      <c r="Q43" s="748">
        <f>industrie!P22</f>
        <v>0</v>
      </c>
      <c r="R43" s="823">
        <f t="shared" ca="1" si="4"/>
        <v>19905.843353544671</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8988.1652955274694</v>
      </c>
      <c r="D46" s="706">
        <f t="shared" ref="D46:Q46" ca="1" si="5">SUM(D39:D45)</f>
        <v>0</v>
      </c>
      <c r="E46" s="706">
        <f t="shared" ca="1" si="5"/>
        <v>30993.819820734789</v>
      </c>
      <c r="F46" s="706">
        <f t="shared" si="5"/>
        <v>4118.4913911805843</v>
      </c>
      <c r="G46" s="706">
        <f t="shared" ca="1" si="5"/>
        <v>3631.6110994700612</v>
      </c>
      <c r="H46" s="706">
        <f t="shared" si="5"/>
        <v>0</v>
      </c>
      <c r="I46" s="706">
        <f t="shared" si="5"/>
        <v>0</v>
      </c>
      <c r="J46" s="706">
        <f t="shared" si="5"/>
        <v>0</v>
      </c>
      <c r="K46" s="706">
        <f t="shared" si="5"/>
        <v>326.48377949160044</v>
      </c>
      <c r="L46" s="706">
        <f t="shared" si="5"/>
        <v>0</v>
      </c>
      <c r="M46" s="706">
        <f t="shared" ca="1" si="5"/>
        <v>0</v>
      </c>
      <c r="N46" s="706">
        <f t="shared" si="5"/>
        <v>0</v>
      </c>
      <c r="O46" s="706">
        <f t="shared" ca="1" si="5"/>
        <v>0</v>
      </c>
      <c r="P46" s="706">
        <f t="shared" si="5"/>
        <v>0</v>
      </c>
      <c r="Q46" s="706">
        <f t="shared" si="5"/>
        <v>0</v>
      </c>
      <c r="R46" s="706">
        <f ca="1">SUM(R39:R45)</f>
        <v>48058.571386404496</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289.48171664987922</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289.48171664987922</v>
      </c>
    </row>
    <row r="50" spans="1:18">
      <c r="A50" s="799" t="s">
        <v>306</v>
      </c>
      <c r="B50" s="809"/>
      <c r="C50" s="677">
        <f ca="1">transport!B18</f>
        <v>4.2149242609429178</v>
      </c>
      <c r="D50" s="677">
        <f>transport!C18</f>
        <v>0</v>
      </c>
      <c r="E50" s="677">
        <f>transport!D18</f>
        <v>12.741852976020869</v>
      </c>
      <c r="F50" s="677">
        <f>transport!E18</f>
        <v>24.013365716339777</v>
      </c>
      <c r="G50" s="677">
        <f>transport!F18</f>
        <v>0</v>
      </c>
      <c r="H50" s="677">
        <f>transport!G18</f>
        <v>11588.122076653703</v>
      </c>
      <c r="I50" s="677">
        <f>transport!H18</f>
        <v>2641.6968082719682</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14270.789027878975</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4.2149242609429178</v>
      </c>
      <c r="D52" s="706">
        <f t="shared" ref="D52:Q52" ca="1" si="6">SUM(D48:D51)</f>
        <v>0</v>
      </c>
      <c r="E52" s="706">
        <f t="shared" si="6"/>
        <v>12.741852976020869</v>
      </c>
      <c r="F52" s="706">
        <f t="shared" si="6"/>
        <v>24.013365716339777</v>
      </c>
      <c r="G52" s="706">
        <f t="shared" si="6"/>
        <v>0</v>
      </c>
      <c r="H52" s="706">
        <f t="shared" si="6"/>
        <v>11877.603793303582</v>
      </c>
      <c r="I52" s="706">
        <f t="shared" si="6"/>
        <v>2641.6968082719682</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14560.270744528854</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685.60547358460246</v>
      </c>
      <c r="D54" s="677">
        <f ca="1">+landbouw!C12</f>
        <v>8182.5277310924375</v>
      </c>
      <c r="E54" s="677">
        <f>+landbouw!D12</f>
        <v>0</v>
      </c>
      <c r="F54" s="677">
        <f>+landbouw!E12</f>
        <v>22.442506933852279</v>
      </c>
      <c r="G54" s="677">
        <f>+landbouw!F12</f>
        <v>3741.3271610158486</v>
      </c>
      <c r="H54" s="677">
        <f>+landbouw!G12</f>
        <v>0</v>
      </c>
      <c r="I54" s="677">
        <f>+landbouw!H12</f>
        <v>0</v>
      </c>
      <c r="J54" s="677">
        <f>+landbouw!I12</f>
        <v>0</v>
      </c>
      <c r="K54" s="677">
        <f>+landbouw!J12</f>
        <v>172.50753528472433</v>
      </c>
      <c r="L54" s="677">
        <f>+landbouw!K12</f>
        <v>0</v>
      </c>
      <c r="M54" s="677">
        <f>+landbouw!L12</f>
        <v>0</v>
      </c>
      <c r="N54" s="677">
        <f>+landbouw!M12</f>
        <v>0</v>
      </c>
      <c r="O54" s="677">
        <f>+landbouw!N12</f>
        <v>0</v>
      </c>
      <c r="P54" s="677">
        <f>+landbouw!O12</f>
        <v>0</v>
      </c>
      <c r="Q54" s="678">
        <f>+landbouw!P12</f>
        <v>0</v>
      </c>
      <c r="R54" s="705">
        <f ca="1">SUM(C54:Q54)</f>
        <v>12804.410407911466</v>
      </c>
    </row>
    <row r="55" spans="1:18" ht="15" thickBot="1">
      <c r="A55" s="799" t="s">
        <v>823</v>
      </c>
      <c r="B55" s="809"/>
      <c r="C55" s="677">
        <f ca="1">C25*'EF ele_warmte'!B12</f>
        <v>137.24396214969289</v>
      </c>
      <c r="D55" s="677"/>
      <c r="E55" s="677">
        <f>E25*EF_CO2_aardgas</f>
        <v>435.33671661415019</v>
      </c>
      <c r="F55" s="677"/>
      <c r="G55" s="677"/>
      <c r="H55" s="677"/>
      <c r="I55" s="677"/>
      <c r="J55" s="677"/>
      <c r="K55" s="677"/>
      <c r="L55" s="677"/>
      <c r="M55" s="677"/>
      <c r="N55" s="677"/>
      <c r="O55" s="677"/>
      <c r="P55" s="677"/>
      <c r="Q55" s="678"/>
      <c r="R55" s="705">
        <f ca="1">SUM(C55:Q55)</f>
        <v>572.58067876384303</v>
      </c>
    </row>
    <row r="56" spans="1:18" ht="15.75" thickBot="1">
      <c r="A56" s="797" t="s">
        <v>824</v>
      </c>
      <c r="B56" s="810"/>
      <c r="C56" s="706">
        <f ca="1">SUM(C54:C55)</f>
        <v>822.84943573429541</v>
      </c>
      <c r="D56" s="706">
        <f t="shared" ref="D56:Q56" ca="1" si="7">SUM(D54:D55)</f>
        <v>8182.5277310924375</v>
      </c>
      <c r="E56" s="706">
        <f t="shared" si="7"/>
        <v>435.33671661415019</v>
      </c>
      <c r="F56" s="706">
        <f t="shared" si="7"/>
        <v>22.442506933852279</v>
      </c>
      <c r="G56" s="706">
        <f t="shared" si="7"/>
        <v>3741.3271610158486</v>
      </c>
      <c r="H56" s="706">
        <f t="shared" si="7"/>
        <v>0</v>
      </c>
      <c r="I56" s="706">
        <f t="shared" si="7"/>
        <v>0</v>
      </c>
      <c r="J56" s="706">
        <f t="shared" si="7"/>
        <v>0</v>
      </c>
      <c r="K56" s="706">
        <f t="shared" si="7"/>
        <v>172.50753528472433</v>
      </c>
      <c r="L56" s="706">
        <f t="shared" si="7"/>
        <v>0</v>
      </c>
      <c r="M56" s="706">
        <f t="shared" si="7"/>
        <v>0</v>
      </c>
      <c r="N56" s="706">
        <f t="shared" si="7"/>
        <v>0</v>
      </c>
      <c r="O56" s="706">
        <f t="shared" si="7"/>
        <v>0</v>
      </c>
      <c r="P56" s="706">
        <f t="shared" si="7"/>
        <v>0</v>
      </c>
      <c r="Q56" s="707">
        <f t="shared" si="7"/>
        <v>0</v>
      </c>
      <c r="R56" s="708">
        <f ca="1">SUM(R54:R55)</f>
        <v>13376.991086675309</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9815.2296555227076</v>
      </c>
      <c r="D61" s="714">
        <f t="shared" ref="D61:Q61" ca="1" si="8">D46+D52+D56</f>
        <v>8182.5277310924375</v>
      </c>
      <c r="E61" s="714">
        <f t="shared" ca="1" si="8"/>
        <v>31441.898390324961</v>
      </c>
      <c r="F61" s="714">
        <f t="shared" si="8"/>
        <v>4164.9472638307761</v>
      </c>
      <c r="G61" s="714">
        <f t="shared" ca="1" si="8"/>
        <v>7372.9382604859093</v>
      </c>
      <c r="H61" s="714">
        <f t="shared" si="8"/>
        <v>11877.603793303582</v>
      </c>
      <c r="I61" s="714">
        <f t="shared" si="8"/>
        <v>2641.6968082719682</v>
      </c>
      <c r="J61" s="714">
        <f t="shared" si="8"/>
        <v>0</v>
      </c>
      <c r="K61" s="714">
        <f t="shared" si="8"/>
        <v>498.99131477632477</v>
      </c>
      <c r="L61" s="714">
        <f t="shared" si="8"/>
        <v>0</v>
      </c>
      <c r="M61" s="714">
        <f t="shared" ca="1" si="8"/>
        <v>0</v>
      </c>
      <c r="N61" s="714">
        <f t="shared" si="8"/>
        <v>0</v>
      </c>
      <c r="O61" s="714">
        <f t="shared" ca="1" si="8"/>
        <v>0</v>
      </c>
      <c r="P61" s="714">
        <f t="shared" si="8"/>
        <v>0</v>
      </c>
      <c r="Q61" s="714">
        <f t="shared" si="8"/>
        <v>0</v>
      </c>
      <c r="R61" s="714">
        <f ca="1">R46+R52+R56</f>
        <v>75995.833217608655</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0.2038325243705032</v>
      </c>
      <c r="D63" s="755">
        <f t="shared" ca="1" si="9"/>
        <v>0.23764705882352943</v>
      </c>
      <c r="E63" s="990">
        <f t="shared" ca="1" si="9"/>
        <v>0.20200000000000004</v>
      </c>
      <c r="F63" s="755">
        <f t="shared" si="9"/>
        <v>0.22700000000000006</v>
      </c>
      <c r="G63" s="755">
        <f t="shared" ca="1" si="9"/>
        <v>0.26700000000000002</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5556.1076076784502</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24102</v>
      </c>
      <c r="D76" s="1000">
        <f>'lokale energieproductie'!C8</f>
        <v>28355.294117647059</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5727.7694117647061</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5556.1076076784502</v>
      </c>
      <c r="C78" s="729">
        <f>SUM(C72:C77)</f>
        <v>24102</v>
      </c>
      <c r="D78" s="730">
        <f t="shared" ref="D78:H78" si="10">SUM(D76:D77)</f>
        <v>28355.294117647059</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5727.7694117647061</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34431.428571428572</v>
      </c>
      <c r="D87" s="751">
        <f>'lokale energieproductie'!C17</f>
        <v>40507.563025210089</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8182.5277310924384</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34431.428571428572</v>
      </c>
      <c r="D90" s="729">
        <f t="shared" ref="D90:H90" si="12">SUM(D87:D89)</f>
        <v>40507.563025210089</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8182.5277310924384</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23465.298214451075</v>
      </c>
      <c r="C4" s="451">
        <f>huishoudens!C8</f>
        <v>0</v>
      </c>
      <c r="D4" s="451">
        <f>huishoudens!D8</f>
        <v>54147.390797249573</v>
      </c>
      <c r="E4" s="451">
        <f>huishoudens!E8</f>
        <v>17391.373386822484</v>
      </c>
      <c r="F4" s="451">
        <f>huishoudens!F8</f>
        <v>9747.6590859090702</v>
      </c>
      <c r="G4" s="451">
        <f>huishoudens!G8</f>
        <v>0</v>
      </c>
      <c r="H4" s="451">
        <f>huishoudens!H8</f>
        <v>0</v>
      </c>
      <c r="I4" s="451">
        <f>huishoudens!I8</f>
        <v>0</v>
      </c>
      <c r="J4" s="451">
        <f>huishoudens!J8</f>
        <v>916.85371870851327</v>
      </c>
      <c r="K4" s="451">
        <f>huishoudens!K8</f>
        <v>0</v>
      </c>
      <c r="L4" s="451">
        <f>huishoudens!L8</f>
        <v>0</v>
      </c>
      <c r="M4" s="451">
        <f>huishoudens!M8</f>
        <v>0</v>
      </c>
      <c r="N4" s="451">
        <f>huishoudens!N8</f>
        <v>23814.462127154835</v>
      </c>
      <c r="O4" s="451">
        <f>huishoudens!O8</f>
        <v>325.17333333333335</v>
      </c>
      <c r="P4" s="452">
        <f>huishoudens!P8</f>
        <v>476.66666666666663</v>
      </c>
      <c r="Q4" s="453">
        <f>SUM(B4:P4)</f>
        <v>130284.87733029557</v>
      </c>
    </row>
    <row r="5" spans="1:17">
      <c r="A5" s="450" t="s">
        <v>155</v>
      </c>
      <c r="B5" s="451">
        <f ca="1">tertiair!B16</f>
        <v>9941.5054717690437</v>
      </c>
      <c r="C5" s="451">
        <f ca="1">tertiair!C16</f>
        <v>0</v>
      </c>
      <c r="D5" s="451">
        <f ca="1">tertiair!D16</f>
        <v>14093.506783322351</v>
      </c>
      <c r="E5" s="451">
        <f>tertiair!E16</f>
        <v>183.08730088943216</v>
      </c>
      <c r="F5" s="451">
        <f ca="1">tertiair!F16</f>
        <v>1827.2434236645886</v>
      </c>
      <c r="G5" s="451">
        <f>tertiair!G16</f>
        <v>0</v>
      </c>
      <c r="H5" s="451">
        <f>tertiair!H16</f>
        <v>0</v>
      </c>
      <c r="I5" s="451">
        <f>tertiair!I16</f>
        <v>0</v>
      </c>
      <c r="J5" s="451">
        <f>tertiair!J16</f>
        <v>3.3986651158396497E-2</v>
      </c>
      <c r="K5" s="451">
        <f>tertiair!K16</f>
        <v>0</v>
      </c>
      <c r="L5" s="451">
        <f ca="1">tertiair!L16</f>
        <v>0</v>
      </c>
      <c r="M5" s="451">
        <f>tertiair!M16</f>
        <v>0</v>
      </c>
      <c r="N5" s="451">
        <f ca="1">tertiair!N16</f>
        <v>1342.7980524801062</v>
      </c>
      <c r="O5" s="451">
        <f>tertiair!O16</f>
        <v>6.2533333333333339</v>
      </c>
      <c r="P5" s="452">
        <f>tertiair!P16</f>
        <v>38.133333333333333</v>
      </c>
      <c r="Q5" s="450">
        <f t="shared" ref="Q5:Q14" ca="1" si="0">SUM(B5:P5)</f>
        <v>27432.561685443347</v>
      </c>
    </row>
    <row r="6" spans="1:17">
      <c r="A6" s="450" t="s">
        <v>193</v>
      </c>
      <c r="B6" s="451">
        <f>'openbare verlichting'!B8</f>
        <v>756.47299999999996</v>
      </c>
      <c r="C6" s="451"/>
      <c r="D6" s="451"/>
      <c r="E6" s="451"/>
      <c r="F6" s="451"/>
      <c r="G6" s="451"/>
      <c r="H6" s="451"/>
      <c r="I6" s="451"/>
      <c r="J6" s="451"/>
      <c r="K6" s="451"/>
      <c r="L6" s="451"/>
      <c r="M6" s="451"/>
      <c r="N6" s="451"/>
      <c r="O6" s="451"/>
      <c r="P6" s="452"/>
      <c r="Q6" s="450">
        <f t="shared" si="0"/>
        <v>756.47299999999996</v>
      </c>
    </row>
    <row r="7" spans="1:17">
      <c r="A7" s="450" t="s">
        <v>111</v>
      </c>
      <c r="B7" s="451">
        <f>landbouw!B8</f>
        <v>3363.5725000313892</v>
      </c>
      <c r="C7" s="451">
        <f>landbouw!C8</f>
        <v>34431.428571428572</v>
      </c>
      <c r="D7" s="451">
        <f>landbouw!D8</f>
        <v>0</v>
      </c>
      <c r="E7" s="451">
        <f>landbouw!E8</f>
        <v>98.865669312124567</v>
      </c>
      <c r="F7" s="451">
        <f>landbouw!F8</f>
        <v>14012.461277212915</v>
      </c>
      <c r="G7" s="451">
        <f>landbouw!G8</f>
        <v>0</v>
      </c>
      <c r="H7" s="451">
        <f>landbouw!H8</f>
        <v>0</v>
      </c>
      <c r="I7" s="451">
        <f>landbouw!I8</f>
        <v>0</v>
      </c>
      <c r="J7" s="451">
        <f>landbouw!J8</f>
        <v>487.30942170826086</v>
      </c>
      <c r="K7" s="451">
        <f>landbouw!K8</f>
        <v>0</v>
      </c>
      <c r="L7" s="451">
        <f>landbouw!L8</f>
        <v>0</v>
      </c>
      <c r="M7" s="451">
        <f>landbouw!M8</f>
        <v>0</v>
      </c>
      <c r="N7" s="451">
        <f>landbouw!N8</f>
        <v>0</v>
      </c>
      <c r="O7" s="451">
        <f>landbouw!O8</f>
        <v>0</v>
      </c>
      <c r="P7" s="452">
        <f>landbouw!P8</f>
        <v>0</v>
      </c>
      <c r="Q7" s="450">
        <f t="shared" si="0"/>
        <v>52393.637439693259</v>
      </c>
    </row>
    <row r="8" spans="1:17">
      <c r="A8" s="450" t="s">
        <v>634</v>
      </c>
      <c r="B8" s="451">
        <f>industrie!B18</f>
        <v>9932.5579863163512</v>
      </c>
      <c r="C8" s="451">
        <f>industrie!C18</f>
        <v>0</v>
      </c>
      <c r="D8" s="451">
        <f>industrie!D18</f>
        <v>85193.854007224043</v>
      </c>
      <c r="E8" s="451">
        <f>industrie!E18</f>
        <v>568.6731941408766</v>
      </c>
      <c r="F8" s="451">
        <f>industrie!F18</f>
        <v>2026.6371888160818</v>
      </c>
      <c r="G8" s="451">
        <f>industrie!G18</f>
        <v>0</v>
      </c>
      <c r="H8" s="451">
        <f>industrie!H18</f>
        <v>0</v>
      </c>
      <c r="I8" s="451">
        <f>industrie!I18</f>
        <v>0</v>
      </c>
      <c r="J8" s="451">
        <f>industrie!J18</f>
        <v>5.3828581759228653</v>
      </c>
      <c r="K8" s="451">
        <f>industrie!K18</f>
        <v>0</v>
      </c>
      <c r="L8" s="451">
        <f>industrie!L18</f>
        <v>0</v>
      </c>
      <c r="M8" s="451">
        <f>industrie!M18</f>
        <v>0</v>
      </c>
      <c r="N8" s="451">
        <f>industrie!N18</f>
        <v>702.42538481563963</v>
      </c>
      <c r="O8" s="451">
        <f>industrie!O18</f>
        <v>0</v>
      </c>
      <c r="P8" s="452">
        <f>industrie!P18</f>
        <v>0</v>
      </c>
      <c r="Q8" s="450">
        <f t="shared" si="0"/>
        <v>98429.530619488913</v>
      </c>
    </row>
    <row r="9" spans="1:17" s="456" customFormat="1">
      <c r="A9" s="454" t="s">
        <v>560</v>
      </c>
      <c r="B9" s="455">
        <f>transport!B14</f>
        <v>20.678369528905581</v>
      </c>
      <c r="C9" s="455">
        <f>transport!C14</f>
        <v>0</v>
      </c>
      <c r="D9" s="455">
        <f>transport!D14</f>
        <v>63.078480079311234</v>
      </c>
      <c r="E9" s="455">
        <f>transport!E14</f>
        <v>105.78575205436024</v>
      </c>
      <c r="F9" s="455">
        <f>transport!F14</f>
        <v>0</v>
      </c>
      <c r="G9" s="455">
        <f>transport!G14</f>
        <v>43401.20627960188</v>
      </c>
      <c r="H9" s="455">
        <f>transport!H14</f>
        <v>10609.224129606298</v>
      </c>
      <c r="I9" s="455">
        <f>transport!I14</f>
        <v>0</v>
      </c>
      <c r="J9" s="455">
        <f>transport!J14</f>
        <v>0</v>
      </c>
      <c r="K9" s="455">
        <f>transport!K14</f>
        <v>0</v>
      </c>
      <c r="L9" s="455">
        <f>transport!L14</f>
        <v>0</v>
      </c>
      <c r="M9" s="455">
        <f>transport!M14</f>
        <v>2848.0754598942312</v>
      </c>
      <c r="N9" s="455">
        <f>transport!N14</f>
        <v>0</v>
      </c>
      <c r="O9" s="455">
        <f>transport!O14</f>
        <v>0</v>
      </c>
      <c r="P9" s="455">
        <f>transport!P14</f>
        <v>0</v>
      </c>
      <c r="Q9" s="454">
        <f>SUM(B9:P9)</f>
        <v>57048.048470764988</v>
      </c>
    </row>
    <row r="10" spans="1:17">
      <c r="A10" s="450" t="s">
        <v>550</v>
      </c>
      <c r="B10" s="451">
        <f>transport!B54</f>
        <v>0</v>
      </c>
      <c r="C10" s="451">
        <f>transport!C54</f>
        <v>0</v>
      </c>
      <c r="D10" s="451">
        <f>transport!D54</f>
        <v>0</v>
      </c>
      <c r="E10" s="451">
        <f>transport!E54</f>
        <v>0</v>
      </c>
      <c r="F10" s="451">
        <f>transport!F54</f>
        <v>0</v>
      </c>
      <c r="G10" s="451">
        <f>transport!G54</f>
        <v>1084.2011859546037</v>
      </c>
      <c r="H10" s="451">
        <f>transport!H54</f>
        <v>0</v>
      </c>
      <c r="I10" s="451">
        <f>transport!I54</f>
        <v>0</v>
      </c>
      <c r="J10" s="451">
        <f>transport!J54</f>
        <v>0</v>
      </c>
      <c r="K10" s="451">
        <f>transport!K54</f>
        <v>0</v>
      </c>
      <c r="L10" s="451">
        <f>transport!L54</f>
        <v>0</v>
      </c>
      <c r="M10" s="451">
        <f>transport!M54</f>
        <v>61.573189535781253</v>
      </c>
      <c r="N10" s="451">
        <f>transport!N54</f>
        <v>0</v>
      </c>
      <c r="O10" s="451">
        <f>transport!O54</f>
        <v>0</v>
      </c>
      <c r="P10" s="452">
        <f>transport!P54</f>
        <v>0</v>
      </c>
      <c r="Q10" s="450">
        <f t="shared" si="0"/>
        <v>1145.774375490385</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673.31728620613399</v>
      </c>
      <c r="C14" s="458"/>
      <c r="D14" s="458">
        <f>'SEAP template'!E25</f>
        <v>2155.13226046609</v>
      </c>
      <c r="E14" s="458"/>
      <c r="F14" s="458"/>
      <c r="G14" s="458"/>
      <c r="H14" s="458"/>
      <c r="I14" s="458"/>
      <c r="J14" s="458"/>
      <c r="K14" s="458"/>
      <c r="L14" s="458"/>
      <c r="M14" s="458"/>
      <c r="N14" s="458"/>
      <c r="O14" s="458"/>
      <c r="P14" s="459"/>
      <c r="Q14" s="450">
        <f t="shared" si="0"/>
        <v>2828.4495466722237</v>
      </c>
    </row>
    <row r="15" spans="1:17" s="460" customFormat="1">
      <c r="A15" s="1005" t="s">
        <v>554</v>
      </c>
      <c r="B15" s="953">
        <f ca="1">SUM(B4:B14)</f>
        <v>48153.402828302897</v>
      </c>
      <c r="C15" s="953">
        <f t="shared" ref="C15:Q15" ca="1" si="1">SUM(C4:C14)</f>
        <v>34431.428571428572</v>
      </c>
      <c r="D15" s="953">
        <f t="shared" ca="1" si="1"/>
        <v>155652.96232834135</v>
      </c>
      <c r="E15" s="953">
        <f t="shared" si="1"/>
        <v>18347.785303219272</v>
      </c>
      <c r="F15" s="953">
        <f t="shared" ca="1" si="1"/>
        <v>27614.000975602656</v>
      </c>
      <c r="G15" s="953">
        <f t="shared" si="1"/>
        <v>44485.407465556484</v>
      </c>
      <c r="H15" s="953">
        <f t="shared" si="1"/>
        <v>10609.224129606298</v>
      </c>
      <c r="I15" s="953">
        <f t="shared" si="1"/>
        <v>0</v>
      </c>
      <c r="J15" s="953">
        <f t="shared" si="1"/>
        <v>1409.5799852438554</v>
      </c>
      <c r="K15" s="953">
        <f t="shared" si="1"/>
        <v>0</v>
      </c>
      <c r="L15" s="953">
        <f t="shared" ca="1" si="1"/>
        <v>0</v>
      </c>
      <c r="M15" s="953">
        <f t="shared" si="1"/>
        <v>2909.6486494300125</v>
      </c>
      <c r="N15" s="953">
        <f t="shared" ca="1" si="1"/>
        <v>25859.685564450581</v>
      </c>
      <c r="O15" s="953">
        <f t="shared" si="1"/>
        <v>331.42666666666668</v>
      </c>
      <c r="P15" s="953">
        <f t="shared" si="1"/>
        <v>514.79999999999995</v>
      </c>
      <c r="Q15" s="953">
        <f t="shared" ca="1" si="1"/>
        <v>370319.35246784869</v>
      </c>
    </row>
    <row r="17" spans="1:17">
      <c r="A17" s="461" t="s">
        <v>555</v>
      </c>
      <c r="B17" s="760">
        <f ca="1">huishoudens!B10</f>
        <v>0.2038325243705032</v>
      </c>
      <c r="C17" s="760">
        <f ca="1">huishoudens!C10</f>
        <v>0.23764705882352943</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4782.9909701582237</v>
      </c>
      <c r="C22" s="451">
        <f t="shared" ref="C22:C32" ca="1" si="3">C4*$C$17</f>
        <v>0</v>
      </c>
      <c r="D22" s="451">
        <f t="shared" ref="D22:D32" si="4">D4*$D$17</f>
        <v>10937.772941044414</v>
      </c>
      <c r="E22" s="451">
        <f t="shared" ref="E22:E32" si="5">E4*$E$17</f>
        <v>3947.8417588087041</v>
      </c>
      <c r="F22" s="451">
        <f t="shared" ref="F22:F32" si="6">F4*$F$17</f>
        <v>2602.624975937722</v>
      </c>
      <c r="G22" s="451">
        <f t="shared" ref="G22:G32" si="7">G4*$G$17</f>
        <v>0</v>
      </c>
      <c r="H22" s="451">
        <f t="shared" ref="H22:H32" si="8">H4*$H$17</f>
        <v>0</v>
      </c>
      <c r="I22" s="451">
        <f t="shared" ref="I22:I32" si="9">I4*$I$17</f>
        <v>0</v>
      </c>
      <c r="J22" s="451">
        <f t="shared" ref="J22:J32" si="10">J4*$J$17</f>
        <v>324.56621642281368</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22595.796862371873</v>
      </c>
    </row>
    <row r="23" spans="1:17">
      <c r="A23" s="450" t="s">
        <v>155</v>
      </c>
      <c r="B23" s="451">
        <f t="shared" ca="1" si="2"/>
        <v>2026.4021563538545</v>
      </c>
      <c r="C23" s="451">
        <f t="shared" ca="1" si="3"/>
        <v>0</v>
      </c>
      <c r="D23" s="451">
        <f t="shared" ca="1" si="4"/>
        <v>2846.888370231115</v>
      </c>
      <c r="E23" s="451">
        <f t="shared" si="5"/>
        <v>41.560817301901103</v>
      </c>
      <c r="F23" s="451">
        <f t="shared" ca="1" si="6"/>
        <v>487.87399411844518</v>
      </c>
      <c r="G23" s="451">
        <f t="shared" si="7"/>
        <v>0</v>
      </c>
      <c r="H23" s="451">
        <f t="shared" si="8"/>
        <v>0</v>
      </c>
      <c r="I23" s="451">
        <f t="shared" si="9"/>
        <v>0</v>
      </c>
      <c r="J23" s="451">
        <f t="shared" si="10"/>
        <v>1.2031274510072359E-2</v>
      </c>
      <c r="K23" s="451">
        <f t="shared" si="11"/>
        <v>0</v>
      </c>
      <c r="L23" s="451">
        <f t="shared" ca="1" si="12"/>
        <v>0</v>
      </c>
      <c r="M23" s="451">
        <f t="shared" si="13"/>
        <v>0</v>
      </c>
      <c r="N23" s="451">
        <f t="shared" ca="1" si="14"/>
        <v>0</v>
      </c>
      <c r="O23" s="451">
        <f t="shared" si="15"/>
        <v>0</v>
      </c>
      <c r="P23" s="452">
        <f t="shared" si="16"/>
        <v>0</v>
      </c>
      <c r="Q23" s="450">
        <f t="shared" ref="Q23:Q32" ca="1" si="17">SUM(B23:P23)</f>
        <v>5402.7373692798255</v>
      </c>
    </row>
    <row r="24" spans="1:17">
      <c r="A24" s="450" t="s">
        <v>193</v>
      </c>
      <c r="B24" s="451">
        <f t="shared" ca="1" si="2"/>
        <v>154.19380120812767</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154.19380120812767</v>
      </c>
    </row>
    <row r="25" spans="1:17">
      <c r="A25" s="450" t="s">
        <v>111</v>
      </c>
      <c r="B25" s="451">
        <f t="shared" ca="1" si="2"/>
        <v>685.60547358460246</v>
      </c>
      <c r="C25" s="451">
        <f t="shared" ca="1" si="3"/>
        <v>8182.5277310924375</v>
      </c>
      <c r="D25" s="451">
        <f t="shared" si="4"/>
        <v>0</v>
      </c>
      <c r="E25" s="451">
        <f t="shared" si="5"/>
        <v>22.442506933852279</v>
      </c>
      <c r="F25" s="451">
        <f t="shared" si="6"/>
        <v>3741.3271610158486</v>
      </c>
      <c r="G25" s="451">
        <f t="shared" si="7"/>
        <v>0</v>
      </c>
      <c r="H25" s="451">
        <f t="shared" si="8"/>
        <v>0</v>
      </c>
      <c r="I25" s="451">
        <f t="shared" si="9"/>
        <v>0</v>
      </c>
      <c r="J25" s="451">
        <f t="shared" si="10"/>
        <v>172.50753528472433</v>
      </c>
      <c r="K25" s="451">
        <f t="shared" si="11"/>
        <v>0</v>
      </c>
      <c r="L25" s="451">
        <f t="shared" si="12"/>
        <v>0</v>
      </c>
      <c r="M25" s="451">
        <f t="shared" si="13"/>
        <v>0</v>
      </c>
      <c r="N25" s="451">
        <f t="shared" si="14"/>
        <v>0</v>
      </c>
      <c r="O25" s="451">
        <f t="shared" si="15"/>
        <v>0</v>
      </c>
      <c r="P25" s="452">
        <f t="shared" si="16"/>
        <v>0</v>
      </c>
      <c r="Q25" s="450">
        <f t="shared" ca="1" si="17"/>
        <v>12804.410407911466</v>
      </c>
    </row>
    <row r="26" spans="1:17">
      <c r="A26" s="450" t="s">
        <v>634</v>
      </c>
      <c r="B26" s="451">
        <f t="shared" ca="1" si="2"/>
        <v>2024.5783678072639</v>
      </c>
      <c r="C26" s="451">
        <f t="shared" ca="1" si="3"/>
        <v>0</v>
      </c>
      <c r="D26" s="451">
        <f t="shared" si="4"/>
        <v>17209.158509459259</v>
      </c>
      <c r="E26" s="451">
        <f t="shared" si="5"/>
        <v>129.08881506997901</v>
      </c>
      <c r="F26" s="451">
        <f t="shared" si="6"/>
        <v>541.11212941389385</v>
      </c>
      <c r="G26" s="451">
        <f t="shared" si="7"/>
        <v>0</v>
      </c>
      <c r="H26" s="451">
        <f t="shared" si="8"/>
        <v>0</v>
      </c>
      <c r="I26" s="451">
        <f t="shared" si="9"/>
        <v>0</v>
      </c>
      <c r="J26" s="451">
        <f t="shared" si="10"/>
        <v>1.9055317942766943</v>
      </c>
      <c r="K26" s="451">
        <f t="shared" si="11"/>
        <v>0</v>
      </c>
      <c r="L26" s="451">
        <f t="shared" si="12"/>
        <v>0</v>
      </c>
      <c r="M26" s="451">
        <f t="shared" si="13"/>
        <v>0</v>
      </c>
      <c r="N26" s="451">
        <f t="shared" si="14"/>
        <v>0</v>
      </c>
      <c r="O26" s="451">
        <f t="shared" si="15"/>
        <v>0</v>
      </c>
      <c r="P26" s="452">
        <f t="shared" si="16"/>
        <v>0</v>
      </c>
      <c r="Q26" s="450">
        <f t="shared" ca="1" si="17"/>
        <v>19905.843353544671</v>
      </c>
    </row>
    <row r="27" spans="1:17" s="456" customFormat="1">
      <c r="A27" s="454" t="s">
        <v>560</v>
      </c>
      <c r="B27" s="754">
        <f t="shared" ca="1" si="2"/>
        <v>4.2149242609429178</v>
      </c>
      <c r="C27" s="455">
        <f t="shared" ca="1" si="3"/>
        <v>0</v>
      </c>
      <c r="D27" s="455">
        <f t="shared" si="4"/>
        <v>12.741852976020869</v>
      </c>
      <c r="E27" s="455">
        <f t="shared" si="5"/>
        <v>24.013365716339777</v>
      </c>
      <c r="F27" s="455">
        <f t="shared" si="6"/>
        <v>0</v>
      </c>
      <c r="G27" s="455">
        <f t="shared" si="7"/>
        <v>11588.122076653703</v>
      </c>
      <c r="H27" s="455">
        <f t="shared" si="8"/>
        <v>2641.6968082719682</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14270.789027878975</v>
      </c>
    </row>
    <row r="28" spans="1:17">
      <c r="A28" s="450" t="s">
        <v>550</v>
      </c>
      <c r="B28" s="451">
        <f t="shared" ca="1" si="2"/>
        <v>0</v>
      </c>
      <c r="C28" s="451">
        <f t="shared" ca="1" si="3"/>
        <v>0</v>
      </c>
      <c r="D28" s="451">
        <f t="shared" si="4"/>
        <v>0</v>
      </c>
      <c r="E28" s="451">
        <f t="shared" si="5"/>
        <v>0</v>
      </c>
      <c r="F28" s="451">
        <f t="shared" si="6"/>
        <v>0</v>
      </c>
      <c r="G28" s="451">
        <f t="shared" si="7"/>
        <v>289.48171664987922</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289.48171664987922</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137.24396214969289</v>
      </c>
      <c r="C32" s="451">
        <f t="shared" ca="1" si="3"/>
        <v>0</v>
      </c>
      <c r="D32" s="451">
        <f t="shared" si="4"/>
        <v>435.33671661415019</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572.58067876384303</v>
      </c>
    </row>
    <row r="33" spans="1:17" s="460" customFormat="1">
      <c r="A33" s="1005" t="s">
        <v>554</v>
      </c>
      <c r="B33" s="953">
        <f ca="1">SUM(B22:B32)</f>
        <v>9815.2296555227076</v>
      </c>
      <c r="C33" s="953">
        <f t="shared" ref="C33:Q33" ca="1" si="18">SUM(C22:C32)</f>
        <v>8182.5277310924375</v>
      </c>
      <c r="D33" s="953">
        <f t="shared" ca="1" si="18"/>
        <v>31441.898390324961</v>
      </c>
      <c r="E33" s="953">
        <f t="shared" si="18"/>
        <v>4164.9472638307761</v>
      </c>
      <c r="F33" s="953">
        <f t="shared" ca="1" si="18"/>
        <v>7372.9382604859093</v>
      </c>
      <c r="G33" s="953">
        <f t="shared" si="18"/>
        <v>11877.603793303582</v>
      </c>
      <c r="H33" s="953">
        <f t="shared" si="18"/>
        <v>2641.6968082719682</v>
      </c>
      <c r="I33" s="953">
        <f t="shared" si="18"/>
        <v>0</v>
      </c>
      <c r="J33" s="953">
        <f t="shared" si="18"/>
        <v>498.99131477632477</v>
      </c>
      <c r="K33" s="953">
        <f t="shared" si="18"/>
        <v>0</v>
      </c>
      <c r="L33" s="953">
        <f t="shared" ca="1" si="18"/>
        <v>0</v>
      </c>
      <c r="M33" s="953">
        <f t="shared" si="18"/>
        <v>0</v>
      </c>
      <c r="N33" s="953">
        <f t="shared" ca="1" si="18"/>
        <v>0</v>
      </c>
      <c r="O33" s="953">
        <f t="shared" si="18"/>
        <v>0</v>
      </c>
      <c r="P33" s="953">
        <f t="shared" si="18"/>
        <v>0</v>
      </c>
      <c r="Q33" s="953">
        <f t="shared" ca="1" si="18"/>
        <v>75995.833217608655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5556.1076076784502</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24102</v>
      </c>
      <c r="D8" s="1022">
        <f>'SEAP template'!D76</f>
        <v>28355.294117647059</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5727.7694117647061</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5556.1076076784502</v>
      </c>
      <c r="C10" s="1026">
        <f>SUM(C4:C9)</f>
        <v>24102</v>
      </c>
      <c r="D10" s="1026">
        <f t="shared" ref="D10:H10" si="0">SUM(D8:D9)</f>
        <v>28355.294117647059</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5727.7694117647061</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0.2038325243705032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34431.428571428572</v>
      </c>
      <c r="D17" s="1023">
        <f>'SEAP template'!D87</f>
        <v>40507.563025210089</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8182.5277310924384</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34431.428571428572</v>
      </c>
      <c r="D20" s="1026">
        <f t="shared" ref="D20:H20" si="2">SUM(D17:D19)</f>
        <v>40507.563025210089</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8182.5277310924384</v>
      </c>
    </row>
    <row r="22" spans="1:16">
      <c r="A22" s="461" t="s">
        <v>848</v>
      </c>
      <c r="B22" s="760" t="s">
        <v>842</v>
      </c>
      <c r="C22" s="760">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0.2038325243705032</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0.2038325243705032</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0.2038325243705032</v>
      </c>
      <c r="C29" s="499">
        <f ca="1">'EF ele_warmte'!B22</f>
        <v>0.23764705882352943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5786</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3035.19</v>
      </c>
      <c r="C14" s="330"/>
      <c r="D14" s="330"/>
      <c r="E14" s="330"/>
      <c r="F14" s="330"/>
    </row>
    <row r="15" spans="1:6">
      <c r="A15" s="1293" t="s">
        <v>183</v>
      </c>
      <c r="B15" s="1294">
        <v>895</v>
      </c>
      <c r="C15" s="330"/>
      <c r="D15" s="330"/>
      <c r="E15" s="330"/>
      <c r="F15" s="330"/>
    </row>
    <row r="16" spans="1:6">
      <c r="A16" s="1293" t="s">
        <v>6</v>
      </c>
      <c r="B16" s="1294">
        <v>1690</v>
      </c>
      <c r="C16" s="330"/>
      <c r="D16" s="330"/>
      <c r="E16" s="330"/>
      <c r="F16" s="330"/>
    </row>
    <row r="17" spans="1:6">
      <c r="A17" s="1293" t="s">
        <v>7</v>
      </c>
      <c r="B17" s="1294">
        <v>870</v>
      </c>
      <c r="C17" s="330"/>
      <c r="D17" s="330"/>
      <c r="E17" s="330"/>
      <c r="F17" s="330"/>
    </row>
    <row r="18" spans="1:6">
      <c r="A18" s="1293" t="s">
        <v>8</v>
      </c>
      <c r="B18" s="1294">
        <v>1518</v>
      </c>
      <c r="C18" s="330"/>
      <c r="D18" s="330"/>
      <c r="E18" s="330"/>
      <c r="F18" s="330"/>
    </row>
    <row r="19" spans="1:6">
      <c r="A19" s="1293" t="s">
        <v>9</v>
      </c>
      <c r="B19" s="1294">
        <v>1465</v>
      </c>
      <c r="C19" s="330"/>
      <c r="D19" s="330"/>
      <c r="E19" s="330"/>
      <c r="F19" s="330"/>
    </row>
    <row r="20" spans="1:6">
      <c r="A20" s="1293" t="s">
        <v>10</v>
      </c>
      <c r="B20" s="1294">
        <v>959</v>
      </c>
      <c r="C20" s="330"/>
      <c r="D20" s="330"/>
      <c r="E20" s="330"/>
      <c r="F20" s="330"/>
    </row>
    <row r="21" spans="1:6">
      <c r="A21" s="1293" t="s">
        <v>11</v>
      </c>
      <c r="B21" s="1294">
        <v>11872</v>
      </c>
      <c r="C21" s="330"/>
      <c r="D21" s="330"/>
      <c r="E21" s="330"/>
      <c r="F21" s="330"/>
    </row>
    <row r="22" spans="1:6">
      <c r="A22" s="1293" t="s">
        <v>12</v>
      </c>
      <c r="B22" s="1294">
        <v>47792</v>
      </c>
      <c r="C22" s="330"/>
      <c r="D22" s="330"/>
      <c r="E22" s="330"/>
      <c r="F22" s="330"/>
    </row>
    <row r="23" spans="1:6">
      <c r="A23" s="1293" t="s">
        <v>13</v>
      </c>
      <c r="B23" s="1294">
        <v>407</v>
      </c>
      <c r="C23" s="330"/>
      <c r="D23" s="330"/>
      <c r="E23" s="330"/>
      <c r="F23" s="330"/>
    </row>
    <row r="24" spans="1:6">
      <c r="A24" s="1293" t="s">
        <v>14</v>
      </c>
      <c r="B24" s="1294">
        <v>33</v>
      </c>
      <c r="C24" s="330"/>
      <c r="D24" s="330"/>
      <c r="E24" s="330"/>
      <c r="F24" s="330"/>
    </row>
    <row r="25" spans="1:6">
      <c r="A25" s="1293" t="s">
        <v>15</v>
      </c>
      <c r="B25" s="1294">
        <v>3430</v>
      </c>
      <c r="C25" s="330"/>
      <c r="D25" s="330"/>
      <c r="E25" s="330"/>
      <c r="F25" s="330"/>
    </row>
    <row r="26" spans="1:6">
      <c r="A26" s="1293" t="s">
        <v>16</v>
      </c>
      <c r="B26" s="1294">
        <v>380</v>
      </c>
      <c r="C26" s="330"/>
      <c r="D26" s="330"/>
      <c r="E26" s="330"/>
      <c r="F26" s="330"/>
    </row>
    <row r="27" spans="1:6">
      <c r="A27" s="1293" t="s">
        <v>17</v>
      </c>
      <c r="B27" s="1294">
        <v>67</v>
      </c>
      <c r="C27" s="330"/>
      <c r="D27" s="330"/>
      <c r="E27" s="330"/>
      <c r="F27" s="330"/>
    </row>
    <row r="28" spans="1:6" s="43" customFormat="1">
      <c r="A28" s="1295" t="s">
        <v>18</v>
      </c>
      <c r="B28" s="1296">
        <v>175322</v>
      </c>
      <c r="C28" s="336"/>
      <c r="D28" s="336"/>
      <c r="E28" s="336"/>
      <c r="F28" s="336"/>
    </row>
    <row r="29" spans="1:6">
      <c r="A29" s="1295" t="s">
        <v>734</v>
      </c>
      <c r="B29" s="1296">
        <v>132</v>
      </c>
      <c r="C29" s="336"/>
      <c r="D29" s="336"/>
      <c r="E29" s="336"/>
      <c r="F29" s="336"/>
    </row>
    <row r="30" spans="1:6">
      <c r="A30" s="1288" t="s">
        <v>735</v>
      </c>
      <c r="B30" s="1297">
        <v>25</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17</v>
      </c>
      <c r="F36" s="1294">
        <v>108582.536962606</v>
      </c>
    </row>
    <row r="37" spans="1:6">
      <c r="A37" s="1293" t="s">
        <v>24</v>
      </c>
      <c r="B37" s="1293" t="s">
        <v>27</v>
      </c>
      <c r="C37" s="1294">
        <v>0</v>
      </c>
      <c r="D37" s="1294">
        <v>0</v>
      </c>
      <c r="E37" s="1294">
        <v>0</v>
      </c>
      <c r="F37" s="1294">
        <v>0</v>
      </c>
    </row>
    <row r="38" spans="1:6">
      <c r="A38" s="1293" t="s">
        <v>24</v>
      </c>
      <c r="B38" s="1293" t="s">
        <v>28</v>
      </c>
      <c r="C38" s="1294">
        <v>1</v>
      </c>
      <c r="D38" s="1294">
        <v>69063524.523100004</v>
      </c>
      <c r="E38" s="1294">
        <v>2</v>
      </c>
      <c r="F38" s="1294">
        <v>208032.50850922</v>
      </c>
    </row>
    <row r="39" spans="1:6">
      <c r="A39" s="1293" t="s">
        <v>29</v>
      </c>
      <c r="B39" s="1293" t="s">
        <v>30</v>
      </c>
      <c r="C39" s="1294">
        <v>3809</v>
      </c>
      <c r="D39" s="1294">
        <v>60001317.916866601</v>
      </c>
      <c r="E39" s="1294">
        <v>5324</v>
      </c>
      <c r="F39" s="1294">
        <v>19453390.4627763</v>
      </c>
    </row>
    <row r="40" spans="1:6">
      <c r="A40" s="1293" t="s">
        <v>29</v>
      </c>
      <c r="B40" s="1293" t="s">
        <v>28</v>
      </c>
      <c r="C40" s="1294">
        <v>1</v>
      </c>
      <c r="D40" s="1294">
        <v>29048.820660640598</v>
      </c>
      <c r="E40" s="1294">
        <v>1</v>
      </c>
      <c r="F40" s="1294">
        <v>510.52832486049999</v>
      </c>
    </row>
    <row r="41" spans="1:6">
      <c r="A41" s="1293" t="s">
        <v>31</v>
      </c>
      <c r="B41" s="1293" t="s">
        <v>32</v>
      </c>
      <c r="C41" s="1294">
        <v>76</v>
      </c>
      <c r="D41" s="1294">
        <v>1644225.5374927199</v>
      </c>
      <c r="E41" s="1294">
        <v>169</v>
      </c>
      <c r="F41" s="1294">
        <v>1612035.0128806799</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0</v>
      </c>
      <c r="F44" s="1294">
        <v>0</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27</v>
      </c>
      <c r="D48" s="1294">
        <v>14529639.2151361</v>
      </c>
      <c r="E48" s="1294">
        <v>39</v>
      </c>
      <c r="F48" s="1294">
        <v>1503599.65581403</v>
      </c>
    </row>
    <row r="49" spans="1:6">
      <c r="A49" s="1293" t="s">
        <v>31</v>
      </c>
      <c r="B49" s="1293" t="s">
        <v>39</v>
      </c>
      <c r="C49" s="1294">
        <v>0</v>
      </c>
      <c r="D49" s="1294">
        <v>0</v>
      </c>
      <c r="E49" s="1294">
        <v>0</v>
      </c>
      <c r="F49" s="1294">
        <v>0</v>
      </c>
    </row>
    <row r="50" spans="1:6">
      <c r="A50" s="1293" t="s">
        <v>31</v>
      </c>
      <c r="B50" s="1293" t="s">
        <v>40</v>
      </c>
      <c r="C50" s="1294">
        <v>16</v>
      </c>
      <c r="D50" s="1294">
        <v>78276084.257597402</v>
      </c>
      <c r="E50" s="1294">
        <v>26</v>
      </c>
      <c r="F50" s="1294">
        <v>6816923.3176216399</v>
      </c>
    </row>
    <row r="51" spans="1:6">
      <c r="A51" s="1293" t="s">
        <v>41</v>
      </c>
      <c r="B51" s="1293" t="s">
        <v>42</v>
      </c>
      <c r="C51" s="1294">
        <v>13</v>
      </c>
      <c r="D51" s="1294">
        <v>221474.357397582</v>
      </c>
      <c r="E51" s="1294">
        <v>156</v>
      </c>
      <c r="F51" s="1294">
        <v>3216461.2873940901</v>
      </c>
    </row>
    <row r="52" spans="1:6">
      <c r="A52" s="1293" t="s">
        <v>41</v>
      </c>
      <c r="B52" s="1293" t="s">
        <v>28</v>
      </c>
      <c r="C52" s="1294">
        <v>3</v>
      </c>
      <c r="D52" s="1294">
        <v>92323.25119245</v>
      </c>
      <c r="E52" s="1294">
        <v>8</v>
      </c>
      <c r="F52" s="1294">
        <v>147111.212637299</v>
      </c>
    </row>
    <row r="53" spans="1:6">
      <c r="A53" s="1293" t="s">
        <v>43</v>
      </c>
      <c r="B53" s="1293" t="s">
        <v>44</v>
      </c>
      <c r="C53" s="1294">
        <v>106</v>
      </c>
      <c r="D53" s="1294">
        <v>2155132.2604660899</v>
      </c>
      <c r="E53" s="1294">
        <v>178</v>
      </c>
      <c r="F53" s="1294">
        <v>673317.28620613401</v>
      </c>
    </row>
    <row r="54" spans="1:6">
      <c r="A54" s="1293" t="s">
        <v>45</v>
      </c>
      <c r="B54" s="1293" t="s">
        <v>46</v>
      </c>
      <c r="C54" s="1294">
        <v>0</v>
      </c>
      <c r="D54" s="1294">
        <v>0</v>
      </c>
      <c r="E54" s="1294">
        <v>1</v>
      </c>
      <c r="F54" s="1294">
        <v>756473</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41</v>
      </c>
      <c r="D57" s="1294">
        <v>3172829.94908639</v>
      </c>
      <c r="E57" s="1294">
        <v>93</v>
      </c>
      <c r="F57" s="1294">
        <v>1316314.9312992799</v>
      </c>
    </row>
    <row r="58" spans="1:6">
      <c r="A58" s="1293" t="s">
        <v>48</v>
      </c>
      <c r="B58" s="1293" t="s">
        <v>50</v>
      </c>
      <c r="C58" s="1294">
        <v>7</v>
      </c>
      <c r="D58" s="1294">
        <v>108307.10549142399</v>
      </c>
      <c r="E58" s="1294">
        <v>15</v>
      </c>
      <c r="F58" s="1294">
        <v>94865.644520665504</v>
      </c>
    </row>
    <row r="59" spans="1:6">
      <c r="A59" s="1293" t="s">
        <v>48</v>
      </c>
      <c r="B59" s="1293" t="s">
        <v>51</v>
      </c>
      <c r="C59" s="1294">
        <v>93</v>
      </c>
      <c r="D59" s="1294">
        <v>3080151.1965431399</v>
      </c>
      <c r="E59" s="1294">
        <v>190</v>
      </c>
      <c r="F59" s="1294">
        <v>3786264.62378099</v>
      </c>
    </row>
    <row r="60" spans="1:6">
      <c r="A60" s="1293" t="s">
        <v>48</v>
      </c>
      <c r="B60" s="1293" t="s">
        <v>52</v>
      </c>
      <c r="C60" s="1294">
        <v>42</v>
      </c>
      <c r="D60" s="1294">
        <v>1832541.67235683</v>
      </c>
      <c r="E60" s="1294">
        <v>48</v>
      </c>
      <c r="F60" s="1294">
        <v>1082340.7372409101</v>
      </c>
    </row>
    <row r="61" spans="1:6">
      <c r="A61" s="1293" t="s">
        <v>48</v>
      </c>
      <c r="B61" s="1293" t="s">
        <v>53</v>
      </c>
      <c r="C61" s="1294">
        <v>72</v>
      </c>
      <c r="D61" s="1294">
        <v>1846810.6064796499</v>
      </c>
      <c r="E61" s="1294">
        <v>155</v>
      </c>
      <c r="F61" s="1294">
        <v>1365342.19558888</v>
      </c>
    </row>
    <row r="62" spans="1:6">
      <c r="A62" s="1293" t="s">
        <v>48</v>
      </c>
      <c r="B62" s="1293" t="s">
        <v>54</v>
      </c>
      <c r="C62" s="1294">
        <v>6</v>
      </c>
      <c r="D62" s="1294">
        <v>591876.79821775702</v>
      </c>
      <c r="E62" s="1294">
        <v>6</v>
      </c>
      <c r="F62" s="1294">
        <v>60342.905217418498</v>
      </c>
    </row>
    <row r="63" spans="1:6">
      <c r="A63" s="1293" t="s">
        <v>48</v>
      </c>
      <c r="B63" s="1293" t="s">
        <v>28</v>
      </c>
      <c r="C63" s="1294">
        <v>73</v>
      </c>
      <c r="D63" s="1294">
        <v>4992213.0302753104</v>
      </c>
      <c r="E63" s="1294">
        <v>87</v>
      </c>
      <c r="F63" s="1294">
        <v>2236034.4341209</v>
      </c>
    </row>
    <row r="64" spans="1:6">
      <c r="A64" s="1293" t="s">
        <v>55</v>
      </c>
      <c r="B64" s="1293" t="s">
        <v>56</v>
      </c>
      <c r="C64" s="1294">
        <v>0</v>
      </c>
      <c r="D64" s="1294">
        <v>0</v>
      </c>
      <c r="E64" s="1294">
        <v>0</v>
      </c>
      <c r="F64" s="1294">
        <v>0</v>
      </c>
    </row>
    <row r="65" spans="1:6">
      <c r="A65" s="1293" t="s">
        <v>55</v>
      </c>
      <c r="B65" s="1293" t="s">
        <v>28</v>
      </c>
      <c r="C65" s="1294">
        <v>0</v>
      </c>
      <c r="D65" s="1294">
        <v>0</v>
      </c>
      <c r="E65" s="1294">
        <v>2</v>
      </c>
      <c r="F65" s="1294">
        <v>13064.6573537444</v>
      </c>
    </row>
    <row r="66" spans="1:6">
      <c r="A66" s="1293" t="s">
        <v>55</v>
      </c>
      <c r="B66" s="1293" t="s">
        <v>57</v>
      </c>
      <c r="C66" s="1294">
        <v>0</v>
      </c>
      <c r="D66" s="1294">
        <v>0</v>
      </c>
      <c r="E66" s="1294">
        <v>13</v>
      </c>
      <c r="F66" s="1294">
        <v>51574.211610826598</v>
      </c>
    </row>
    <row r="67" spans="1:6">
      <c r="A67" s="1295" t="s">
        <v>55</v>
      </c>
      <c r="B67" s="1295" t="s">
        <v>58</v>
      </c>
      <c r="C67" s="1294">
        <v>0</v>
      </c>
      <c r="D67" s="1294">
        <v>0</v>
      </c>
      <c r="E67" s="1294">
        <v>0</v>
      </c>
      <c r="F67" s="1294">
        <v>0</v>
      </c>
    </row>
    <row r="68" spans="1:6">
      <c r="A68" s="1288" t="s">
        <v>55</v>
      </c>
      <c r="B68" s="1288" t="s">
        <v>59</v>
      </c>
      <c r="C68" s="1297">
        <v>7</v>
      </c>
      <c r="D68" s="1297">
        <v>187305.68005274399</v>
      </c>
      <c r="E68" s="1297">
        <v>20</v>
      </c>
      <c r="F68" s="1297">
        <v>460156.494962622</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41146753</v>
      </c>
      <c r="E73" s="449"/>
      <c r="F73" s="330"/>
    </row>
    <row r="74" spans="1:6">
      <c r="A74" s="1293" t="s">
        <v>63</v>
      </c>
      <c r="B74" s="1293" t="s">
        <v>656</v>
      </c>
      <c r="C74" s="1307" t="s">
        <v>658</v>
      </c>
      <c r="D74" s="1308">
        <v>3636555.5</v>
      </c>
      <c r="E74" s="449"/>
      <c r="F74" s="330"/>
    </row>
    <row r="75" spans="1:6">
      <c r="A75" s="1293" t="s">
        <v>64</v>
      </c>
      <c r="B75" s="1293" t="s">
        <v>655</v>
      </c>
      <c r="C75" s="1307" t="s">
        <v>659</v>
      </c>
      <c r="D75" s="1308">
        <v>20683856</v>
      </c>
      <c r="E75" s="449"/>
      <c r="F75" s="330"/>
    </row>
    <row r="76" spans="1:6">
      <c r="A76" s="1293" t="s">
        <v>64</v>
      </c>
      <c r="B76" s="1293" t="s">
        <v>656</v>
      </c>
      <c r="C76" s="1307" t="s">
        <v>660</v>
      </c>
      <c r="D76" s="1308">
        <v>701686.5</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312489</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4011.3972233499162</v>
      </c>
      <c r="C91" s="330"/>
      <c r="D91" s="330"/>
      <c r="E91" s="330"/>
      <c r="F91" s="330"/>
    </row>
    <row r="92" spans="1:6">
      <c r="A92" s="1288" t="s">
        <v>68</v>
      </c>
      <c r="B92" s="1289">
        <v>1544.7103843285336</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2557</v>
      </c>
      <c r="C97" s="330"/>
      <c r="D97" s="330"/>
      <c r="E97" s="330"/>
      <c r="F97" s="330"/>
    </row>
    <row r="98" spans="1:6">
      <c r="A98" s="1293" t="s">
        <v>71</v>
      </c>
      <c r="B98" s="1294">
        <v>2</v>
      </c>
      <c r="C98" s="330"/>
      <c r="D98" s="330"/>
      <c r="E98" s="330"/>
      <c r="F98" s="330"/>
    </row>
    <row r="99" spans="1:6">
      <c r="A99" s="1293" t="s">
        <v>72</v>
      </c>
      <c r="B99" s="1294">
        <v>154</v>
      </c>
      <c r="C99" s="330"/>
      <c r="D99" s="330"/>
      <c r="E99" s="330"/>
      <c r="F99" s="330"/>
    </row>
    <row r="100" spans="1:6">
      <c r="A100" s="1293" t="s">
        <v>73</v>
      </c>
      <c r="B100" s="1294">
        <v>356</v>
      </c>
      <c r="C100" s="330"/>
      <c r="D100" s="330"/>
      <c r="E100" s="330"/>
      <c r="F100" s="330"/>
    </row>
    <row r="101" spans="1:6">
      <c r="A101" s="1293" t="s">
        <v>74</v>
      </c>
      <c r="B101" s="1294">
        <v>153</v>
      </c>
      <c r="C101" s="330"/>
      <c r="D101" s="330"/>
      <c r="E101" s="330"/>
      <c r="F101" s="330"/>
    </row>
    <row r="102" spans="1:6">
      <c r="A102" s="1293" t="s">
        <v>75</v>
      </c>
      <c r="B102" s="1294">
        <v>66</v>
      </c>
      <c r="C102" s="330"/>
      <c r="D102" s="330"/>
      <c r="E102" s="330"/>
      <c r="F102" s="330"/>
    </row>
    <row r="103" spans="1:6">
      <c r="A103" s="1293" t="s">
        <v>76</v>
      </c>
      <c r="B103" s="1294">
        <v>193</v>
      </c>
      <c r="C103" s="330"/>
      <c r="D103" s="330"/>
      <c r="E103" s="330"/>
      <c r="F103" s="330"/>
    </row>
    <row r="104" spans="1:6">
      <c r="A104" s="1293" t="s">
        <v>77</v>
      </c>
      <c r="B104" s="1294">
        <v>1595</v>
      </c>
      <c r="C104" s="330"/>
      <c r="D104" s="330"/>
      <c r="E104" s="330"/>
      <c r="F104" s="330"/>
    </row>
    <row r="105" spans="1:6">
      <c r="A105" s="1288" t="s">
        <v>78</v>
      </c>
      <c r="B105" s="1297">
        <v>2</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12</v>
      </c>
      <c r="C123" s="1294">
        <v>20</v>
      </c>
      <c r="D123" s="330"/>
      <c r="E123" s="330"/>
      <c r="F123" s="330"/>
    </row>
    <row r="124" spans="1:6" s="43" customFormat="1">
      <c r="A124" s="1295" t="s">
        <v>88</v>
      </c>
      <c r="B124" s="1316">
        <v>1</v>
      </c>
      <c r="C124" s="1316">
        <v>1</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187</v>
      </c>
      <c r="C129" s="330"/>
      <c r="D129" s="330"/>
      <c r="E129" s="330"/>
      <c r="F129" s="330"/>
    </row>
    <row r="130" spans="1:6">
      <c r="A130" s="1293" t="s">
        <v>294</v>
      </c>
      <c r="B130" s="1294">
        <v>4</v>
      </c>
      <c r="C130" s="330"/>
      <c r="D130" s="330"/>
      <c r="E130" s="330"/>
      <c r="F130" s="330"/>
    </row>
    <row r="131" spans="1:6">
      <c r="A131" s="1293" t="s">
        <v>295</v>
      </c>
      <c r="B131" s="1294">
        <v>2</v>
      </c>
      <c r="C131" s="330"/>
      <c r="D131" s="330"/>
      <c r="E131" s="330"/>
      <c r="F131" s="330"/>
    </row>
    <row r="132" spans="1:6">
      <c r="A132" s="1288" t="s">
        <v>296</v>
      </c>
      <c r="B132" s="1289">
        <v>12</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48153.402828302897</v>
      </c>
      <c r="C3" s="43" t="s">
        <v>169</v>
      </c>
      <c r="D3" s="43"/>
      <c r="E3" s="154"/>
      <c r="F3" s="43"/>
      <c r="G3" s="43"/>
      <c r="H3" s="43"/>
      <c r="I3" s="43"/>
      <c r="J3" s="43"/>
      <c r="K3" s="96"/>
    </row>
    <row r="4" spans="1:11">
      <c r="A4" s="358" t="s">
        <v>170</v>
      </c>
      <c r="B4" s="49">
        <f>IF(ISERROR('SEAP template'!B78+'SEAP template'!C78),0,'SEAP template'!B78+'SEAP template'!C78)</f>
        <v>29658.107607678452</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5727.7694117647061</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0.2038325243705032</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8182.5277310924384</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34431.428571428572</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0.23764705882352943</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756.47299999999996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756.47299999999996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0.2038325243705032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154.19380120812767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19453.90099110116</v>
      </c>
      <c r="C5" s="17">
        <f>IF(ISERROR('Eigen informatie GS &amp; warmtenet'!B57),0,'Eigen informatie GS &amp; warmtenet'!B57)</f>
        <v>0</v>
      </c>
      <c r="D5" s="30">
        <f>(SUM(HH_hh_gas_kWh,HH_rest_gas_kWh)/1000)*0.902</f>
        <v>54147.390797249573</v>
      </c>
      <c r="E5" s="17">
        <f>B46*B57</f>
        <v>17391.373386822484</v>
      </c>
      <c r="F5" s="17">
        <f>B51*B62</f>
        <v>9747.6590859090702</v>
      </c>
      <c r="G5" s="18"/>
      <c r="H5" s="17"/>
      <c r="I5" s="17"/>
      <c r="J5" s="17">
        <f>B50*B61+C50*C61</f>
        <v>916.85371870851327</v>
      </c>
      <c r="K5" s="17"/>
      <c r="L5" s="17"/>
      <c r="M5" s="17"/>
      <c r="N5" s="17">
        <f>B48*B59+C48*C59</f>
        <v>23814.462127154835</v>
      </c>
      <c r="O5" s="17">
        <f>B69*B70*B71</f>
        <v>325.17333333333335</v>
      </c>
      <c r="P5" s="17">
        <f>B77*B78*B79/1000-B77*B78*B79/1000/B80</f>
        <v>476.66666666666663</v>
      </c>
    </row>
    <row r="6" spans="1:16">
      <c r="A6" s="16" t="s">
        <v>620</v>
      </c>
      <c r="B6" s="762">
        <f>kWh_PV_kleiner_dan_10kW</f>
        <v>4011.3972233499162</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23465.298214451075</v>
      </c>
      <c r="C8" s="21">
        <f>C5</f>
        <v>0</v>
      </c>
      <c r="D8" s="21">
        <f>D5</f>
        <v>54147.390797249573</v>
      </c>
      <c r="E8" s="21">
        <f>E5</f>
        <v>17391.373386822484</v>
      </c>
      <c r="F8" s="21">
        <f>F5</f>
        <v>9747.6590859090702</v>
      </c>
      <c r="G8" s="21"/>
      <c r="H8" s="21"/>
      <c r="I8" s="21"/>
      <c r="J8" s="21">
        <f>J5</f>
        <v>916.85371870851327</v>
      </c>
      <c r="K8" s="21"/>
      <c r="L8" s="21">
        <f>L5</f>
        <v>0</v>
      </c>
      <c r="M8" s="21">
        <f>M5</f>
        <v>0</v>
      </c>
      <c r="N8" s="21">
        <f>N5</f>
        <v>23814.462127154835</v>
      </c>
      <c r="O8" s="21">
        <f>O5</f>
        <v>325.17333333333335</v>
      </c>
      <c r="P8" s="21">
        <f>P5</f>
        <v>476.66666666666663</v>
      </c>
    </row>
    <row r="9" spans="1:16">
      <c r="B9" s="19"/>
      <c r="C9" s="19"/>
      <c r="D9" s="258"/>
      <c r="E9" s="19"/>
      <c r="F9" s="19"/>
      <c r="G9" s="19"/>
      <c r="H9" s="19"/>
      <c r="I9" s="19"/>
      <c r="J9" s="19"/>
      <c r="K9" s="19"/>
      <c r="L9" s="19"/>
      <c r="M9" s="19"/>
      <c r="N9" s="19"/>
      <c r="O9" s="19"/>
      <c r="P9" s="19"/>
    </row>
    <row r="10" spans="1:16">
      <c r="A10" s="24" t="s">
        <v>213</v>
      </c>
      <c r="B10" s="25">
        <f ca="1">'EF ele_warmte'!B12</f>
        <v>0.2038325243705032</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4782.9909701582237</v>
      </c>
      <c r="C12" s="23">
        <f ca="1">C10*C8</f>
        <v>0</v>
      </c>
      <c r="D12" s="23">
        <f>D8*D10</f>
        <v>10937.772941044414</v>
      </c>
      <c r="E12" s="23">
        <f>E10*E8</f>
        <v>3947.8417588087041</v>
      </c>
      <c r="F12" s="23">
        <f>F10*F8</f>
        <v>2602.624975937722</v>
      </c>
      <c r="G12" s="23"/>
      <c r="H12" s="23"/>
      <c r="I12" s="23"/>
      <c r="J12" s="23">
        <f>J10*J8</f>
        <v>324.56621642281368</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2557</v>
      </c>
      <c r="C18" s="166" t="s">
        <v>110</v>
      </c>
      <c r="D18" s="228"/>
      <c r="E18" s="15"/>
    </row>
    <row r="19" spans="1:7">
      <c r="A19" s="171" t="s">
        <v>71</v>
      </c>
      <c r="B19" s="37">
        <f>aantalw2001_ander</f>
        <v>2</v>
      </c>
      <c r="C19" s="166" t="s">
        <v>110</v>
      </c>
      <c r="D19" s="229"/>
      <c r="E19" s="15"/>
    </row>
    <row r="20" spans="1:7">
      <c r="A20" s="171" t="s">
        <v>72</v>
      </c>
      <c r="B20" s="37">
        <f>aantalw2001_propaan</f>
        <v>154</v>
      </c>
      <c r="C20" s="167">
        <f>IF(ISERROR(B20/SUM($B$20,$B$21,$B$22)*100),0,B20/SUM($B$20,$B$21,$B$22)*100)</f>
        <v>23.227752639517345</v>
      </c>
      <c r="D20" s="229"/>
      <c r="E20" s="15"/>
    </row>
    <row r="21" spans="1:7">
      <c r="A21" s="171" t="s">
        <v>73</v>
      </c>
      <c r="B21" s="37">
        <f>aantalw2001_elektriciteit</f>
        <v>356</v>
      </c>
      <c r="C21" s="167">
        <f>IF(ISERROR(B21/SUM($B$20,$B$21,$B$22)*100),0,B21/SUM($B$20,$B$21,$B$22)*100)</f>
        <v>53.695324283559579</v>
      </c>
      <c r="D21" s="229"/>
      <c r="E21" s="15"/>
    </row>
    <row r="22" spans="1:7">
      <c r="A22" s="171" t="s">
        <v>74</v>
      </c>
      <c r="B22" s="37">
        <f>aantalw2001_hout</f>
        <v>153</v>
      </c>
      <c r="C22" s="167">
        <f>IF(ISERROR(B22/SUM($B$20,$B$21,$B$22)*100),0,B22/SUM($B$20,$B$21,$B$22)*100)</f>
        <v>23.076923076923077</v>
      </c>
      <c r="D22" s="229"/>
      <c r="E22" s="15"/>
    </row>
    <row r="23" spans="1:7">
      <c r="A23" s="171" t="s">
        <v>75</v>
      </c>
      <c r="B23" s="37">
        <f>aantalw2001_niet_gespec</f>
        <v>66</v>
      </c>
      <c r="C23" s="166" t="s">
        <v>110</v>
      </c>
      <c r="D23" s="228"/>
      <c r="E23" s="15"/>
    </row>
    <row r="24" spans="1:7">
      <c r="A24" s="171" t="s">
        <v>76</v>
      </c>
      <c r="B24" s="37">
        <f>aantalw2001_steenkool</f>
        <v>193</v>
      </c>
      <c r="C24" s="166" t="s">
        <v>110</v>
      </c>
      <c r="D24" s="229"/>
      <c r="E24" s="15"/>
    </row>
    <row r="25" spans="1:7">
      <c r="A25" s="171" t="s">
        <v>77</v>
      </c>
      <c r="B25" s="37">
        <f>aantalw2001_stookolie</f>
        <v>1595</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780</v>
      </c>
      <c r="B28" s="37">
        <f>aantalHuishoudens</f>
        <v>5786</v>
      </c>
      <c r="C28" s="36"/>
      <c r="D28" s="228"/>
    </row>
    <row r="29" spans="1:7" s="15" customFormat="1">
      <c r="A29" s="230" t="s">
        <v>781</v>
      </c>
      <c r="B29" s="37">
        <f>SUM(HH_hh_gas_aantal,HH_rest_gas_aantal)</f>
        <v>3810</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3810</v>
      </c>
      <c r="C32" s="167">
        <f>IF(ISERROR(B32/SUM($B$32,$B$34,$B$35,$B$36,$B$38,$B$39)*100),0,B32/SUM($B$32,$B$34,$B$35,$B$36,$B$38,$B$39)*100)</f>
        <v>66.134351675056408</v>
      </c>
      <c r="D32" s="233"/>
      <c r="G32" s="15"/>
    </row>
    <row r="33" spans="1:7">
      <c r="A33" s="171" t="s">
        <v>71</v>
      </c>
      <c r="B33" s="34" t="s">
        <v>110</v>
      </c>
      <c r="C33" s="167"/>
      <c r="D33" s="233"/>
      <c r="G33" s="15"/>
    </row>
    <row r="34" spans="1:7">
      <c r="A34" s="171" t="s">
        <v>72</v>
      </c>
      <c r="B34" s="33">
        <f>IF((($B$28-$B$32-$B$39-$B$77-$B$38)*C20/100)&lt;0,0,($B$28-$B$32-$B$39-$B$77-$B$38)*C20/100)</f>
        <v>328.90497737556558</v>
      </c>
      <c r="C34" s="167">
        <f>IF(ISERROR(B34/SUM($B$32,$B$34,$B$35,$B$36,$B$38,$B$39)*100),0,B34/SUM($B$32,$B$34,$B$35,$B$36,$B$38,$B$39)*100)</f>
        <v>5.7091646827905844</v>
      </c>
      <c r="D34" s="233"/>
      <c r="G34" s="15"/>
    </row>
    <row r="35" spans="1:7">
      <c r="A35" s="171" t="s">
        <v>73</v>
      </c>
      <c r="B35" s="33">
        <f>IF((($B$28-$B$32-$B$39-$B$77-$B$38)*C21/100)&lt;0,0,($B$28-$B$32-$B$39-$B$77-$B$38)*C21/100)</f>
        <v>760.32579185520353</v>
      </c>
      <c r="C35" s="167">
        <f>IF(ISERROR(B35/SUM($B$32,$B$34,$B$35,$B$36,$B$38,$B$39)*100),0,B35/SUM($B$32,$B$34,$B$35,$B$36,$B$38,$B$39)*100)</f>
        <v>13.197809266710703</v>
      </c>
      <c r="D35" s="233"/>
      <c r="G35" s="15"/>
    </row>
    <row r="36" spans="1:7">
      <c r="A36" s="171" t="s">
        <v>74</v>
      </c>
      <c r="B36" s="33">
        <f>IF((($B$28-$B$32-$B$39-$B$77-$B$38)*C22/100)&lt;0,0,($B$28-$B$32-$B$39-$B$77-$B$38)*C22/100)</f>
        <v>326.76923076923077</v>
      </c>
      <c r="C36" s="167">
        <f>IF(ISERROR(B36/SUM($B$32,$B$34,$B$35,$B$36,$B$38,$B$39)*100),0,B36/SUM($B$32,$B$34,$B$35,$B$36,$B$38,$B$39)*100)</f>
        <v>5.6720921848503867</v>
      </c>
      <c r="D36" s="233"/>
      <c r="G36" s="15"/>
    </row>
    <row r="37" spans="1:7">
      <c r="A37" s="171" t="s">
        <v>75</v>
      </c>
      <c r="B37" s="34" t="s">
        <v>110</v>
      </c>
      <c r="C37" s="167"/>
      <c r="D37" s="173"/>
      <c r="G37" s="15"/>
    </row>
    <row r="38" spans="1:7">
      <c r="A38" s="171" t="s">
        <v>76</v>
      </c>
      <c r="B38" s="33">
        <f>IF((B24-(B29-B18)*0.1)&lt;0,0,B24-(B29-B18)*0.1)</f>
        <v>67.699999999999989</v>
      </c>
      <c r="C38" s="167">
        <f>IF(ISERROR(B38/SUM($B$32,$B$34,$B$35,$B$36,$B$38,$B$39)*100),0,B38/SUM($B$32,$B$34,$B$35,$B$36,$B$38,$B$39)*100)</f>
        <v>1.175143204304808</v>
      </c>
      <c r="D38" s="234"/>
      <c r="G38" s="15"/>
    </row>
    <row r="39" spans="1:7">
      <c r="A39" s="171" t="s">
        <v>77</v>
      </c>
      <c r="B39" s="33">
        <f>IF((B25-(B29-B18))&lt;0,0,B25-(B29-B18)*0.9)</f>
        <v>467.29999999999995</v>
      </c>
      <c r="C39" s="167">
        <f>IF(ISERROR(B39/SUM($B$32,$B$34,$B$35,$B$36,$B$38,$B$39)*100),0,B39/SUM($B$32,$B$34,$B$35,$B$36,$B$38,$B$39)*100)</f>
        <v>8.1114389862871015</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3810</v>
      </c>
      <c r="C44" s="34" t="s">
        <v>110</v>
      </c>
      <c r="D44" s="174"/>
    </row>
    <row r="45" spans="1:7">
      <c r="A45" s="171" t="s">
        <v>71</v>
      </c>
      <c r="B45" s="33" t="str">
        <f t="shared" si="0"/>
        <v>-</v>
      </c>
      <c r="C45" s="34" t="s">
        <v>110</v>
      </c>
      <c r="D45" s="174"/>
    </row>
    <row r="46" spans="1:7">
      <c r="A46" s="171" t="s">
        <v>72</v>
      </c>
      <c r="B46" s="33">
        <f t="shared" si="0"/>
        <v>328.90497737556558</v>
      </c>
      <c r="C46" s="34" t="s">
        <v>110</v>
      </c>
      <c r="D46" s="174"/>
    </row>
    <row r="47" spans="1:7">
      <c r="A47" s="171" t="s">
        <v>73</v>
      </c>
      <c r="B47" s="33">
        <f t="shared" si="0"/>
        <v>760.32579185520353</v>
      </c>
      <c r="C47" s="34" t="s">
        <v>110</v>
      </c>
      <c r="D47" s="174"/>
    </row>
    <row r="48" spans="1:7">
      <c r="A48" s="171" t="s">
        <v>74</v>
      </c>
      <c r="B48" s="33">
        <f t="shared" si="0"/>
        <v>326.76923076923077</v>
      </c>
      <c r="C48" s="33">
        <f>B48*10</f>
        <v>3267.6923076923076</v>
      </c>
      <c r="D48" s="234"/>
    </row>
    <row r="49" spans="1:6">
      <c r="A49" s="171" t="s">
        <v>75</v>
      </c>
      <c r="B49" s="33" t="str">
        <f t="shared" si="0"/>
        <v>-</v>
      </c>
      <c r="C49" s="34" t="s">
        <v>110</v>
      </c>
      <c r="D49" s="234"/>
    </row>
    <row r="50" spans="1:6">
      <c r="A50" s="171" t="s">
        <v>76</v>
      </c>
      <c r="B50" s="33">
        <f t="shared" si="0"/>
        <v>67.699999999999989</v>
      </c>
      <c r="C50" s="33">
        <f>B50*2</f>
        <v>135.39999999999998</v>
      </c>
      <c r="D50" s="234"/>
    </row>
    <row r="51" spans="1:6">
      <c r="A51" s="171" t="s">
        <v>77</v>
      </c>
      <c r="B51" s="33">
        <f t="shared" si="0"/>
        <v>467.29999999999995</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208</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25</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9941.5054717690437</v>
      </c>
      <c r="C5" s="17">
        <f>IF(ISERROR('Eigen informatie GS &amp; warmtenet'!B58),0,'Eigen informatie GS &amp; warmtenet'!B58)</f>
        <v>0</v>
      </c>
      <c r="D5" s="30">
        <f>SUM(D6:D12)</f>
        <v>14093.506783322351</v>
      </c>
      <c r="E5" s="17">
        <f>SUM(E6:E12)</f>
        <v>183.08730088943216</v>
      </c>
      <c r="F5" s="17">
        <f>SUM(F6:F12)</f>
        <v>1827.2434236645886</v>
      </c>
      <c r="G5" s="18"/>
      <c r="H5" s="17"/>
      <c r="I5" s="17"/>
      <c r="J5" s="17">
        <f>SUM(J6:J12)</f>
        <v>3.3986651158396497E-2</v>
      </c>
      <c r="K5" s="17"/>
      <c r="L5" s="17"/>
      <c r="M5" s="17"/>
      <c r="N5" s="17">
        <f>SUM(N6:N12)</f>
        <v>1342.7980524801062</v>
      </c>
      <c r="O5" s="17">
        <f>B38*B39*B40</f>
        <v>6.2533333333333339</v>
      </c>
      <c r="P5" s="17">
        <f>B46*B47*B48/1000-B46*B47*B48/1000/B49</f>
        <v>38.133333333333333</v>
      </c>
      <c r="R5" s="32"/>
    </row>
    <row r="6" spans="1:18">
      <c r="A6" s="32" t="s">
        <v>53</v>
      </c>
      <c r="B6" s="37">
        <f>B26</f>
        <v>1365.34219558888</v>
      </c>
      <c r="C6" s="33"/>
      <c r="D6" s="37">
        <f>IF(ISERROR(TER_kantoor_gas_kWh/1000),0,TER_kantoor_gas_kWh/1000)*0.902</f>
        <v>1665.8231670446444</v>
      </c>
      <c r="E6" s="33">
        <f>$C$26*'E Balans VL '!I12/100/3.6*1000000</f>
        <v>8.5575107762510538E-3</v>
      </c>
      <c r="F6" s="33">
        <f>$C$26*('E Balans VL '!L12+'E Balans VL '!N12)/100/3.6*1000000</f>
        <v>205.17278069743091</v>
      </c>
      <c r="G6" s="34"/>
      <c r="H6" s="33"/>
      <c r="I6" s="33"/>
      <c r="J6" s="33">
        <f>$C$26*('E Balans VL '!D12+'E Balans VL '!E12)/100/3.6*1000000</f>
        <v>0</v>
      </c>
      <c r="K6" s="33"/>
      <c r="L6" s="33"/>
      <c r="M6" s="33"/>
      <c r="N6" s="33">
        <f>$C$26*'E Balans VL '!Y12/100/3.6*1000000</f>
        <v>1.3057473758842957</v>
      </c>
      <c r="O6" s="33"/>
      <c r="P6" s="33"/>
      <c r="R6" s="32"/>
    </row>
    <row r="7" spans="1:18">
      <c r="A7" s="32" t="s">
        <v>52</v>
      </c>
      <c r="B7" s="37">
        <f t="shared" ref="B7:B12" si="0">B27</f>
        <v>1082.3407372409101</v>
      </c>
      <c r="C7" s="33"/>
      <c r="D7" s="37">
        <f>IF(ISERROR(TER_horeca_gas_kWh/1000),0,TER_horeca_gas_kWh/1000)*0.902</f>
        <v>1652.9525884658608</v>
      </c>
      <c r="E7" s="33">
        <f>$C$27*'E Balans VL '!I9/100/3.6*1000000</f>
        <v>15.498939073738796</v>
      </c>
      <c r="F7" s="33">
        <f>$C$27*('E Balans VL '!L9+'E Balans VL '!N9)/100/3.6*1000000</f>
        <v>137.06003430747012</v>
      </c>
      <c r="G7" s="34"/>
      <c r="H7" s="33"/>
      <c r="I7" s="33"/>
      <c r="J7" s="33">
        <f>$C$27*('E Balans VL '!D9+'E Balans VL '!E9)/100/3.6*1000000</f>
        <v>0</v>
      </c>
      <c r="K7" s="33"/>
      <c r="L7" s="33"/>
      <c r="M7" s="33"/>
      <c r="N7" s="33">
        <f>$C$27*'E Balans VL '!Y9/100/3.6*1000000</f>
        <v>0.31114909839194588</v>
      </c>
      <c r="O7" s="33"/>
      <c r="P7" s="33"/>
      <c r="R7" s="32"/>
    </row>
    <row r="8" spans="1:18">
      <c r="A8" s="6" t="s">
        <v>51</v>
      </c>
      <c r="B8" s="37">
        <f t="shared" si="0"/>
        <v>3786.26462378099</v>
      </c>
      <c r="C8" s="33"/>
      <c r="D8" s="37">
        <f>IF(ISERROR(TER_handel_gas_kWh/1000),0,TER_handel_gas_kWh/1000)*0.902</f>
        <v>2778.2963792819123</v>
      </c>
      <c r="E8" s="33">
        <f>$C$28*'E Balans VL '!I13/100/3.6*1000000</f>
        <v>137.327351003301</v>
      </c>
      <c r="F8" s="33">
        <f>$C$28*('E Balans VL '!L13+'E Balans VL '!N13)/100/3.6*1000000</f>
        <v>729.27290490701171</v>
      </c>
      <c r="G8" s="34"/>
      <c r="H8" s="33"/>
      <c r="I8" s="33"/>
      <c r="J8" s="33">
        <f>$C$28*('E Balans VL '!D13+'E Balans VL '!E13)/100/3.6*1000000</f>
        <v>0</v>
      </c>
      <c r="K8" s="33"/>
      <c r="L8" s="33"/>
      <c r="M8" s="33"/>
      <c r="N8" s="33">
        <f>$C$28*'E Balans VL '!Y13/100/3.6*1000000</f>
        <v>5.2448476845731111</v>
      </c>
      <c r="O8" s="33"/>
      <c r="P8" s="33"/>
      <c r="R8" s="32"/>
    </row>
    <row r="9" spans="1:18">
      <c r="A9" s="32" t="s">
        <v>50</v>
      </c>
      <c r="B9" s="37">
        <f t="shared" si="0"/>
        <v>94.865644520665498</v>
      </c>
      <c r="C9" s="33"/>
      <c r="D9" s="37">
        <f>IF(ISERROR(TER_gezond_gas_kWh/1000),0,TER_gezond_gas_kWh/1000)*0.902</f>
        <v>97.693009153264441</v>
      </c>
      <c r="E9" s="33">
        <f>$C$29*'E Balans VL '!I10/100/3.6*1000000</f>
        <v>5.9395259760214826E-3</v>
      </c>
      <c r="F9" s="33">
        <f>$C$29*('E Balans VL '!L10+'E Balans VL '!N10)/100/3.6*1000000</f>
        <v>14.092580331924911</v>
      </c>
      <c r="G9" s="34"/>
      <c r="H9" s="33"/>
      <c r="I9" s="33"/>
      <c r="J9" s="33">
        <f>$C$29*('E Balans VL '!D10+'E Balans VL '!E10)/100/3.6*1000000</f>
        <v>0</v>
      </c>
      <c r="K9" s="33"/>
      <c r="L9" s="33"/>
      <c r="M9" s="33"/>
      <c r="N9" s="33">
        <f>$C$29*'E Balans VL '!Y10/100/3.6*1000000</f>
        <v>1.4673909431978858</v>
      </c>
      <c r="O9" s="33"/>
      <c r="P9" s="33"/>
      <c r="R9" s="32"/>
    </row>
    <row r="10" spans="1:18">
      <c r="A10" s="32" t="s">
        <v>49</v>
      </c>
      <c r="B10" s="37">
        <f t="shared" si="0"/>
        <v>1316.3149312992798</v>
      </c>
      <c r="C10" s="33"/>
      <c r="D10" s="37">
        <f>IF(ISERROR(TER_ander_gas_kWh/1000),0,TER_ander_gas_kWh/1000)*0.902</f>
        <v>2861.892614075924</v>
      </c>
      <c r="E10" s="33">
        <f>$C$30*'E Balans VL '!I14/100/3.6*1000000</f>
        <v>1.5690003609609786</v>
      </c>
      <c r="F10" s="33">
        <f>$C$30*('E Balans VL '!L14+'E Balans VL '!N14)/100/3.6*1000000</f>
        <v>344.40650479348949</v>
      </c>
      <c r="G10" s="34"/>
      <c r="H10" s="33"/>
      <c r="I10" s="33"/>
      <c r="J10" s="33">
        <f>$C$30*('E Balans VL '!D14+'E Balans VL '!E14)/100/3.6*1000000</f>
        <v>2.8572037346449194E-2</v>
      </c>
      <c r="K10" s="33"/>
      <c r="L10" s="33"/>
      <c r="M10" s="33"/>
      <c r="N10" s="33">
        <f>$C$30*'E Balans VL '!Y14/100/3.6*1000000</f>
        <v>1117.7824298863645</v>
      </c>
      <c r="O10" s="33"/>
      <c r="P10" s="33"/>
      <c r="R10" s="32"/>
    </row>
    <row r="11" spans="1:18">
      <c r="A11" s="32" t="s">
        <v>54</v>
      </c>
      <c r="B11" s="37">
        <f t="shared" si="0"/>
        <v>60.342905217418497</v>
      </c>
      <c r="C11" s="33"/>
      <c r="D11" s="37">
        <f>IF(ISERROR(TER_onderwijs_gas_kWh/1000),0,TER_onderwijs_gas_kWh/1000)*0.902</f>
        <v>533.87287199241689</v>
      </c>
      <c r="E11" s="33">
        <f>$C$31*'E Balans VL '!I11/100/3.6*1000000</f>
        <v>0.91047724824008325</v>
      </c>
      <c r="F11" s="33">
        <f>$C$31*('E Balans VL '!L11+'E Balans VL '!N11)/100/3.6*1000000</f>
        <v>10.573041000681442</v>
      </c>
      <c r="G11" s="34"/>
      <c r="H11" s="33"/>
      <c r="I11" s="33"/>
      <c r="J11" s="33">
        <f>$C$31*('E Balans VL '!D11+'E Balans VL '!E11)/100/3.6*1000000</f>
        <v>0</v>
      </c>
      <c r="K11" s="33"/>
      <c r="L11" s="33"/>
      <c r="M11" s="33"/>
      <c r="N11" s="33">
        <f>$C$31*'E Balans VL '!Y11/100/3.6*1000000</f>
        <v>0.16980952272416863</v>
      </c>
      <c r="O11" s="33"/>
      <c r="P11" s="33"/>
      <c r="R11" s="32"/>
    </row>
    <row r="12" spans="1:18">
      <c r="A12" s="32" t="s">
        <v>259</v>
      </c>
      <c r="B12" s="37">
        <f t="shared" si="0"/>
        <v>2236.0344341209002</v>
      </c>
      <c r="C12" s="33"/>
      <c r="D12" s="37">
        <f>IF(ISERROR(TER_rest_gas_kWh/1000),0,TER_rest_gas_kWh/1000)*0.902</f>
        <v>4502.9761533083301</v>
      </c>
      <c r="E12" s="33">
        <f>$C$32*'E Balans VL '!I8/100/3.6*1000000</f>
        <v>27.767036166438988</v>
      </c>
      <c r="F12" s="33">
        <f>$C$32*('E Balans VL '!L8+'E Balans VL '!N8)/100/3.6*1000000</f>
        <v>386.66557762657993</v>
      </c>
      <c r="G12" s="34"/>
      <c r="H12" s="33"/>
      <c r="I12" s="33"/>
      <c r="J12" s="33">
        <f>$C$32*('E Balans VL '!D8+'E Balans VL '!E8)/100/3.6*1000000</f>
        <v>5.4146138119473032E-3</v>
      </c>
      <c r="K12" s="33"/>
      <c r="L12" s="33"/>
      <c r="M12" s="33"/>
      <c r="N12" s="33">
        <f>$C$32*'E Balans VL '!Y8/100/3.6*1000000</f>
        <v>216.51667796897024</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9941.5054717690437</v>
      </c>
      <c r="C16" s="21">
        <f t="shared" ca="1" si="1"/>
        <v>0</v>
      </c>
      <c r="D16" s="21">
        <f t="shared" ca="1" si="1"/>
        <v>14093.506783322351</v>
      </c>
      <c r="E16" s="21">
        <f t="shared" si="1"/>
        <v>183.08730088943216</v>
      </c>
      <c r="F16" s="21">
        <f t="shared" ca="1" si="1"/>
        <v>1827.2434236645886</v>
      </c>
      <c r="G16" s="21">
        <f t="shared" si="1"/>
        <v>0</v>
      </c>
      <c r="H16" s="21">
        <f t="shared" si="1"/>
        <v>0</v>
      </c>
      <c r="I16" s="21">
        <f t="shared" si="1"/>
        <v>0</v>
      </c>
      <c r="J16" s="21">
        <f t="shared" si="1"/>
        <v>3.3986651158396497E-2</v>
      </c>
      <c r="K16" s="21">
        <f t="shared" si="1"/>
        <v>0</v>
      </c>
      <c r="L16" s="21">
        <f t="shared" ca="1" si="1"/>
        <v>0</v>
      </c>
      <c r="M16" s="21">
        <f t="shared" si="1"/>
        <v>0</v>
      </c>
      <c r="N16" s="21">
        <f t="shared" ca="1" si="1"/>
        <v>1342.7980524801062</v>
      </c>
      <c r="O16" s="21">
        <f>O5</f>
        <v>6.2533333333333339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0.2038325243705032</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2026.4021563538545</v>
      </c>
      <c r="C20" s="23">
        <f t="shared" ref="C20:P20" ca="1" si="2">C16*C18</f>
        <v>0</v>
      </c>
      <c r="D20" s="23">
        <f t="shared" ca="1" si="2"/>
        <v>2846.888370231115</v>
      </c>
      <c r="E20" s="23">
        <f t="shared" si="2"/>
        <v>41.560817301901103</v>
      </c>
      <c r="F20" s="23">
        <f t="shared" ca="1" si="2"/>
        <v>487.87399411844518</v>
      </c>
      <c r="G20" s="23">
        <f t="shared" si="2"/>
        <v>0</v>
      </c>
      <c r="H20" s="23">
        <f t="shared" si="2"/>
        <v>0</v>
      </c>
      <c r="I20" s="23">
        <f t="shared" si="2"/>
        <v>0</v>
      </c>
      <c r="J20" s="23">
        <f t="shared" si="2"/>
        <v>1.2031274510072359E-2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1365.34219558888</v>
      </c>
      <c r="C26" s="39">
        <f>IF(ISERROR(B26*3.6/1000000/'E Balans VL '!Z12*100),0,B26*3.6/1000000/'E Balans VL '!Z12*100)</f>
        <v>2.8861171138004588E-2</v>
      </c>
      <c r="D26" s="237" t="s">
        <v>744</v>
      </c>
      <c r="F26" s="6"/>
    </row>
    <row r="27" spans="1:18">
      <c r="A27" s="231" t="s">
        <v>52</v>
      </c>
      <c r="B27" s="33">
        <f>IF(ISERROR(TER_horeca_ele_kWh/1000),0,TER_horeca_ele_kWh/1000)</f>
        <v>1082.3407372409101</v>
      </c>
      <c r="C27" s="39">
        <f>IF(ISERROR(B27*3.6/1000000/'E Balans VL '!Z9*100),0,B27*3.6/1000000/'E Balans VL '!Z9*100)</f>
        <v>8.5320516907713403E-2</v>
      </c>
      <c r="D27" s="237" t="s">
        <v>744</v>
      </c>
      <c r="F27" s="6"/>
    </row>
    <row r="28" spans="1:18">
      <c r="A28" s="171" t="s">
        <v>51</v>
      </c>
      <c r="B28" s="33">
        <f>IF(ISERROR(TER_handel_ele_kWh/1000),0,TER_handel_ele_kWh/1000)</f>
        <v>3786.26462378099</v>
      </c>
      <c r="C28" s="39">
        <f>IF(ISERROR(B28*3.6/1000000/'E Balans VL '!Z13*100),0,B28*3.6/1000000/'E Balans VL '!Z13*100)</f>
        <v>0.10989269760546372</v>
      </c>
      <c r="D28" s="237" t="s">
        <v>744</v>
      </c>
      <c r="F28" s="6"/>
    </row>
    <row r="29" spans="1:18">
      <c r="A29" s="231" t="s">
        <v>50</v>
      </c>
      <c r="B29" s="33">
        <f>IF(ISERROR(TER_gezond_ele_kWh/1000),0,TER_gezond_ele_kWh/1000)</f>
        <v>94.865644520665498</v>
      </c>
      <c r="C29" s="39">
        <f>IF(ISERROR(B29*3.6/1000000/'E Balans VL '!Z10*100),0,B29*3.6/1000000/'E Balans VL '!Z10*100)</f>
        <v>9.9909101030272885E-3</v>
      </c>
      <c r="D29" s="237" t="s">
        <v>744</v>
      </c>
      <c r="F29" s="6"/>
    </row>
    <row r="30" spans="1:18">
      <c r="A30" s="231" t="s">
        <v>49</v>
      </c>
      <c r="B30" s="33">
        <f>IF(ISERROR(TER_ander_ele_kWh/1000),0,TER_ander_ele_kWh/1000)</f>
        <v>1316.3149312992798</v>
      </c>
      <c r="C30" s="39">
        <f>IF(ISERROR(B30*3.6/1000000/'E Balans VL '!Z14*100),0,B30*3.6/1000000/'E Balans VL '!Z14*100)</f>
        <v>9.709167523481578E-2</v>
      </c>
      <c r="D30" s="237" t="s">
        <v>744</v>
      </c>
      <c r="F30" s="6"/>
    </row>
    <row r="31" spans="1:18">
      <c r="A31" s="231" t="s">
        <v>54</v>
      </c>
      <c r="B31" s="33">
        <f>IF(ISERROR(TER_onderwijs_ele_kWh/1000),0,TER_onderwijs_ele_kWh/1000)</f>
        <v>60.342905217418497</v>
      </c>
      <c r="C31" s="39">
        <f>IF(ISERROR(B31*3.6/1000000/'E Balans VL '!Z11*100),0,B31*3.6/1000000/'E Balans VL '!Z11*100)</f>
        <v>1.4985969993631349E-2</v>
      </c>
      <c r="D31" s="237" t="s">
        <v>744</v>
      </c>
    </row>
    <row r="32" spans="1:18">
      <c r="A32" s="231" t="s">
        <v>259</v>
      </c>
      <c r="B32" s="33">
        <f>IF(ISERROR(TER_rest_ele_kWh/1000),0,TER_rest_ele_kWh/1000)</f>
        <v>2236.0344341209002</v>
      </c>
      <c r="C32" s="39">
        <f>IF(ISERROR(B32*3.6/1000000/'E Balans VL '!Z8*100),0,B32*3.6/1000000/'E Balans VL '!Z8*100)</f>
        <v>1.83995953588122E-2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4</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2</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9932.5579863163512</v>
      </c>
      <c r="C5" s="17">
        <f>IF(ISERROR('Eigen informatie GS &amp; warmtenet'!B59),0,'Eigen informatie GS &amp; warmtenet'!B59)</f>
        <v>0</v>
      </c>
      <c r="D5" s="30">
        <f>SUM(D6:D15)</f>
        <v>85193.854007224043</v>
      </c>
      <c r="E5" s="17">
        <f>SUM(E6:E15)</f>
        <v>568.6731941408766</v>
      </c>
      <c r="F5" s="17">
        <f>SUM(F6:F15)</f>
        <v>2026.6371888160818</v>
      </c>
      <c r="G5" s="18"/>
      <c r="H5" s="17"/>
      <c r="I5" s="17"/>
      <c r="J5" s="17">
        <f>SUM(J6:J15)</f>
        <v>5.3828581759228653</v>
      </c>
      <c r="K5" s="17"/>
      <c r="L5" s="17"/>
      <c r="M5" s="17"/>
      <c r="N5" s="17">
        <f>SUM(N6:N15)</f>
        <v>702.42538481563963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1612.0350128806799</v>
      </c>
      <c r="C9" s="33"/>
      <c r="D9" s="37">
        <f>IF( ISERROR(IND_andere_gas_kWh/1000),0,IND_andere_gas_kWh/1000)*0.902</f>
        <v>1483.0914348184333</v>
      </c>
      <c r="E9" s="33">
        <f>C31*'E Balans VL '!I19/100/3.6*1000000</f>
        <v>471.22921688516493</v>
      </c>
      <c r="F9" s="33">
        <f>C31*'E Balans VL '!L19/100/3.6*1000000+C31*'E Balans VL '!N19/100/3.6*1000000</f>
        <v>1295.3921526881963</v>
      </c>
      <c r="G9" s="34"/>
      <c r="H9" s="33"/>
      <c r="I9" s="33"/>
      <c r="J9" s="40">
        <f>C31*'E Balans VL '!D19/100/3.6*1000000+C31*'E Balans VL '!E19/100/3.6*1000000</f>
        <v>0</v>
      </c>
      <c r="K9" s="33"/>
      <c r="L9" s="33"/>
      <c r="M9" s="33"/>
      <c r="N9" s="33">
        <f>C31*'E Balans VL '!Y19/100/3.6*1000000</f>
        <v>126.44583699458845</v>
      </c>
      <c r="O9" s="33"/>
      <c r="P9" s="33"/>
      <c r="R9" s="32"/>
    </row>
    <row r="10" spans="1:18">
      <c r="A10" s="6" t="s">
        <v>40</v>
      </c>
      <c r="B10" s="37">
        <f t="shared" si="0"/>
        <v>6816.9233176216403</v>
      </c>
      <c r="C10" s="33"/>
      <c r="D10" s="37">
        <f>IF( ISERROR(IND_voed_gas_kWh/1000),0,IND_voed_gas_kWh/1000)*0.902</f>
        <v>70605.028000352846</v>
      </c>
      <c r="E10" s="33">
        <f>C32*'E Balans VL '!I20/100/3.6*1000000</f>
        <v>14.421306976076485</v>
      </c>
      <c r="F10" s="33">
        <f>C32*'E Balans VL '!L20/100/3.6*1000000+C32*'E Balans VL '!N20/100/3.6*1000000</f>
        <v>433.4269478173577</v>
      </c>
      <c r="G10" s="34"/>
      <c r="H10" s="33"/>
      <c r="I10" s="33"/>
      <c r="J10" s="40">
        <f>C32*'E Balans VL '!D20/100/3.6*1000000+C32*'E Balans VL '!E20/100/3.6*1000000</f>
        <v>0</v>
      </c>
      <c r="K10" s="33"/>
      <c r="L10" s="33"/>
      <c r="M10" s="33"/>
      <c r="N10" s="33">
        <f>C32*'E Balans VL '!Y20/100/3.6*1000000</f>
        <v>470.43497995893119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1503.59965581403</v>
      </c>
      <c r="C15" s="33"/>
      <c r="D15" s="37">
        <f>IF( ISERROR(IND_rest_gas_kWh/1000),0,IND_rest_gas_kWh/1000)*0.902</f>
        <v>13105.734572052763</v>
      </c>
      <c r="E15" s="33">
        <f>C37*'E Balans VL '!I15/100/3.6*1000000</f>
        <v>83.022670279635221</v>
      </c>
      <c r="F15" s="33">
        <f>C37*'E Balans VL '!L15/100/3.6*1000000+C37*'E Balans VL '!N15/100/3.6*1000000</f>
        <v>297.81808831052768</v>
      </c>
      <c r="G15" s="34"/>
      <c r="H15" s="33"/>
      <c r="I15" s="33"/>
      <c r="J15" s="40">
        <f>C37*'E Balans VL '!D15/100/3.6*1000000+C37*'E Balans VL '!E15/100/3.6*1000000</f>
        <v>5.3828581759228653</v>
      </c>
      <c r="K15" s="33"/>
      <c r="L15" s="33"/>
      <c r="M15" s="33"/>
      <c r="N15" s="33">
        <f>C37*'E Balans VL '!Y15/100/3.6*1000000</f>
        <v>105.54456786211999</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9932.5579863163512</v>
      </c>
      <c r="C18" s="21">
        <f>C5+C16</f>
        <v>0</v>
      </c>
      <c r="D18" s="21">
        <f>MAX((D5+D16),0)</f>
        <v>85193.854007224043</v>
      </c>
      <c r="E18" s="21">
        <f>MAX((E5+E16),0)</f>
        <v>568.6731941408766</v>
      </c>
      <c r="F18" s="21">
        <f>MAX((F5+F16),0)</f>
        <v>2026.6371888160818</v>
      </c>
      <c r="G18" s="21"/>
      <c r="H18" s="21"/>
      <c r="I18" s="21"/>
      <c r="J18" s="21">
        <f>MAX((J5+J16),0)</f>
        <v>5.3828581759228653</v>
      </c>
      <c r="K18" s="21"/>
      <c r="L18" s="21">
        <f>MAX((L5+L16),0)</f>
        <v>0</v>
      </c>
      <c r="M18" s="21"/>
      <c r="N18" s="21">
        <f>MAX((N5+N16),0)</f>
        <v>702.42538481563963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0.2038325243705032</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2024.5783678072639</v>
      </c>
      <c r="C22" s="23">
        <f ca="1">C18*C20</f>
        <v>0</v>
      </c>
      <c r="D22" s="23">
        <f>D18*D20</f>
        <v>17209.158509459259</v>
      </c>
      <c r="E22" s="23">
        <f>E18*E20</f>
        <v>129.08881506997901</v>
      </c>
      <c r="F22" s="23">
        <f>F18*F20</f>
        <v>541.11212941389385</v>
      </c>
      <c r="G22" s="23"/>
      <c r="H22" s="23"/>
      <c r="I22" s="23"/>
      <c r="J22" s="23">
        <f>J18*J20</f>
        <v>1.9055317942766943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0</v>
      </c>
      <c r="C30" s="39">
        <f>IF(ISERROR(B30*3.6/1000000/'E Balans VL '!Z18*100),0,B30*3.6/1000000/'E Balans VL '!Z18*100)</f>
        <v>0</v>
      </c>
      <c r="D30" s="237" t="s">
        <v>744</v>
      </c>
    </row>
    <row r="31" spans="1:18">
      <c r="A31" s="6" t="s">
        <v>32</v>
      </c>
      <c r="B31" s="37">
        <f>IF( ISERROR(IND_ander_ele_kWh/1000),0,IND_ander_ele_kWh/1000)</f>
        <v>1612.0350128806799</v>
      </c>
      <c r="C31" s="39">
        <f>IF(ISERROR(B31*3.6/1000000/'E Balans VL '!Z19*100),0,B31*3.6/1000000/'E Balans VL '!Z19*100)</f>
        <v>7.3115195787301232E-2</v>
      </c>
      <c r="D31" s="237" t="s">
        <v>744</v>
      </c>
    </row>
    <row r="32" spans="1:18">
      <c r="A32" s="171" t="s">
        <v>40</v>
      </c>
      <c r="B32" s="37">
        <f>IF( ISERROR(IND_voed_ele_kWh/1000),0,IND_voed_ele_kWh/1000)</f>
        <v>6816.9233176216403</v>
      </c>
      <c r="C32" s="39">
        <f>IF(ISERROR(B32*3.6/1000000/'E Balans VL '!Z20*100),0,B32*3.6/1000000/'E Balans VL '!Z20*100)</f>
        <v>0.21087838443294005</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0</v>
      </c>
      <c r="C35" s="39">
        <f>IF(ISERROR(B35*3.6/1000000/'E Balans VL '!Z22*100),0,B35*3.6/1000000/'E Balans VL '!Z22*100)</f>
        <v>0</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1503.59965581403</v>
      </c>
      <c r="C37" s="39">
        <f>IF(ISERROR(B37*3.6/1000000/'E Balans VL '!Z15*100),0,B37*3.6/1000000/'E Balans VL '!Z15*100)</f>
        <v>1.1917873868323697E-2</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3363.5725000313892</v>
      </c>
      <c r="C5" s="17">
        <f>'Eigen informatie GS &amp; warmtenet'!B60</f>
        <v>0</v>
      </c>
      <c r="D5" s="30">
        <f>IF(ISERROR(SUM(LB_lb_gas_kWh,LB_rest_gas_kWh)/1000),0,SUM(LB_lb_gas_kWh,LB_rest_gas_kWh)/1000)*0.902</f>
        <v>283.04544294820886</v>
      </c>
      <c r="E5" s="17">
        <f>B17*'E Balans VL '!I25/3.6*1000000/100</f>
        <v>98.865669312124567</v>
      </c>
      <c r="F5" s="17">
        <f>B17*('E Balans VL '!L25/3.6*1000000+'E Balans VL '!N25/3.6*1000000)/100</f>
        <v>14012.461277212915</v>
      </c>
      <c r="G5" s="18"/>
      <c r="H5" s="17"/>
      <c r="I5" s="17"/>
      <c r="J5" s="17">
        <f>('E Balans VL '!D25+'E Balans VL '!E25)/3.6*1000000*landbouw!B17/100</f>
        <v>487.30942170826086</v>
      </c>
      <c r="K5" s="17"/>
      <c r="L5" s="17">
        <f>L6*(-1)</f>
        <v>0</v>
      </c>
      <c r="M5" s="17"/>
      <c r="N5" s="17">
        <f>N6*(-1)</f>
        <v>0</v>
      </c>
      <c r="O5" s="17"/>
      <c r="P5" s="17"/>
      <c r="R5" s="32"/>
    </row>
    <row r="6" spans="1:18">
      <c r="A6" s="16" t="s">
        <v>487</v>
      </c>
      <c r="B6" s="17" t="s">
        <v>210</v>
      </c>
      <c r="C6" s="17">
        <f>'lokale energieproductie'!O39+'lokale energieproductie'!O32</f>
        <v>34431.428571428572</v>
      </c>
      <c r="D6" s="308">
        <f>('lokale energieproductie'!P32+'lokale energieproductie'!P39)*(-1)</f>
        <v>-68862.857142857145</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3363.5725000313892</v>
      </c>
      <c r="C8" s="21">
        <f>C5+C6</f>
        <v>34431.428571428572</v>
      </c>
      <c r="D8" s="21">
        <f>MAX((D5+D6),0)</f>
        <v>0</v>
      </c>
      <c r="E8" s="21">
        <f>MAX((E5+E6),0)</f>
        <v>98.865669312124567</v>
      </c>
      <c r="F8" s="21">
        <f>MAX((F5+F6),0)</f>
        <v>14012.461277212915</v>
      </c>
      <c r="G8" s="21"/>
      <c r="H8" s="21"/>
      <c r="I8" s="21"/>
      <c r="J8" s="21">
        <f>MAX((J5+J6),0)</f>
        <v>487.30942170826086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0.2038325243705032</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685.60547358460246</v>
      </c>
      <c r="C12" s="23">
        <f ca="1">C8*C10</f>
        <v>8182.5277310924375</v>
      </c>
      <c r="D12" s="23">
        <f>D8*D10</f>
        <v>0</v>
      </c>
      <c r="E12" s="23">
        <f>E8*E10</f>
        <v>22.442506933852279</v>
      </c>
      <c r="F12" s="23">
        <f>F8*F10</f>
        <v>3741.3271610158486</v>
      </c>
      <c r="G12" s="23"/>
      <c r="H12" s="23"/>
      <c r="I12" s="23"/>
      <c r="J12" s="23">
        <f>J8*J10</f>
        <v>172.50753528472433</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0.47730149064134275</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603.24978094896176</v>
      </c>
      <c r="C26" s="247">
        <f>B26*'GWP N2O_CH4'!B5</f>
        <v>12668.245399928197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380.67509870632387</v>
      </c>
      <c r="C27" s="247">
        <f>B27*'GWP N2O_CH4'!B5</f>
        <v>7994.1770728328011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8.7686719399161355</v>
      </c>
      <c r="C28" s="247">
        <f>B28*'GWP N2O_CH4'!B4</f>
        <v>2718.288301374002</v>
      </c>
      <c r="D28" s="50"/>
    </row>
    <row r="29" spans="1:4">
      <c r="A29" s="41" t="s">
        <v>276</v>
      </c>
      <c r="B29" s="247">
        <f>B34*'ha_N2O bodem landbouw'!B4</f>
        <v>19.747675754206579</v>
      </c>
      <c r="C29" s="247">
        <f>B29*'GWP N2O_CH4'!B4</f>
        <v>6121.77948380404</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4.5063515535917901E-3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7.4442130304060093E-5</v>
      </c>
      <c r="C5" s="437" t="s">
        <v>210</v>
      </c>
      <c r="D5" s="422">
        <f>SUM(D6:D11)</f>
        <v>2.2708252828552045E-4</v>
      </c>
      <c r="E5" s="422">
        <f>SUM(E6:E11)</f>
        <v>3.8082870739569692E-4</v>
      </c>
      <c r="F5" s="435" t="s">
        <v>210</v>
      </c>
      <c r="G5" s="422">
        <f>SUM(G6:G11)</f>
        <v>0.15624434260656675</v>
      </c>
      <c r="H5" s="422">
        <f>SUM(H6:H11)</f>
        <v>3.8193206866582674E-2</v>
      </c>
      <c r="I5" s="437" t="s">
        <v>210</v>
      </c>
      <c r="J5" s="437" t="s">
        <v>210</v>
      </c>
      <c r="K5" s="437" t="s">
        <v>210</v>
      </c>
      <c r="L5" s="437" t="s">
        <v>210</v>
      </c>
      <c r="M5" s="422">
        <f>SUM(M6:M11)</f>
        <v>1.0253071655619232E-2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4.95394109479817E-5</v>
      </c>
      <c r="C6" s="423"/>
      <c r="D6" s="865">
        <f>vkm_GW_PW*SUMIFS(TableVerdeelsleutelVkm[CNG],TableVerdeelsleutelVkm[Voertuigtype],"Lichte voertuigen")*SUMIFS(TableECFTransport[EnergieConsumptieFactor (PJ per km)],TableECFTransport[Index],CONCATENATE($A6,"_CNG_CNG"))</f>
        <v>1.2277075629145697E-4</v>
      </c>
      <c r="E6" s="865">
        <f>vkm_GW_PW*SUMIFS(TableVerdeelsleutelVkm[LPG],TableVerdeelsleutelVkm[Voertuigtype],"Lichte voertuigen")*SUMIFS(TableECFTransport[EnergieConsumptieFactor (PJ per km)],TableECFTransport[Index],CONCATENATE($A6,"_LPG_LPG"))</f>
        <v>2.107667309983922E-4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6.4581987123547221E-2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2.0859264358959267E-2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4.3873460449655871E-3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3.4164994789712265E-2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5.7151821753009372E-7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1.996108816917746E-3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2.4902719356078397E-5</v>
      </c>
      <c r="C8" s="423"/>
      <c r="D8" s="425">
        <f>vkm_NGW_PW*SUMIFS(TableVerdeelsleutelVkm[CNG],TableVerdeelsleutelVkm[Voertuigtype],"Lichte voertuigen")*SUMIFS(TableECFTransport[EnergieConsumptieFactor (PJ per km)],TableECFTransport[Index],CONCATENATE($A8,"_CNG_CNG"))</f>
        <v>1.0431177199406347E-4</v>
      </c>
      <c r="E8" s="425">
        <f>vkm_NGW_PW*SUMIFS(TableVerdeelsleutelVkm[LPG],TableVerdeelsleutelVkm[Voertuigtype],"Lichte voertuigen")*SUMIFS(TableECFTransport[EnergieConsumptieFactor (PJ per km)],TableECFTransport[Index],CONCATENATE($A8,"_LPG_LPG"))</f>
        <v>1.7006197639730472E-4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4.9015897846030949E-2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1.7333196212394448E-2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3.3740816424720245E-3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8.4814628472763259E-3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1.7477701143525586E-7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4.95535151263874E-4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20.678369528905581</v>
      </c>
      <c r="C14" s="21"/>
      <c r="D14" s="21">
        <f t="shared" ref="D14:M14" si="0">((D5)*10^9/3600)+D12</f>
        <v>63.078480079311234</v>
      </c>
      <c r="E14" s="21">
        <f t="shared" si="0"/>
        <v>105.78575205436024</v>
      </c>
      <c r="F14" s="21"/>
      <c r="G14" s="21">
        <f t="shared" si="0"/>
        <v>43401.20627960188</v>
      </c>
      <c r="H14" s="21">
        <f t="shared" si="0"/>
        <v>10609.224129606298</v>
      </c>
      <c r="I14" s="21"/>
      <c r="J14" s="21"/>
      <c r="K14" s="21"/>
      <c r="L14" s="21"/>
      <c r="M14" s="21">
        <f t="shared" si="0"/>
        <v>2848.0754598942312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0.2038325243705032</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4.2149242609429178</v>
      </c>
      <c r="C18" s="23"/>
      <c r="D18" s="23">
        <f t="shared" ref="D18:M18" si="1">D14*D16</f>
        <v>12.741852976020869</v>
      </c>
      <c r="E18" s="23">
        <f t="shared" si="1"/>
        <v>24.013365716339777</v>
      </c>
      <c r="F18" s="23"/>
      <c r="G18" s="23">
        <f t="shared" si="1"/>
        <v>11588.122076653703</v>
      </c>
      <c r="H18" s="23">
        <f t="shared" si="1"/>
        <v>2641.6968082719682</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3.9031242694365733E-3</v>
      </c>
      <c r="H50" s="319">
        <f t="shared" si="2"/>
        <v>0</v>
      </c>
      <c r="I50" s="319">
        <f t="shared" si="2"/>
        <v>0</v>
      </c>
      <c r="J50" s="319">
        <f t="shared" si="2"/>
        <v>0</v>
      </c>
      <c r="K50" s="319">
        <f t="shared" si="2"/>
        <v>0</v>
      </c>
      <c r="L50" s="319">
        <f t="shared" si="2"/>
        <v>0</v>
      </c>
      <c r="M50" s="319">
        <f t="shared" si="2"/>
        <v>2.2166348232881251E-4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3.9031242694365733E-3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2.2166348232881251E-4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1084.2011859546037</v>
      </c>
      <c r="H54" s="21">
        <f t="shared" si="3"/>
        <v>0</v>
      </c>
      <c r="I54" s="21">
        <f t="shared" si="3"/>
        <v>0</v>
      </c>
      <c r="J54" s="21">
        <f t="shared" si="3"/>
        <v>0</v>
      </c>
      <c r="K54" s="21">
        <f t="shared" si="3"/>
        <v>0</v>
      </c>
      <c r="L54" s="21">
        <f t="shared" si="3"/>
        <v>0</v>
      </c>
      <c r="M54" s="21">
        <f t="shared" si="3"/>
        <v>61.573189535781253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0.2038325243705032</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289.48171664987922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5556.1076076784502</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24102</v>
      </c>
      <c r="C8" s="544">
        <f>B48</f>
        <v>28355.294117647059</v>
      </c>
      <c r="D8" s="1010"/>
      <c r="E8" s="1010">
        <f>E48</f>
        <v>0</v>
      </c>
      <c r="F8" s="1011"/>
      <c r="G8" s="545"/>
      <c r="H8" s="1010">
        <f>I48</f>
        <v>0</v>
      </c>
      <c r="I8" s="1010">
        <f>G48+F48</f>
        <v>0</v>
      </c>
      <c r="J8" s="1010">
        <f>H48+D48+C48</f>
        <v>0</v>
      </c>
      <c r="K8" s="1010"/>
      <c r="L8" s="1010"/>
      <c r="M8" s="1010"/>
      <c r="N8" s="546"/>
      <c r="O8" s="547">
        <f>C8*$C$12+D8*$D$12+E8*$E$12+F8*$F$12+G8*$G$12+H8*$H$12+I8*$I$12+J8*$J$12</f>
        <v>5727.7694117647061</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29658.107607678452</v>
      </c>
      <c r="C10" s="557">
        <f t="shared" ref="C10:L10" si="0">SUM(C8:C9)</f>
        <v>28355.294117647059</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5727.7694117647061</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34431.428571428572</v>
      </c>
      <c r="C17" s="569">
        <f>B49</f>
        <v>40507.563025210089</v>
      </c>
      <c r="D17" s="570"/>
      <c r="E17" s="570">
        <f>E49</f>
        <v>0</v>
      </c>
      <c r="F17" s="1016"/>
      <c r="G17" s="571"/>
      <c r="H17" s="569">
        <f>I49</f>
        <v>0</v>
      </c>
      <c r="I17" s="570">
        <f>G49+F49</f>
        <v>0</v>
      </c>
      <c r="J17" s="570">
        <f>H49+D49+C49</f>
        <v>0</v>
      </c>
      <c r="K17" s="570"/>
      <c r="L17" s="570"/>
      <c r="M17" s="570"/>
      <c r="N17" s="1017"/>
      <c r="O17" s="572">
        <f>C17*$C$22+E17*$E$22+H17*$H$22+I17*$I$22+J17*$J$22+D17*$D$22+F17*$F$22+G17*$G$22+K17*$K$22+L17*$L$22</f>
        <v>8182.5277310924384</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34431.428571428572</v>
      </c>
      <c r="C20" s="556">
        <f>SUM(C17:C19)</f>
        <v>40507.563025210089</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8182.5277310924384</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35006</v>
      </c>
      <c r="C28" s="770">
        <v>8480</v>
      </c>
      <c r="D28" s="627" t="s">
        <v>887</v>
      </c>
      <c r="E28" s="626" t="s">
        <v>888</v>
      </c>
      <c r="F28" s="626" t="s">
        <v>889</v>
      </c>
      <c r="G28" s="626" t="s">
        <v>890</v>
      </c>
      <c r="H28" s="626" t="s">
        <v>891</v>
      </c>
      <c r="I28" s="626" t="s">
        <v>888</v>
      </c>
      <c r="J28" s="769">
        <v>41992</v>
      </c>
      <c r="K28" s="769">
        <v>39995</v>
      </c>
      <c r="L28" s="626" t="s">
        <v>892</v>
      </c>
      <c r="M28" s="626">
        <v>5356</v>
      </c>
      <c r="N28" s="626">
        <v>24102</v>
      </c>
      <c r="O28" s="626">
        <v>34431.428571428572</v>
      </c>
      <c r="P28" s="626">
        <v>68862.857142857145</v>
      </c>
      <c r="Q28" s="626">
        <v>0</v>
      </c>
      <c r="R28" s="626">
        <v>0</v>
      </c>
      <c r="S28" s="626">
        <v>0</v>
      </c>
      <c r="T28" s="626">
        <v>0</v>
      </c>
      <c r="U28" s="626">
        <v>0</v>
      </c>
      <c r="V28" s="626">
        <v>0</v>
      </c>
      <c r="W28" s="626">
        <v>0</v>
      </c>
      <c r="X28" s="626">
        <v>10</v>
      </c>
      <c r="Y28" s="626" t="s">
        <v>111</v>
      </c>
      <c r="Z28" s="628" t="s">
        <v>111</v>
      </c>
    </row>
    <row r="29" spans="1:26" s="564" customFormat="1">
      <c r="A29" s="582" t="s">
        <v>279</v>
      </c>
      <c r="B29" s="583"/>
      <c r="C29" s="583"/>
      <c r="D29" s="583"/>
      <c r="E29" s="583"/>
      <c r="F29" s="583"/>
      <c r="G29" s="583"/>
      <c r="H29" s="583"/>
      <c r="I29" s="583"/>
      <c r="J29" s="583"/>
      <c r="K29" s="583"/>
      <c r="L29" s="584"/>
      <c r="M29" s="584">
        <f>SUM(M28:M28)</f>
        <v>5356</v>
      </c>
      <c r="N29" s="584">
        <f>SUM(N28:N28)</f>
        <v>24102</v>
      </c>
      <c r="O29" s="584">
        <f>SUM(O28:O28)</f>
        <v>34431.428571428572</v>
      </c>
      <c r="P29" s="584">
        <f>SUM(P28:P28)</f>
        <v>68862.857142857145</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5356</v>
      </c>
      <c r="N32" s="589">
        <f>SUMIF($Z$28:$Z$28,"landbouw",N28:N28)</f>
        <v>24102</v>
      </c>
      <c r="O32" s="589">
        <f>SUMIF($Z$28:$Z$28,"landbouw",O28:O28)</f>
        <v>34431.428571428572</v>
      </c>
      <c r="P32" s="589">
        <f>SUMIF($Z$28:$Z$28,"landbouw",P28:P28)</f>
        <v>68862.857142857145</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0.58823529411764708</v>
      </c>
      <c r="C45" s="609">
        <f>IF(ISERROR(N29/(O29+N29)),0,N29/(N29+O29))</f>
        <v>0.41176470588235292</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28355.294117647059</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40507.563025210089</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2020-06-20T15:44:39Z</dcterms:modified>
</cp:coreProperties>
</file>