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L6" i="17" s="1"/>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F6" i="17" s="1"/>
  <c r="R33" i="18"/>
  <c r="Q33" i="18"/>
  <c r="N6" i="17" s="1"/>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H9" i="18"/>
  <c r="O9" i="18" s="1"/>
  <c r="C46" i="18"/>
  <c r="D49"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9" i="18"/>
  <c r="F49" i="18"/>
  <c r="H49" i="18"/>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8" i="18" s="1"/>
  <c r="M77" i="14"/>
  <c r="M9" i="61" s="1"/>
  <c r="C49" i="18"/>
  <c r="J8" i="18" s="1"/>
  <c r="I8" i="18"/>
  <c r="I76" i="14" s="1"/>
  <c r="I8" i="61" s="1"/>
  <c r="I10" i="61" s="1"/>
  <c r="E49" i="18"/>
  <c r="E8" i="18" s="1"/>
  <c r="B49" i="18"/>
  <c r="C8" i="18" s="1"/>
  <c r="D76" i="14" s="1"/>
  <c r="D8" i="61" s="1"/>
  <c r="D10" i="61" s="1"/>
  <c r="H78" i="14"/>
  <c r="H9" i="61"/>
  <c r="H10" i="61" s="1"/>
  <c r="O90" i="14"/>
  <c r="O18" i="61"/>
  <c r="O20" i="61" s="1"/>
  <c r="B88" i="14"/>
  <c r="B18" i="61" s="1"/>
  <c r="B77" i="14"/>
  <c r="B9" i="61" s="1"/>
  <c r="Q77" i="14"/>
  <c r="P9" i="61" s="1"/>
  <c r="J17" i="18"/>
  <c r="H20" i="18"/>
  <c r="M87" i="14"/>
  <c r="M76" i="14"/>
  <c r="H10" i="18"/>
  <c r="E20" i="18"/>
  <c r="F87" i="14"/>
  <c r="C77" i="14"/>
  <c r="C9" i="61" s="1"/>
  <c r="C20" i="18"/>
  <c r="D87" i="14"/>
  <c r="D17" i="61" s="1"/>
  <c r="D20" i="61" s="1"/>
  <c r="C88" i="14"/>
  <c r="C18" i="61" s="1"/>
  <c r="F76" i="14"/>
  <c r="E10" i="18"/>
  <c r="I17" i="18"/>
  <c r="I10" i="18"/>
  <c r="Q88" i="14"/>
  <c r="P18" i="61" s="1"/>
  <c r="I33" i="48"/>
  <c r="C10" i="18" l="1"/>
  <c r="O8" i="18"/>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3" i="14" l="1"/>
  <c r="O8" i="48"/>
  <c r="O26" i="48" s="1"/>
  <c r="Q63" i="14"/>
  <c r="P16" i="14"/>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N52" i="14"/>
  <c r="N61" i="14" s="1"/>
  <c r="N63" i="14"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J26" i="48" s="1"/>
  <c r="J33" i="48" s="1"/>
  <c r="J15" i="48"/>
  <c r="E8" i="48"/>
  <c r="E26" i="48" s="1"/>
  <c r="E33" i="48" s="1"/>
  <c r="F13" i="14"/>
  <c r="F16" i="14" s="1"/>
  <c r="F27" i="14" s="1"/>
  <c r="F63" i="14"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<sst xmlns="http://schemas.openxmlformats.org/spreadsheetml/2006/main" count="2425" uniqueCount="902">
  <si>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</si>
  <si>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</si>
  <si>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</si>
  <si>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</si>
  <si>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</si>
  <si>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</si>
  <si>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</si>
  <si>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</si>
  <si>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</si>
  <si>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</si>
  <si>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</si>
  <si>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</si>
  <si>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</si>
  <si>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</si>
  <si>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</si>
  <si>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</si>
  <si>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</si>
  <si>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</si>
  <si>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</si>
  <si>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</si>
  <si>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</si>
  <si>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</si>
  <si>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</si>
  <si>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</si>
  <si>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</si>
  <si>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</si>
  <si>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</si>
  <si>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</si>
  <si>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</si>
  <si>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</si>
  <si>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</si>
  <si>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</si>
  <si>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</si>
  <si>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</si>
  <si>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</si>
  <si>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</si>
  <si>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</si>
  <si>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</si>
  <si>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</si>
  <si>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</si>
  <si>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</si>
  <si>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</si>
  <si>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</si>
  <si>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</si>
  <si>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</si>
  <si>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</si>
  <si>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</si>
  <si>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</si>
  <si>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</si>
  <si>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</si>
  <si>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</si>
  <si>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</si>
  <si>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</si>
  <si>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</si>
  <si>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</si>
  <si>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</si>
  <si>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</si>
  <si>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</si>
  <si>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</si>
  <si>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</si>
  <si>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</si>
  <si>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</si>
  <si>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</si>
  <si>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</si>
  <si>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</si>
  <si>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</si>
  <si>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</si>
  <si>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</si>
  <si>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</si>
  <si>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</si>
  <si>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</si>
  <si>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</si>
  <si>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</si>
  <si>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</si>
  <si>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</si>
  <si>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</si>
  <si>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</si>
  <si>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</si>
  <si>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</si>
  <si>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</si>
  <si>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</si>
  <si>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</si>
  <si>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</si>
  <si>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</si>
  <si>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</si>
  <si>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</si>
  <si>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</si>
  <si>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</si>
  <si>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</si>
  <si>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</si>
  <si>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</si>
  <si>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</si>
  <si>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</si>
  <si>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</si>
  <si>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</si>
  <si>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</si>
  <si>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</si>
  <si>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</si>
  <si>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</si>
  <si>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</si>
  <si>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</si>
  <si>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</si>
  <si>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</si>
  <si>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</si>
  <si>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</si>
  <si>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</si>
  <si>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</si>
  <si>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</si>
  <si>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</si>
  <si>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</si>
  <si>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</si>
  <si>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</si>
  <si>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</si>
  <si>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</si>
  <si>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</si>
  <si>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</si>
  <si>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</si>
  <si>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</si>
  <si>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</si>
  <si>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</si>
  <si>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</si>
  <si>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</si>
  <si>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</si>
  <si>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</si>
  <si>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</si>
  <si>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</si>
  <si>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</si>
  <si>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</si>
  <si>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</si>
  <si>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</si>
  <si>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</si>
  <si>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</si>
  <si>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</si>
  <si>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</si>
  <si>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</si>
  <si>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</si>
  <si>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</si>
  <si>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</si>
  <si>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</si>
  <si>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</si>
  <si>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</si>
  <si>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</si>
  <si>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</si>
  <si>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</si>
  <si>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</si>
  <si>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</si>
  <si>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</si>
  <si>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</si>
  <si>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</si>
  <si>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</si>
  <si>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</si>
  <si>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</si>
  <si>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</si>
  <si>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</si>
  <si>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</si>
  <si>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</si>
  <si>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</si>
  <si>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</si>
  <si>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</si>
  <si>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</si>
  <si>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</si>
  <si>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</si>
  <si>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</si>
  <si>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</si>
  <si>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</si>
  <si>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</si>
  <si>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</si>
  <si>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</si>
  <si>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</si>
  <si>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</si>
  <si>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</si>
  <si>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</si>
  <si>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</si>
  <si>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</si>
  <si>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</si>
  <si>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</si>
  <si>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</si>
  <si>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</si>
  <si>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</si>
  <si>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</si>
  <si>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</si>
  <si>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</si>
  <si>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</si>
  <si>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</si>
  <si>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</si>
  <si>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</si>
  <si>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</si>
  <si>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</si>
  <si>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</si>
  <si>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</si>
  <si>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</si>
  <si>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</si>
  <si>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</si>
  <si>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</si>
  <si>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</si>
  <si>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</si>
  <si>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</si>
  <si>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</si>
  <si>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</si>
  <si>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</si>
  <si>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</si>
  <si>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</si>
  <si>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</si>
  <si>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</si>
  <si>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</si>
  <si>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</si>
  <si>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</si>
  <si>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</si>
  <si>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</si>
  <si>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</si>
  <si>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</si>
  <si>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</si>
  <si>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</si>
  <si>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</si>
  <si>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</si>
  <si>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</si>
  <si>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</si>
  <si>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</si>
  <si>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</si>
  <si>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</si>
  <si>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</si>
  <si>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</si>
  <si>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</si>
  <si>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</si>
  <si>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</si>
  <si>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</si>
  <si>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</si>
  <si>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</si>
  <si>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</si>
  <si>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</si>
  <si>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</si>
  <si>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</si>
  <si>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</si>
  <si>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</si>
  <si>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</si>
  <si>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</si>
  <si>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</si>
  <si>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</si>
  <si>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</si>
  <si>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</si>
  <si>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</si>
  <si>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</si>
  <si>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</si>
  <si>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</si>
  <si>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</si>
  <si>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</si>
  <si>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</si>
  <si>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</si>
  <si>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</si>
  <si>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</si>
  <si>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</si>
  <si>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</si>
  <si>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</si>
  <si>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</si>
  <si>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</si>
  <si>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</si>
  <si>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</si>
  <si>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</si>
  <si>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</si>
  <si>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</si>
  <si>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</si>
  <si>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</si>
  <si>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</si>
  <si>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</si>
  <si>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</si>
  <si>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</si>
  <si>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</si>
  <si>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</si>
  <si>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</si>
  <si>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</si>
  <si>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</si>
  <si>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</si>
  <si>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</si>
  <si>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</si>
  <si>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</si>
  <si>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</si>
  <si>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</si>
  <si>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</si>
  <si>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</si>
  <si>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</si>
  <si>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</si>
  <si>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</si>
  <si>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</si>
  <si>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</si>
  <si>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</si>
  <si>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</si>
  <si>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</si>
  <si>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</si>
  <si>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</si>
  <si>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</si>
  <si>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</si>
  <si>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</si>
  <si>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</si>
  <si>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</si>
  <si>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</si>
  <si>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</si>
  <si>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</si>
  <si>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</si>
  <si>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</si>
  <si>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</si>
  <si>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</si>
  <si>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</si>
  <si>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</si>
  <si>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</si>
  <si>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</si>
  <si>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</si>
  <si>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</si>
  <si>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</si>
  <si>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</si>
  <si>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</si>
  <si>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</si>
  <si>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</si>
  <si>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</si>
  <si>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</si>
  <si>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</si>
  <si>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</si>
  <si>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</si>
  <si>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</si>
  <si>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</si>
  <si>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</si>
  <si>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</si>
  <si>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</si>
  <si>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</si>
  <si>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</si>
  <si>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</si>
  <si>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</si>
  <si>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</si>
  <si>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</si>
  <si>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</si>
  <si>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</si>
  <si>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</si>
  <si>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</si>
  <si>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</si>
  <si>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</si>
  <si>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</si>
  <si>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</si>
  <si>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</si>
  <si>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</si>
  <si>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</si>
  <si>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</si>
  <si>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</si>
  <si>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</si>
  <si>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</si>
  <si>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</si>
  <si>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</si>
  <si>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</si>
  <si>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</si>
  <si>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</si>
  <si>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</si>
  <si>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</si>
  <si>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</si>
  <si>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</si>
  <si>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</si>
  <si>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</si>
  <si>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</si>
  <si>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</si>
  <si>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</si>
  <si>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</si>
  <si>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</si>
  <si>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</si>
  <si>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</si>
  <si>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</si>
  <si>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</si>
  <si>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</si>
  <si>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</si>
  <si>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</si>
  <si>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</si>
  <si>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</si>
  <si>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</si>
  <si>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</si>
  <si>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</si>
  <si>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</si>
  <si>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</si>
  <si>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</si>
  <si>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</si>
  <si>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</si>
  <si>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</si>
  <si>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</si>
  <si>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</si>
  <si>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</si>
  <si>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</si>
  <si>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</si>
  <si>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</si>
  <si>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</si>
  <si>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</si>
  <si>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</si>
  <si>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</si>
  <si>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</si>
  <si>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</si>
  <si>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</si>
  <si>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</si>
  <si>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</si>
  <si>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</si>
  <si>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</si>
  <si>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</si>
  <si>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</si>
  <si>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</si>
  <si>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</si>
  <si>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</si>
  <si>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</si>
  <si>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</si>
  <si>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</si>
  <si>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</si>
  <si>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</si>
  <si>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</si>
  <si>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</si>
  <si>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</si>
  <si>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</si>
  <si>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</si>
  <si>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</si>
  <si>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</si>
  <si>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</si>
  <si>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</si>
  <si>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</si>
  <si>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</si>
  <si>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</si>
  <si>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</si>
  <si>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</si>
  <si>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</si>
  <si>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</si>
  <si>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</si>
  <si>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</si>
  <si>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</si>
  <si>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</si>
  <si>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</si>
  <si>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</si>
  <si>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</si>
  <si>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</si>
  <si>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</si>
  <si>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</si>
  <si>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</si>
  <si>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</si>
  <si>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</si>
  <si>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</si>
  <si>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</si>
  <si>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</si>
  <si>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</si>
  <si>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</si>
  <si>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</si>
  <si>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</si>
  <si>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</si>
  <si>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</si>
  <si>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</si>
  <si>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</si>
  <si>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</si>
  <si>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</si>
  <si>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</si>
  <si>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</si>
  <si>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</si>
  <si>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</si>
  <si>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</si>
  <si>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</si>
  <si>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</si>
  <si>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</si>
  <si>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</si>
  <si>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</si>
  <si>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</si>
  <si>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</si>
  <si>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</si>
  <si>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</si>
  <si>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</si>
  <si>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</si>
  <si>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</si>
  <si>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</si>
  <si>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</si>
  <si>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</si>
  <si>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</si>
  <si>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</si>
  <si>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</si>
  <si>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</si>
  <si>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</si>
  <si>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</si>
  <si>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</si>
  <si>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</si>
  <si>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</si>
  <si>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</si>
  <si>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</si>
  <si>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</si>
  <si>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</si>
  <si>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</si>
  <si>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</si>
  <si>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</si>
  <si>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</si>
  <si>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</si>
  <si>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</si>
  <si>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</si>
  <si>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</si>
  <si>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</si>
  <si>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</si>
  <si>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</si>
  <si>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</si>
  <si>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</si>
  <si>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</si>
  <si>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</si>
  <si>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</si>
  <si>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</si>
  <si>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</si>
  <si>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</si>
  <si>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</si>
  <si>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</si>
  <si>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</si>
  <si>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</si>
  <si>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</si>
  <si>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</si>
  <si>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</si>
  <si>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</si>
  <si>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</si>
  <si>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</si>
  <si>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</si>
  <si>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</si>
  <si>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</si>
  <si>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</si>
  <si>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</si>
  <si>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</si>
  <si>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</si>
  <si>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</si>
  <si>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</si>
  <si>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</si>
  <si>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</si>
  <si>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</si>
  <si>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</si>
  <si>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</si>
  <si>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</si>
  <si>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</si>
  <si>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</si>
  <si>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</si>
  <si>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</si>
  <si>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</si>
  <si>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</si>
  <si>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</si>
  <si>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</si>
  <si>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</si>
  <si>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</si>
  <si>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</si>
  <si>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</si>
  <si>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</si>
  <si>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</si>
  <si>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</si>
  <si>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</si>
  <si>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</si>
  <si>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</si>
  <si>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</si>
  <si>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</si>
  <si>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</si>
  <si>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</si>
  <si>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</si>
  <si>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</si>
  <si>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</si>
  <si>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</si>
  <si>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</si>
  <si>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</si>
  <si>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</si>
  <si>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</si>
  <si>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</si>
  <si>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</si>
  <si>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</si>
  <si>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</si>
  <si>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</si>
  <si>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</si>
  <si>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</si>
  <si>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</si>
  <si>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</si>
  <si>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</si>
  <si>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</si>
  <si>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</si>
  <si>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</si>
  <si>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</si>
  <si>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</si>
  <si>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</si>
  <si>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</si>
  <si>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</si>
  <si>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</si>
  <si>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</si>
  <si>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</si>
  <si>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</si>
  <si>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</si>
  <si>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</si>
  <si>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</si>
  <si>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</si>
  <si>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</si>
  <si>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</si>
  <si>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</si>
  <si>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</si>
  <si>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</si>
  <si>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</si>
  <si>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</si>
  <si>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</si>
  <si>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</si>
  <si>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</si>
  <si>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</si>
  <si>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</si>
  <si>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</si>
  <si>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</si>
  <si>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</si>
  <si>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</si>
  <si>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</si>
  <si>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</si>
  <si>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</si>
  <si>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</si>
  <si>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</si>
  <si>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</si>
  <si>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</si>
  <si>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</si>
  <si>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</si>
  <si>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</si>
  <si>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</si>
  <si>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</si>
  <si>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</si>
  <si>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</si>
  <si>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</si>
  <si>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</si>
  <si>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</si>
  <si>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</si>
  <si>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</si>
  <si>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</si>
  <si>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</si>
  <si>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</si>
  <si>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</si>
  <si>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</si>
  <si>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</si>
  <si>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</si>
  <si>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</si>
  <si>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</si>
  <si>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</si>
  <si>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</si>
  <si>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</si>
  <si>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</si>
  <si>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</si>
  <si>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</si>
  <si>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</si>
  <si>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</si>
  <si>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</si>
  <si>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</si>
  <si>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</si>
  <si>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</si>
  <si>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</si>
  <si>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</si>
  <si>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</si>
  <si>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</si>
  <si>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</si>
  <si>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</si>
  <si>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</si>
  <si>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</si>
  <si>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</si>
  <si>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</si>
  <si>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</si>
  <si>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</si>
  <si>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</si>
  <si>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</si>
  <si>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</si>
  <si>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</si>
  <si>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</si>
  <si>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</si>
  <si>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</si>
  <si>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</si>
  <si>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</si>
  <si>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</si>
  <si>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</si>
  <si>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</si>
  <si>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</si>
  <si>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</si>
  <si>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</si>
  <si>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</si>
  <si>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</si>
  <si>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</si>
  <si>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</si>
  <si>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</si>
  <si>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</si>
  <si>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</si>
  <si>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</si>
  <si>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</si>
  <si>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</si>
  <si>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</si>
  <si>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</si>
  <si>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</si>
  <si>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</si>
  <si>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</si>
  <si>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</si>
  <si>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</si>
  <si>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</si>
  <si>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</si>
  <si>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</si>
  <si>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</si>
  <si>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</si>
  <si>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</si>
  <si>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</si>
  <si>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</si>
  <si>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</si>
  <si>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</si>
  <si>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</si>
  <si>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</si>
  <si>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</si>
  <si>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</si>
  <si>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</si>
  <si>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</si>
  <si>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</si>
  <si>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</si>
  <si>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</si>
  <si>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</si>
  <si>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</si>
  <si>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</si>
  <si>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</si>
  <si>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</si>
  <si>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</si>
  <si>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</si>
  <si>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</si>
  <si>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</si>
  <si>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</si>
  <si>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</si>
  <si>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</si>
  <si>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</si>
  <si>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</si>
  <si>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</si>
  <si>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</si>
  <si>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</si>
  <si>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</si>
  <si>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</si>
  <si>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</si>
  <si>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</si>
  <si>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</si>
  <si>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</si>
  <si>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</si>
  <si>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</si>
  <si>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</si>
  <si>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</si>
  <si>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</si>
  <si>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</si>
  <si>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</si>
  <si>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</si>
  <si>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</si>
  <si>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</si>
  <si>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</si>
  <si>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</si>
  <si>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</si>
  <si>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</si>
  <si>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</si>
  <si>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</si>
  <si>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</si>
  <si>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</si>
  <si>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</si>
  <si>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</si>
  <si>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</si>
  <si>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</si>
  <si>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</si>
  <si>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</si>
  <si>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</si>
  <si>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</si>
  <si>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</si>
  <si>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</si>
  <si>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</si>
  <si>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</si>
  <si>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</si>
  <si>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</si>
  <si>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</si>
  <si>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</si>
  <si>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</si>
  <si>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</si>
  <si>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</si>
  <si>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</si>
  <si>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</si>
  <si>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</si>
  <si>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</si>
  <si>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</si>
  <si>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</si>
  <si>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</si>
  <si>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</si>
  <si>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</si>
  <si>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</si>
  <si>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</si>
  <si>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</si>
  <si>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</si>
  <si>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</si>
  <si>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</si>
  <si>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</si>
  <si>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</si>
  <si>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</si>
  <si>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</si>
  <si>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</si>
  <si>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</si>
  <si>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</si>
  <si>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</si>
  <si>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</si>
  <si>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</si>
  <si>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</si>
  <si>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</si>
  <si>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</si>
  <si>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</si>
  <si>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</si>
  <si>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</si>
  <si>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</si>
  <si>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</si>
  <si>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</si>
  <si>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</si>
  <si>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</si>
  <si>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</si>
  <si>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</si>
  <si>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</si>
  <si>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</si>
  <si>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</si>
  <si>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</si>
  <si>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</si>
  <si>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</si>
  <si>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</si>
  <si>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</si>
  <si>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</si>
  <si>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</si>
  <si>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</si>
  <si>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</si>
  <si>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</si>
  <si>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</si>
  <si>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</si>
  <si>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</si>
  <si>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</si>
  <si>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</si>
  <si>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</si>
  <si>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</si>
  <si>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</si>
  <si>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</si>
  <si>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</si>
  <si>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</si>
  <si>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</si>
  <si>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</si>
  <si>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</si>
  <si>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</si>
  <si>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</si>
  <si>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</si>
  <si>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</si>
  <si>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</si>
  <si>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</si>
  <si>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</si>
  <si>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</si>
  <si>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</si>
  <si>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</si>
  <si>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</si>
  <si>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</si>
  <si>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</si>
  <si>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</si>
  <si>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</si>
  <si>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</si>
  <si>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</si>
  <si>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</si>
  <si>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</si>
  <si>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</si>
  <si>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</si>
  <si>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</si>
  <si>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</si>
  <si>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</si>
  <si>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</si>
  <si>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</si>
  <si>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</si>
  <si>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</si>
  <si>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</si>
  <si>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</si>
  <si>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</si>
  <si>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</si>
  <si>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</si>
  <si>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</si>
  <si>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</si>
  <si>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</si>
  <si>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</si>
  <si>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</si>
  <si>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</si>
  <si>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</si>
  <si>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</si>
  <si>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</si>
  <si>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</si>
  <si>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</si>
  <si>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</si>
  <si>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</si>
  <si>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</si>
  <si>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</si>
  <si>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</si>
  <si>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</si>
  <si>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</si>
  <si>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</si>
  <si>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</si>
  <si>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</si>
  <si>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</si>
  <si>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</si>
  <si>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</si>
  <si>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</si>
  <si>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</si>
  <si>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</si>
  <si>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35005</t>
  </si>
  <si>
    <t>GISTEL</t>
  </si>
  <si>
    <t>Fluvius</t>
  </si>
  <si>
    <t>referentietaak LNE (2017); Jaarverslag De Lijn</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</si>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</sst>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88502.491222595898</c:v>
                </c:pt>
                <c:pt idx="1">
                  <c:v>29807.148199121799</c:v>
                </c:pt>
                <c:pt idx="2">
                  <c:v>1075.5519999999999</c:v>
                </c:pt>
                <c:pt idx="3">
                  <c:v>12828.84332684302</c:v>
                </c:pt>
                <c:pt idx="4">
                  <c:v>14250.201864795034</c:v>
                </c:pt>
                <c:pt idx="5">
                  <c:v>193163.02685566014</c:v>
                </c:pt>
                <c:pt idx="6">
                  <c:v>1401.054559256108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88502.491222595898</c:v>
                </c:pt>
                <c:pt idx="1">
                  <c:v>29807.148199121799</c:v>
                </c:pt>
                <c:pt idx="2">
                  <c:v>1075.5519999999999</c:v>
                </c:pt>
                <c:pt idx="3">
                  <c:v>12828.84332684302</c:v>
                </c:pt>
                <c:pt idx="4">
                  <c:v>14250.201864795034</c:v>
                </c:pt>
                <c:pt idx="5">
                  <c:v>193163.02685566014</c:v>
                </c:pt>
                <c:pt idx="6">
                  <c:v>1401.054559256108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11897.381049632293</c:v>
                </c:pt>
                <c:pt idx="2">
                  <c:v>4246.7330835650455</c:v>
                </c:pt>
                <c:pt idx="3">
                  <c:v>56.134810501407848</c:v>
                </c:pt>
                <c:pt idx="4">
                  <c:v>2916.2279307431336</c:v>
                </c:pt>
                <c:pt idx="5">
                  <c:v>2271.2355790564125</c:v>
                </c:pt>
                <c:pt idx="6">
                  <c:v>48443.595049943295</c:v>
                </c:pt>
                <c:pt idx="7">
                  <c:v>353.9786607289173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11897.381049632293</c:v>
                </c:pt>
                <c:pt idx="2">
                  <c:v>4246.7330835650455</c:v>
                </c:pt>
                <c:pt idx="3">
                  <c:v>56.134810501407848</c:v>
                </c:pt>
                <c:pt idx="4">
                  <c:v>2916.2279307431336</c:v>
                </c:pt>
                <c:pt idx="5">
                  <c:v>2271.2355790564125</c:v>
                </c:pt>
                <c:pt idx="6">
                  <c:v>48443.595049943295</c:v>
                </c:pt>
                <c:pt idx="7">
                  <c:v>353.9786607289173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35005</v>
      </c>
      <c r="B6" s="390"/>
      <c r="C6" s="391"/>
    </row>
    <row r="7" spans="1:7" s="388" customFormat="1" ht="15.75" customHeight="1">
      <c r="A7" s="392" t="str">
        <f>txtMunicipality</f>
        <v>GISTEL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5.2191628579006735E-2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5.2191628579006735E-2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4945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3148.96</v>
      </c>
      <c r="C14" s="330"/>
      <c r="D14" s="330"/>
      <c r="E14" s="330"/>
      <c r="F14" s="330"/>
    </row>
    <row r="15" spans="1:6">
      <c r="A15" s="1293" t="s">
        <v>183</v>
      </c>
      <c r="B15" s="1294">
        <v>42</v>
      </c>
      <c r="C15" s="330"/>
      <c r="D15" s="330"/>
      <c r="E15" s="330"/>
      <c r="F15" s="330"/>
    </row>
    <row r="16" spans="1:6">
      <c r="A16" s="1293" t="s">
        <v>6</v>
      </c>
      <c r="B16" s="1294">
        <v>1733</v>
      </c>
      <c r="C16" s="330"/>
      <c r="D16" s="330"/>
      <c r="E16" s="330"/>
      <c r="F16" s="330"/>
    </row>
    <row r="17" spans="1:6">
      <c r="A17" s="1293" t="s">
        <v>7</v>
      </c>
      <c r="B17" s="1294">
        <v>813</v>
      </c>
      <c r="C17" s="330"/>
      <c r="D17" s="330"/>
      <c r="E17" s="330"/>
      <c r="F17" s="330"/>
    </row>
    <row r="18" spans="1:6">
      <c r="A18" s="1293" t="s">
        <v>8</v>
      </c>
      <c r="B18" s="1294">
        <v>1487</v>
      </c>
      <c r="C18" s="330"/>
      <c r="D18" s="330"/>
      <c r="E18" s="330"/>
      <c r="F18" s="330"/>
    </row>
    <row r="19" spans="1:6">
      <c r="A19" s="1293" t="s">
        <v>9</v>
      </c>
      <c r="B19" s="1294">
        <v>1392</v>
      </c>
      <c r="C19" s="330"/>
      <c r="D19" s="330"/>
      <c r="E19" s="330"/>
      <c r="F19" s="330"/>
    </row>
    <row r="20" spans="1:6">
      <c r="A20" s="1293" t="s">
        <v>10</v>
      </c>
      <c r="B20" s="1294">
        <v>1030</v>
      </c>
      <c r="C20" s="330"/>
      <c r="D20" s="330"/>
      <c r="E20" s="330"/>
      <c r="F20" s="330"/>
    </row>
    <row r="21" spans="1:6">
      <c r="A21" s="1293" t="s">
        <v>11</v>
      </c>
      <c r="B21" s="1294">
        <v>7968</v>
      </c>
      <c r="C21" s="330"/>
      <c r="D21" s="330"/>
      <c r="E21" s="330"/>
      <c r="F21" s="330"/>
    </row>
    <row r="22" spans="1:6">
      <c r="A22" s="1293" t="s">
        <v>12</v>
      </c>
      <c r="B22" s="1294">
        <v>17772</v>
      </c>
      <c r="C22" s="330"/>
      <c r="D22" s="330"/>
      <c r="E22" s="330"/>
      <c r="F22" s="330"/>
    </row>
    <row r="23" spans="1:6">
      <c r="A23" s="1293" t="s">
        <v>13</v>
      </c>
      <c r="B23" s="1294">
        <v>100</v>
      </c>
      <c r="C23" s="330"/>
      <c r="D23" s="330"/>
      <c r="E23" s="330"/>
      <c r="F23" s="330"/>
    </row>
    <row r="24" spans="1:6">
      <c r="A24" s="1293" t="s">
        <v>14</v>
      </c>
      <c r="B24" s="1294">
        <v>7</v>
      </c>
      <c r="C24" s="330"/>
      <c r="D24" s="330"/>
      <c r="E24" s="330"/>
      <c r="F24" s="330"/>
    </row>
    <row r="25" spans="1:6">
      <c r="A25" s="1293" t="s">
        <v>15</v>
      </c>
      <c r="B25" s="1294">
        <v>637</v>
      </c>
      <c r="C25" s="330"/>
      <c r="D25" s="330"/>
      <c r="E25" s="330"/>
      <c r="F25" s="330"/>
    </row>
    <row r="26" spans="1:6">
      <c r="A26" s="1293" t="s">
        <v>16</v>
      </c>
      <c r="B26" s="1294">
        <v>250</v>
      </c>
      <c r="C26" s="330"/>
      <c r="D26" s="330"/>
      <c r="E26" s="330"/>
      <c r="F26" s="330"/>
    </row>
    <row r="27" spans="1:6">
      <c r="A27" s="1293" t="s">
        <v>17</v>
      </c>
      <c r="B27" s="1294">
        <v>0</v>
      </c>
      <c r="C27" s="330"/>
      <c r="D27" s="330"/>
      <c r="E27" s="330"/>
      <c r="F27" s="330"/>
    </row>
    <row r="28" spans="1:6" s="43" customFormat="1">
      <c r="A28" s="1295" t="s">
        <v>18</v>
      </c>
      <c r="B28" s="1296">
        <v>68541</v>
      </c>
      <c r="C28" s="336"/>
      <c r="D28" s="336"/>
      <c r="E28" s="336"/>
      <c r="F28" s="336"/>
    </row>
    <row r="29" spans="1:6">
      <c r="A29" s="1295" t="s">
        <v>734</v>
      </c>
      <c r="B29" s="1296">
        <v>27</v>
      </c>
      <c r="C29" s="336"/>
      <c r="D29" s="336"/>
      <c r="E29" s="336"/>
      <c r="F29" s="336"/>
    </row>
    <row r="30" spans="1:6">
      <c r="A30" s="1288" t="s">
        <v>735</v>
      </c>
      <c r="B30" s="1297">
        <v>10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11</v>
      </c>
      <c r="F36" s="1294">
        <v>125873</v>
      </c>
    </row>
    <row r="37" spans="1:6">
      <c r="A37" s="1293" t="s">
        <v>24</v>
      </c>
      <c r="B37" s="1293" t="s">
        <v>27</v>
      </c>
      <c r="C37" s="1294">
        <v>0</v>
      </c>
      <c r="D37" s="1294">
        <v>0</v>
      </c>
      <c r="E37" s="1294">
        <v>0</v>
      </c>
      <c r="F37" s="1294">
        <v>0</v>
      </c>
    </row>
    <row r="38" spans="1:6">
      <c r="A38" s="1293" t="s">
        <v>24</v>
      </c>
      <c r="B38" s="1293" t="s">
        <v>28</v>
      </c>
      <c r="C38" s="1294">
        <v>1</v>
      </c>
      <c r="D38" s="1294">
        <v>690410.625</v>
      </c>
      <c r="E38" s="1294">
        <v>1</v>
      </c>
      <c r="F38" s="1294">
        <v>9185</v>
      </c>
    </row>
    <row r="39" spans="1:6">
      <c r="A39" s="1293" t="s">
        <v>29</v>
      </c>
      <c r="B39" s="1293" t="s">
        <v>30</v>
      </c>
      <c r="C39" s="1294">
        <v>3628</v>
      </c>
      <c r="D39" s="1294">
        <v>51262402.000000097</v>
      </c>
      <c r="E39" s="1294">
        <v>4903</v>
      </c>
      <c r="F39" s="1294">
        <v>17389118.75</v>
      </c>
    </row>
    <row r="40" spans="1:6">
      <c r="A40" s="1293" t="s">
        <v>29</v>
      </c>
      <c r="B40" s="1293" t="s">
        <v>28</v>
      </c>
      <c r="C40" s="1294">
        <v>0</v>
      </c>
      <c r="D40" s="1294">
        <v>0</v>
      </c>
      <c r="E40" s="1294">
        <v>0</v>
      </c>
      <c r="F40" s="1294">
        <v>0</v>
      </c>
    </row>
    <row r="41" spans="1:6">
      <c r="A41" s="1293" t="s">
        <v>31</v>
      </c>
      <c r="B41" s="1293" t="s">
        <v>32</v>
      </c>
      <c r="C41" s="1294">
        <v>55</v>
      </c>
      <c r="D41" s="1294">
        <v>4844204.7779999999</v>
      </c>
      <c r="E41" s="1294">
        <v>123</v>
      </c>
      <c r="F41" s="1294">
        <v>2375824.659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7</v>
      </c>
      <c r="D44" s="1294">
        <v>658801</v>
      </c>
      <c r="E44" s="1294">
        <v>20</v>
      </c>
      <c r="F44" s="1294">
        <v>528860.97100000002</v>
      </c>
    </row>
    <row r="45" spans="1:6">
      <c r="A45" s="1293" t="s">
        <v>31</v>
      </c>
      <c r="B45" s="1293" t="s">
        <v>36</v>
      </c>
      <c r="C45" s="1294">
        <v>4</v>
      </c>
      <c r="D45" s="1294">
        <v>454037</v>
      </c>
      <c r="E45" s="1294">
        <v>8</v>
      </c>
      <c r="F45" s="1294">
        <v>778460</v>
      </c>
    </row>
    <row r="46" spans="1:6">
      <c r="A46" s="1293" t="s">
        <v>31</v>
      </c>
      <c r="B46" s="1293" t="s">
        <v>37</v>
      </c>
      <c r="C46" s="1294">
        <v>0</v>
      </c>
      <c r="D46" s="1294">
        <v>0</v>
      </c>
      <c r="E46" s="1294">
        <v>0</v>
      </c>
      <c r="F46" s="1294">
        <v>0</v>
      </c>
    </row>
    <row r="47" spans="1:6">
      <c r="A47" s="1293" t="s">
        <v>31</v>
      </c>
      <c r="B47" s="1293" t="s">
        <v>38</v>
      </c>
      <c r="C47" s="1294">
        <v>8</v>
      </c>
      <c r="D47" s="1294">
        <v>394054</v>
      </c>
      <c r="E47" s="1294">
        <v>8</v>
      </c>
      <c r="F47" s="1294">
        <v>209256</v>
      </c>
    </row>
    <row r="48" spans="1:6">
      <c r="A48" s="1293" t="s">
        <v>31</v>
      </c>
      <c r="B48" s="1293" t="s">
        <v>28</v>
      </c>
      <c r="C48" s="1294">
        <v>1</v>
      </c>
      <c r="D48" s="1294">
        <v>20826</v>
      </c>
      <c r="E48" s="1294">
        <v>2</v>
      </c>
      <c r="F48" s="1294">
        <v>10807</v>
      </c>
    </row>
    <row r="49" spans="1:6">
      <c r="A49" s="1293" t="s">
        <v>31</v>
      </c>
      <c r="B49" s="1293" t="s">
        <v>39</v>
      </c>
      <c r="C49" s="1294">
        <v>0</v>
      </c>
      <c r="D49" s="1294">
        <v>0</v>
      </c>
      <c r="E49" s="1294">
        <v>0</v>
      </c>
      <c r="F49" s="1294">
        <v>0</v>
      </c>
    </row>
    <row r="50" spans="1:6">
      <c r="A50" s="1293" t="s">
        <v>31</v>
      </c>
      <c r="B50" s="1293" t="s">
        <v>40</v>
      </c>
      <c r="C50" s="1294">
        <v>8</v>
      </c>
      <c r="D50" s="1294">
        <v>571432</v>
      </c>
      <c r="E50" s="1294">
        <v>11</v>
      </c>
      <c r="F50" s="1294">
        <v>595487</v>
      </c>
    </row>
    <row r="51" spans="1:6">
      <c r="A51" s="1293" t="s">
        <v>41</v>
      </c>
      <c r="B51" s="1293" t="s">
        <v>42</v>
      </c>
      <c r="C51" s="1294">
        <v>11</v>
      </c>
      <c r="D51" s="1294">
        <v>256131</v>
      </c>
      <c r="E51" s="1294">
        <v>78</v>
      </c>
      <c r="F51" s="1294">
        <v>2347368.0469999998</v>
      </c>
    </row>
    <row r="52" spans="1:6">
      <c r="A52" s="1293" t="s">
        <v>41</v>
      </c>
      <c r="B52" s="1293" t="s">
        <v>28</v>
      </c>
      <c r="C52" s="1294">
        <v>0</v>
      </c>
      <c r="D52" s="1294">
        <v>0</v>
      </c>
      <c r="E52" s="1294">
        <v>0</v>
      </c>
      <c r="F52" s="1294">
        <v>0</v>
      </c>
    </row>
    <row r="53" spans="1:6">
      <c r="A53" s="1293" t="s">
        <v>43</v>
      </c>
      <c r="B53" s="1293" t="s">
        <v>44</v>
      </c>
      <c r="C53" s="1294">
        <v>50</v>
      </c>
      <c r="D53" s="1294">
        <v>891437.5</v>
      </c>
      <c r="E53" s="1294">
        <v>107</v>
      </c>
      <c r="F53" s="1294">
        <v>480874.7</v>
      </c>
    </row>
    <row r="54" spans="1:6">
      <c r="A54" s="1293" t="s">
        <v>45</v>
      </c>
      <c r="B54" s="1293" t="s">
        <v>46</v>
      </c>
      <c r="C54" s="1294">
        <v>0</v>
      </c>
      <c r="D54" s="1294">
        <v>0</v>
      </c>
      <c r="E54" s="1294">
        <v>1</v>
      </c>
      <c r="F54" s="1294">
        <v>1075552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48</v>
      </c>
      <c r="D57" s="1294">
        <v>3074845.65</v>
      </c>
      <c r="E57" s="1294">
        <v>81</v>
      </c>
      <c r="F57" s="1294">
        <v>1827812.013</v>
      </c>
    </row>
    <row r="58" spans="1:6">
      <c r="A58" s="1293" t="s">
        <v>48</v>
      </c>
      <c r="B58" s="1293" t="s">
        <v>50</v>
      </c>
      <c r="C58" s="1294">
        <v>26</v>
      </c>
      <c r="D58" s="1294">
        <v>2177073.4750000001</v>
      </c>
      <c r="E58" s="1294">
        <v>33</v>
      </c>
      <c r="F58" s="1294">
        <v>645647.16299999994</v>
      </c>
    </row>
    <row r="59" spans="1:6">
      <c r="A59" s="1293" t="s">
        <v>48</v>
      </c>
      <c r="B59" s="1293" t="s">
        <v>51</v>
      </c>
      <c r="C59" s="1294">
        <v>103</v>
      </c>
      <c r="D59" s="1294">
        <v>4366376.1880000001</v>
      </c>
      <c r="E59" s="1294">
        <v>189</v>
      </c>
      <c r="F59" s="1294">
        <v>4415039.3039999995</v>
      </c>
    </row>
    <row r="60" spans="1:6">
      <c r="A60" s="1293" t="s">
        <v>48</v>
      </c>
      <c r="B60" s="1293" t="s">
        <v>52</v>
      </c>
      <c r="C60" s="1294">
        <v>42</v>
      </c>
      <c r="D60" s="1294">
        <v>1703729</v>
      </c>
      <c r="E60" s="1294">
        <v>58</v>
      </c>
      <c r="F60" s="1294">
        <v>1183150</v>
      </c>
    </row>
    <row r="61" spans="1:6">
      <c r="A61" s="1293" t="s">
        <v>48</v>
      </c>
      <c r="B61" s="1293" t="s">
        <v>53</v>
      </c>
      <c r="C61" s="1294">
        <v>108</v>
      </c>
      <c r="D61" s="1294">
        <v>3916974.1</v>
      </c>
      <c r="E61" s="1294">
        <v>199</v>
      </c>
      <c r="F61" s="1294">
        <v>1889646.1780000001</v>
      </c>
    </row>
    <row r="62" spans="1:6">
      <c r="A62" s="1293" t="s">
        <v>48</v>
      </c>
      <c r="B62" s="1293" t="s">
        <v>54</v>
      </c>
      <c r="C62" s="1294">
        <v>11</v>
      </c>
      <c r="D62" s="1294">
        <v>1909637.125</v>
      </c>
      <c r="E62" s="1294">
        <v>10</v>
      </c>
      <c r="F62" s="1294">
        <v>202888</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9</v>
      </c>
      <c r="F66" s="1294">
        <v>133252</v>
      </c>
    </row>
    <row r="67" spans="1:6">
      <c r="A67" s="1295" t="s">
        <v>55</v>
      </c>
      <c r="B67" s="1295" t="s">
        <v>58</v>
      </c>
      <c r="C67" s="1294">
        <v>0</v>
      </c>
      <c r="D67" s="1294">
        <v>0</v>
      </c>
      <c r="E67" s="1294">
        <v>0</v>
      </c>
      <c r="F67" s="1294">
        <v>0</v>
      </c>
    </row>
    <row r="68" spans="1:6">
      <c r="A68" s="1288" t="s">
        <v>55</v>
      </c>
      <c r="B68" s="1288" t="s">
        <v>59</v>
      </c>
      <c r="C68" s="1297">
        <v>3</v>
      </c>
      <c r="D68" s="1297">
        <v>43830</v>
      </c>
      <c r="E68" s="1297">
        <v>14</v>
      </c>
      <c r="F68" s="1297">
        <v>101703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47997044</v>
      </c>
      <c r="E73" s="449"/>
      <c r="F73" s="330"/>
    </row>
    <row r="74" spans="1:6">
      <c r="A74" s="1293" t="s">
        <v>63</v>
      </c>
      <c r="B74" s="1293" t="s">
        <v>656</v>
      </c>
      <c r="C74" s="1307" t="s">
        <v>658</v>
      </c>
      <c r="D74" s="1308">
        <v>5384122</v>
      </c>
      <c r="E74" s="449"/>
      <c r="F74" s="330"/>
    </row>
    <row r="75" spans="1:6">
      <c r="A75" s="1293" t="s">
        <v>64</v>
      </c>
      <c r="B75" s="1293" t="s">
        <v>655</v>
      </c>
      <c r="C75" s="1307" t="s">
        <v>659</v>
      </c>
      <c r="D75" s="1308">
        <v>9095186</v>
      </c>
      <c r="E75" s="449"/>
      <c r="F75" s="330"/>
    </row>
    <row r="76" spans="1:6">
      <c r="A76" s="1293" t="s">
        <v>64</v>
      </c>
      <c r="B76" s="1293" t="s">
        <v>656</v>
      </c>
      <c r="C76" s="1307" t="s">
        <v>660</v>
      </c>
      <c r="D76" s="1308">
        <v>727224</v>
      </c>
      <c r="E76" s="449"/>
      <c r="F76" s="330"/>
    </row>
    <row r="77" spans="1:6">
      <c r="A77" s="1293" t="s">
        <v>65</v>
      </c>
      <c r="B77" s="1293" t="s">
        <v>655</v>
      </c>
      <c r="C77" s="1307" t="s">
        <v>661</v>
      </c>
      <c r="D77" s="1308">
        <v>104674151</v>
      </c>
      <c r="E77" s="449"/>
      <c r="F77" s="330"/>
    </row>
    <row r="78" spans="1:6">
      <c r="A78" s="1288" t="s">
        <v>65</v>
      </c>
      <c r="B78" s="1288" t="s">
        <v>656</v>
      </c>
      <c r="C78" s="1288" t="s">
        <v>662</v>
      </c>
      <c r="D78" s="1309">
        <v>25806923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382112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23769.784128513926</v>
      </c>
      <c r="C90" s="330"/>
      <c r="D90" s="330"/>
      <c r="E90" s="330"/>
      <c r="F90" s="330"/>
    </row>
    <row r="91" spans="1:6">
      <c r="A91" s="1293" t="s">
        <v>67</v>
      </c>
      <c r="B91" s="1294">
        <v>2731.8905650665142</v>
      </c>
      <c r="C91" s="330"/>
      <c r="D91" s="330"/>
      <c r="E91" s="330"/>
      <c r="F91" s="330"/>
    </row>
    <row r="92" spans="1:6">
      <c r="A92" s="1288" t="s">
        <v>68</v>
      </c>
      <c r="B92" s="1289">
        <v>2440.2337740952375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2525</v>
      </c>
      <c r="C97" s="330"/>
      <c r="D97" s="330"/>
      <c r="E97" s="330"/>
      <c r="F97" s="330"/>
    </row>
    <row r="98" spans="1:6">
      <c r="A98" s="1293" t="s">
        <v>71</v>
      </c>
      <c r="B98" s="1294">
        <v>2</v>
      </c>
      <c r="C98" s="330"/>
      <c r="D98" s="330"/>
      <c r="E98" s="330"/>
      <c r="F98" s="330"/>
    </row>
    <row r="99" spans="1:6">
      <c r="A99" s="1293" t="s">
        <v>72</v>
      </c>
      <c r="B99" s="1294">
        <v>56</v>
      </c>
      <c r="C99" s="330"/>
      <c r="D99" s="330"/>
      <c r="E99" s="330"/>
      <c r="F99" s="330"/>
    </row>
    <row r="100" spans="1:6">
      <c r="A100" s="1293" t="s">
        <v>73</v>
      </c>
      <c r="B100" s="1294">
        <v>449</v>
      </c>
      <c r="C100" s="330"/>
      <c r="D100" s="330"/>
      <c r="E100" s="330"/>
      <c r="F100" s="330"/>
    </row>
    <row r="101" spans="1:6">
      <c r="A101" s="1293" t="s">
        <v>74</v>
      </c>
      <c r="B101" s="1294">
        <v>96</v>
      </c>
      <c r="C101" s="330"/>
      <c r="D101" s="330"/>
      <c r="E101" s="330"/>
      <c r="F101" s="330"/>
    </row>
    <row r="102" spans="1:6">
      <c r="A102" s="1293" t="s">
        <v>75</v>
      </c>
      <c r="B102" s="1294">
        <v>58</v>
      </c>
      <c r="C102" s="330"/>
      <c r="D102" s="330"/>
      <c r="E102" s="330"/>
      <c r="F102" s="330"/>
    </row>
    <row r="103" spans="1:6">
      <c r="A103" s="1293" t="s">
        <v>76</v>
      </c>
      <c r="B103" s="1294">
        <v>129</v>
      </c>
      <c r="C103" s="330"/>
      <c r="D103" s="330"/>
      <c r="E103" s="330"/>
      <c r="F103" s="330"/>
    </row>
    <row r="104" spans="1:6">
      <c r="A104" s="1293" t="s">
        <v>77</v>
      </c>
      <c r="B104" s="1294">
        <v>902</v>
      </c>
      <c r="C104" s="330"/>
      <c r="D104" s="330"/>
      <c r="E104" s="330"/>
      <c r="F104" s="330"/>
    </row>
    <row r="105" spans="1:6">
      <c r="A105" s="1288" t="s">
        <v>78</v>
      </c>
      <c r="B105" s="1297">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13</v>
      </c>
      <c r="C123" s="1294">
        <v>17</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175</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18</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39596.782820008055</v>
      </c>
      <c r="C3" s="43" t="s">
        <v>169</v>
      </c>
      <c r="D3" s="43"/>
      <c r="E3" s="154"/>
      <c r="F3" s="43"/>
      <c r="G3" s="43"/>
      <c r="H3" s="43"/>
      <c r="I3" s="43"/>
      <c r="J3" s="43"/>
      <c r="K3" s="96"/>
    </row>
    <row r="4" spans="1:11">
      <c r="A4" s="358" t="s">
        <v>170</v>
      </c>
      <c r="B4" s="49">
        <f>IF(ISERROR('SEAP template'!B78+'SEAP template'!C78),0,'SEAP template'!B78+'SEAP template'!C78)</f>
        <v>30245.558467675677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5.2191628579006735E-2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1283.7857142857144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1075.5519999999999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1075.5519999999999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5.2191628579006735E-2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56.134810501407848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17389.118750000001</v>
      </c>
      <c r="C5" s="17">
        <f>IF(ISERROR('Eigen informatie GS &amp; warmtenet'!B57),0,'Eigen informatie GS &amp; warmtenet'!B57)</f>
        <v>0</v>
      </c>
      <c r="D5" s="30">
        <f>(SUM(HH_hh_gas_kWh,HH_rest_gas_kWh)/1000)*0.902</f>
        <v>46238.68660400009</v>
      </c>
      <c r="E5" s="17">
        <f>B46*B57</f>
        <v>6243.9069655088852</v>
      </c>
      <c r="F5" s="17">
        <f>B51*B62</f>
        <v>0</v>
      </c>
      <c r="G5" s="18"/>
      <c r="H5" s="17"/>
      <c r="I5" s="17"/>
      <c r="J5" s="17">
        <f>B50*B61+C50*C61</f>
        <v>253.25206114991417</v>
      </c>
      <c r="K5" s="17"/>
      <c r="L5" s="17"/>
      <c r="M5" s="17"/>
      <c r="N5" s="17">
        <f>B48*B59+C48*C59</f>
        <v>14752.846276870496</v>
      </c>
      <c r="O5" s="17">
        <f>B69*B70*B71</f>
        <v>301.72333333333336</v>
      </c>
      <c r="P5" s="17">
        <f>B77*B78*B79/1000-B77*B78*B79/1000/B80</f>
        <v>591.06666666666661</v>
      </c>
    </row>
    <row r="6" spans="1:16">
      <c r="A6" s="16" t="s">
        <v>620</v>
      </c>
      <c r="B6" s="762">
        <f>kWh_PV_kleiner_dan_10kW</f>
        <v>2731.8905650665142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20121.009315066516</v>
      </c>
      <c r="C8" s="21">
        <f>C5</f>
        <v>0</v>
      </c>
      <c r="D8" s="21">
        <f>D5</f>
        <v>46238.68660400009</v>
      </c>
      <c r="E8" s="21">
        <f>E5</f>
        <v>6243.9069655088852</v>
      </c>
      <c r="F8" s="21">
        <f>F5</f>
        <v>0</v>
      </c>
      <c r="G8" s="21"/>
      <c r="H8" s="21"/>
      <c r="I8" s="21"/>
      <c r="J8" s="21">
        <f>J5</f>
        <v>253.25206114991417</v>
      </c>
      <c r="K8" s="21"/>
      <c r="L8" s="21">
        <f>L5</f>
        <v>0</v>
      </c>
      <c r="M8" s="21">
        <f>M5</f>
        <v>0</v>
      </c>
      <c r="N8" s="21">
        <f>N5</f>
        <v>14752.846276870496</v>
      </c>
      <c r="O8" s="21">
        <f>O5</f>
        <v>301.72333333333336</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5.2191628579006735E-2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1050.1482448066863</v>
      </c>
      <c r="C12" s="23">
        <f ca="1">C10*C8</f>
        <v>0</v>
      </c>
      <c r="D12" s="23">
        <f>D8*D10</f>
        <v>9340.2146940080183</v>
      </c>
      <c r="E12" s="23">
        <f>E10*E8</f>
        <v>1417.366881170517</v>
      </c>
      <c r="F12" s="23">
        <f>F10*F8</f>
        <v>0</v>
      </c>
      <c r="G12" s="23"/>
      <c r="H12" s="23"/>
      <c r="I12" s="23"/>
      <c r="J12" s="23">
        <f>J10*J8</f>
        <v>89.651229647069613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2525</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9.3178036605657244</v>
      </c>
      <c r="D20" s="229"/>
      <c r="E20" s="15"/>
    </row>
    <row r="21" spans="1:7">
      <c r="A21" s="171" t="s">
        <v>73</v>
      </c>
      <c r="B21" s="37">
        <f>aantalw2001_elektriciteit</f>
        <v>449</v>
      </c>
      <c r="C21" s="167">
        <f>IF(ISERROR(B21/SUM($B$20,$B$21,$B$22)*100),0,B21/SUM($B$20,$B$21,$B$22)*100)</f>
        <v>74.708818635607315</v>
      </c>
      <c r="D21" s="229"/>
      <c r="E21" s="15"/>
    </row>
    <row r="22" spans="1:7">
      <c r="A22" s="171" t="s">
        <v>74</v>
      </c>
      <c r="B22" s="37">
        <f>aantalw2001_hout</f>
        <v>96</v>
      </c>
      <c r="C22" s="167">
        <f>IF(ISERROR(B22/SUM($B$20,$B$21,$B$22)*100),0,B22/SUM($B$20,$B$21,$B$22)*100)</f>
        <v>15.973377703826955</v>
      </c>
      <c r="D22" s="229"/>
      <c r="E22" s="15"/>
    </row>
    <row r="23" spans="1:7">
      <c r="A23" s="171" t="s">
        <v>75</v>
      </c>
      <c r="B23" s="37">
        <f>aantalw2001_niet_gespec</f>
        <v>58</v>
      </c>
      <c r="C23" s="166" t="s">
        <v>110</v>
      </c>
      <c r="D23" s="228"/>
      <c r="E23" s="15"/>
    </row>
    <row r="24" spans="1:7">
      <c r="A24" s="171" t="s">
        <v>76</v>
      </c>
      <c r="B24" s="37">
        <f>aantalw2001_steenkool</f>
        <v>129</v>
      </c>
      <c r="C24" s="166" t="s">
        <v>110</v>
      </c>
      <c r="D24" s="229"/>
      <c r="E24" s="15"/>
    </row>
    <row r="25" spans="1:7">
      <c r="A25" s="171" t="s">
        <v>77</v>
      </c>
      <c r="B25" s="37">
        <f>aantalw2001_stookolie</f>
        <v>902</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780</v>
      </c>
      <c r="B28" s="37">
        <f>aantalHuishoudens</f>
        <v>4945</v>
      </c>
      <c r="C28" s="36"/>
      <c r="D28" s="228"/>
    </row>
    <row r="29" spans="1:7" s="15" customFormat="1">
      <c r="A29" s="230" t="s">
        <v>781</v>
      </c>
      <c r="B29" s="37">
        <f>SUM(HH_hh_gas_aantal,HH_rest_gas_aantal)</f>
        <v>3628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3628</v>
      </c>
      <c r="C32" s="167">
        <f>IF(ISERROR(B32/SUM($B$32,$B$34,$B$35,$B$36,$B$38,$B$39)*100),0,B32/SUM($B$32,$B$34,$B$35,$B$36,$B$38,$B$39)*100)</f>
        <v>73.829873829873833</v>
      </c>
      <c r="D32" s="233"/>
      <c r="G32" s="15"/>
    </row>
    <row r="33" spans="1:7">
      <c r="A33" s="171" t="s">
        <v>71</v>
      </c>
      <c r="B33" s="34" t="s">
        <v>110</v>
      </c>
      <c r="C33" s="167"/>
      <c r="D33" s="233"/>
      <c r="G33" s="15"/>
    </row>
    <row r="34" spans="1:7">
      <c r="A34" s="171" t="s">
        <v>72</v>
      </c>
      <c r="B34" s="33">
        <f>IF((($B$28-$B$32-$B$39-$B$77-$B$38)*C20/100)&lt;0,0,($B$28-$B$32-$B$39-$B$77-$B$38)*C20/100)</f>
        <v>118.08452579034942</v>
      </c>
      <c r="C34" s="167">
        <f>IF(ISERROR(B34/SUM($B$32,$B$34,$B$35,$B$36,$B$38,$B$39)*100),0,B34/SUM($B$32,$B$34,$B$35,$B$36,$B$38,$B$39)*100)</f>
        <v>2.4030225028561136</v>
      </c>
      <c r="D34" s="233"/>
      <c r="G34" s="15"/>
    </row>
    <row r="35" spans="1:7">
      <c r="A35" s="171" t="s">
        <v>73</v>
      </c>
      <c r="B35" s="33">
        <f>IF((($B$28-$B$32-$B$39-$B$77-$B$38)*C21/100)&lt;0,0,($B$28-$B$32-$B$39-$B$77-$B$38)*C21/100)</f>
        <v>946.78485856905138</v>
      </c>
      <c r="C35" s="167">
        <f>IF(ISERROR(B35/SUM($B$32,$B$34,$B$35,$B$36,$B$38,$B$39)*100),0,B35/SUM($B$32,$B$34,$B$35,$B$36,$B$38,$B$39)*100)</f>
        <v>19.267091138971335</v>
      </c>
      <c r="D35" s="233"/>
      <c r="G35" s="15"/>
    </row>
    <row r="36" spans="1:7">
      <c r="A36" s="171" t="s">
        <v>74</v>
      </c>
      <c r="B36" s="33">
        <f>IF((($B$28-$B$32-$B$39-$B$77-$B$38)*C22/100)&lt;0,0,($B$28-$B$32-$B$39-$B$77-$B$38)*C22/100)</f>
        <v>202.430615640599</v>
      </c>
      <c r="C36" s="167">
        <f>IF(ISERROR(B36/SUM($B$32,$B$34,$B$35,$B$36,$B$38,$B$39)*100),0,B36/SUM($B$32,$B$34,$B$35,$B$36,$B$38,$B$39)*100)</f>
        <v>4.1194671477533378</v>
      </c>
      <c r="D36" s="233"/>
      <c r="G36" s="15"/>
    </row>
    <row r="37" spans="1:7">
      <c r="A37" s="171" t="s">
        <v>75</v>
      </c>
      <c r="B37" s="34" t="s">
        <v>110</v>
      </c>
      <c r="C37" s="167"/>
      <c r="D37" s="173"/>
      <c r="G37" s="15"/>
    </row>
    <row r="38" spans="1:7">
      <c r="A38" s="171" t="s">
        <v>76</v>
      </c>
      <c r="B38" s="33">
        <f>IF((B24-(B29-B18)*0.1)&lt;0,0,B24-(B29-B18)*0.1)</f>
        <v>18.699999999999989</v>
      </c>
      <c r="C38" s="167">
        <f>IF(ISERROR(B38/SUM($B$32,$B$34,$B$35,$B$36,$B$38,$B$39)*100),0,B38/SUM($B$32,$B$34,$B$35,$B$36,$B$38,$B$39)*100)</f>
        <v>0.38054538054538034</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3628</v>
      </c>
      <c r="C44" s="34" t="s">
        <v>110</v>
      </c>
      <c r="D44" s="174"/>
    </row>
    <row r="45" spans="1:7">
      <c r="A45" s="171" t="s">
        <v>71</v>
      </c>
      <c r="B45" s="33" t="str">
        <f t="shared" si="0"/>
        <v>-</v>
      </c>
      <c r="C45" s="34" t="s">
        <v>110</v>
      </c>
      <c r="D45" s="174"/>
    </row>
    <row r="46" spans="1:7">
      <c r="A46" s="171" t="s">
        <v>72</v>
      </c>
      <c r="B46" s="33">
        <f t="shared" si="0"/>
        <v>118.08452579034942</v>
      </c>
      <c r="C46" s="34" t="s">
        <v>110</v>
      </c>
      <c r="D46" s="174"/>
    </row>
    <row r="47" spans="1:7">
      <c r="A47" s="171" t="s">
        <v>73</v>
      </c>
      <c r="B47" s="33">
        <f t="shared" si="0"/>
        <v>946.78485856905138</v>
      </c>
      <c r="C47" s="34" t="s">
        <v>110</v>
      </c>
      <c r="D47" s="174"/>
    </row>
    <row r="48" spans="1:7">
      <c r="A48" s="171" t="s">
        <v>74</v>
      </c>
      <c r="B48" s="33">
        <f t="shared" si="0"/>
        <v>202.430615640599</v>
      </c>
      <c r="C48" s="33">
        <f>B48*10</f>
        <v>2024.3061564059899</v>
      </c>
      <c r="D48" s="234"/>
    </row>
    <row r="49" spans="1:6">
      <c r="A49" s="171" t="s">
        <v>75</v>
      </c>
      <c r="B49" s="33" t="str">
        <f t="shared" si="0"/>
        <v>-</v>
      </c>
      <c r="C49" s="34" t="s">
        <v>110</v>
      </c>
      <c r="D49" s="234"/>
    </row>
    <row r="50" spans="1:6">
      <c r="A50" s="171" t="s">
        <v>76</v>
      </c>
      <c r="B50" s="33">
        <f t="shared" si="0"/>
        <v>18.699999999999989</v>
      </c>
      <c r="C50" s="33">
        <f>B50*2</f>
        <v>37.399999999999977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10164.182658000002</v>
      </c>
      <c r="C5" s="17">
        <f>IF(ISERROR('Eigen informatie GS &amp; warmtenet'!B58),0,'Eigen informatie GS &amp; warmtenet'!B58)</f>
        <v>0</v>
      </c>
      <c r="D5" s="30">
        <f>SUM(D6:D12)</f>
        <v>15468.069255276001</v>
      </c>
      <c r="E5" s="17">
        <f>SUM(E6:E12)</f>
        <v>182.36764934576445</v>
      </c>
      <c r="F5" s="17">
        <f>SUM(F6:F12)</f>
        <v>1893.8670571041503</v>
      </c>
      <c r="G5" s="18"/>
      <c r="H5" s="17"/>
      <c r="I5" s="17"/>
      <c r="J5" s="17">
        <f>SUM(J6:J12)</f>
        <v>3.9674633976973905E-2</v>
      </c>
      <c r="K5" s="17"/>
      <c r="L5" s="17"/>
      <c r="M5" s="17"/>
      <c r="N5" s="17">
        <f>SUM(N6:N12)</f>
        <v>1570.9542516107711</v>
      </c>
      <c r="O5" s="17">
        <f>B38*B39*B40</f>
        <v>3.1266666666666669</v>
      </c>
      <c r="P5" s="17">
        <f>B46*B47*B48/1000-B46*B47*B48/1000/B49</f>
        <v>19.066666666666666</v>
      </c>
      <c r="R5" s="32"/>
    </row>
    <row r="6" spans="1:18">
      <c r="A6" s="32" t="s">
        <v>53</v>
      </c>
      <c r="B6" s="37">
        <f>B26</f>
        <v>1889.646178</v>
      </c>
      <c r="C6" s="33"/>
      <c r="D6" s="37">
        <f>IF(ISERROR(TER_kantoor_gas_kWh/1000),0,TER_kantoor_gas_kWh/1000)*0.902</f>
        <v>3533.1106381999998</v>
      </c>
      <c r="E6" s="33">
        <f>$C$26*'E Balans VL '!I12/100/3.6*1000000</f>
        <v>1.1843673757231327E-2</v>
      </c>
      <c r="F6" s="33">
        <f>$C$26*('E Balans VL '!L12+'E Balans VL '!N12)/100/3.6*1000000</f>
        <v>283.96101880328507</v>
      </c>
      <c r="G6" s="34"/>
      <c r="H6" s="33"/>
      <c r="I6" s="33"/>
      <c r="J6" s="33">
        <f>$C$26*('E Balans VL '!D12+'E Balans VL '!E12)/100/3.6*1000000</f>
        <v>0</v>
      </c>
      <c r="K6" s="33"/>
      <c r="L6" s="33"/>
      <c r="M6" s="33"/>
      <c r="N6" s="33">
        <f>$C$26*'E Balans VL '!Y12/100/3.6*1000000</f>
        <v>1.8071663984640016</v>
      </c>
      <c r="O6" s="33"/>
      <c r="P6" s="33"/>
      <c r="R6" s="32"/>
    </row>
    <row r="7" spans="1:18">
      <c r="A7" s="32" t="s">
        <v>52</v>
      </c>
      <c r="B7" s="37">
        <f t="shared" ref="B7:B12" si="0">B27</f>
        <v>1183.1500000000001</v>
      </c>
      <c r="C7" s="33"/>
      <c r="D7" s="37">
        <f>IF(ISERROR(TER_horeca_gas_kWh/1000),0,TER_horeca_gas_kWh/1000)*0.902</f>
        <v>1536.7635580000001</v>
      </c>
      <c r="E7" s="33">
        <f>$C$27*'E Balans VL '!I9/100/3.6*1000000</f>
        <v>16.942510924831275</v>
      </c>
      <c r="F7" s="33">
        <f>$C$27*('E Balans VL '!L9+'E Balans VL '!N9)/100/3.6*1000000</f>
        <v>149.82581179034821</v>
      </c>
      <c r="G7" s="34"/>
      <c r="H7" s="33"/>
      <c r="I7" s="33"/>
      <c r="J7" s="33">
        <f>$C$27*('E Balans VL '!D9+'E Balans VL '!E9)/100/3.6*1000000</f>
        <v>0</v>
      </c>
      <c r="K7" s="33"/>
      <c r="L7" s="33"/>
      <c r="M7" s="33"/>
      <c r="N7" s="33">
        <f>$C$27*'E Balans VL '!Y9/100/3.6*1000000</f>
        <v>0.34012953878173224</v>
      </c>
      <c r="O7" s="33"/>
      <c r="P7" s="33"/>
      <c r="R7" s="32"/>
    </row>
    <row r="8" spans="1:18">
      <c r="A8" s="6" t="s">
        <v>51</v>
      </c>
      <c r="B8" s="37">
        <f t="shared" si="0"/>
        <v>4415.0393039999999</v>
      </c>
      <c r="C8" s="33"/>
      <c r="D8" s="37">
        <f>IF(ISERROR(TER_handel_gas_kWh/1000),0,TER_handel_gas_kWh/1000)*0.902</f>
        <v>3938.4713215760003</v>
      </c>
      <c r="E8" s="33">
        <f>$C$28*'E Balans VL '!I13/100/3.6*1000000</f>
        <v>160.13293111782474</v>
      </c>
      <c r="F8" s="33">
        <f>$C$28*('E Balans VL '!L13+'E Balans VL '!N13)/100/3.6*1000000</f>
        <v>850.38127506561557</v>
      </c>
      <c r="G8" s="34"/>
      <c r="H8" s="33"/>
      <c r="I8" s="33"/>
      <c r="J8" s="33">
        <f>$C$28*('E Balans VL '!D13+'E Balans VL '!E13)/100/3.6*1000000</f>
        <v>0</v>
      </c>
      <c r="K8" s="33"/>
      <c r="L8" s="33"/>
      <c r="M8" s="33"/>
      <c r="N8" s="33">
        <f>$C$28*'E Balans VL '!Y13/100/3.6*1000000</f>
        <v>6.115845291278065</v>
      </c>
      <c r="O8" s="33"/>
      <c r="P8" s="33"/>
      <c r="R8" s="32"/>
    </row>
    <row r="9" spans="1:18">
      <c r="A9" s="32" t="s">
        <v>50</v>
      </c>
      <c r="B9" s="37">
        <f t="shared" si="0"/>
        <v>645.64716299999998</v>
      </c>
      <c r="C9" s="33"/>
      <c r="D9" s="37">
        <f>IF(ISERROR(TER_gezond_gas_kWh/1000),0,TER_gezond_gas_kWh/1000)*0.902</f>
        <v>1963.7202744500003</v>
      </c>
      <c r="E9" s="33">
        <f>$C$29*'E Balans VL '!I10/100/3.6*1000000</f>
        <v>4.0423887017893997E-2</v>
      </c>
      <c r="F9" s="33">
        <f>$C$29*('E Balans VL '!L10+'E Balans VL '!N10)/100/3.6*1000000</f>
        <v>95.912851872047625</v>
      </c>
      <c r="G9" s="34"/>
      <c r="H9" s="33"/>
      <c r="I9" s="33"/>
      <c r="J9" s="33">
        <f>$C$29*('E Balans VL '!D10+'E Balans VL '!E10)/100/3.6*1000000</f>
        <v>0</v>
      </c>
      <c r="K9" s="33"/>
      <c r="L9" s="33"/>
      <c r="M9" s="33"/>
      <c r="N9" s="33">
        <f>$C$29*'E Balans VL '!Y10/100/3.6*1000000</f>
        <v>9.9869326169098471</v>
      </c>
      <c r="O9" s="33"/>
      <c r="P9" s="33"/>
      <c r="R9" s="32"/>
    </row>
    <row r="10" spans="1:18">
      <c r="A10" s="32" t="s">
        <v>49</v>
      </c>
      <c r="B10" s="37">
        <f t="shared" si="0"/>
        <v>1827.812013</v>
      </c>
      <c r="C10" s="33"/>
      <c r="D10" s="37">
        <f>IF(ISERROR(TER_ander_gas_kWh/1000),0,TER_ander_gas_kWh/1000)*0.902</f>
        <v>2773.5107762999996</v>
      </c>
      <c r="E10" s="33">
        <f>$C$30*'E Balans VL '!I14/100/3.6*1000000</f>
        <v>2.1786866045309448</v>
      </c>
      <c r="F10" s="33">
        <f>$C$30*('E Balans VL '!L14+'E Balans VL '!N14)/100/3.6*1000000</f>
        <v>478.23688074062835</v>
      </c>
      <c r="G10" s="34"/>
      <c r="H10" s="33"/>
      <c r="I10" s="33"/>
      <c r="J10" s="33">
        <f>$C$30*('E Balans VL '!D14+'E Balans VL '!E14)/100/3.6*1000000</f>
        <v>3.9674633976973905E-2</v>
      </c>
      <c r="K10" s="33"/>
      <c r="L10" s="33"/>
      <c r="M10" s="33"/>
      <c r="N10" s="33">
        <f>$C$30*'E Balans VL '!Y14/100/3.6*1000000</f>
        <v>1552.1332355092043</v>
      </c>
      <c r="O10" s="33"/>
      <c r="P10" s="33"/>
      <c r="R10" s="32"/>
    </row>
    <row r="11" spans="1:18">
      <c r="A11" s="32" t="s">
        <v>54</v>
      </c>
      <c r="B11" s="37">
        <f t="shared" si="0"/>
        <v>202.88800000000001</v>
      </c>
      <c r="C11" s="33"/>
      <c r="D11" s="37">
        <f>IF(ISERROR(TER_onderwijs_gas_kWh/1000),0,TER_onderwijs_gas_kWh/1000)*0.902</f>
        <v>1722.4926867500001</v>
      </c>
      <c r="E11" s="33">
        <f>$C$31*'E Balans VL '!I11/100/3.6*1000000</f>
        <v>3.0612531378023804</v>
      </c>
      <c r="F11" s="33">
        <f>$C$31*('E Balans VL '!L11+'E Balans VL '!N11)/100/3.6*1000000</f>
        <v>35.549218832225577</v>
      </c>
      <c r="G11" s="34"/>
      <c r="H11" s="33"/>
      <c r="I11" s="33"/>
      <c r="J11" s="33">
        <f>$C$31*('E Balans VL '!D11+'E Balans VL '!E11)/100/3.6*1000000</f>
        <v>0</v>
      </c>
      <c r="K11" s="33"/>
      <c r="L11" s="33"/>
      <c r="M11" s="33"/>
      <c r="N11" s="33">
        <f>$C$31*'E Balans VL '!Y11/100/3.6*1000000</f>
        <v>0.57094225613313987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energieproductie'!N39+'lokale energieproductie'!N32</f>
        <v>855</v>
      </c>
      <c r="C13" s="247">
        <f ca="1">'lokale energieproductie'!O39+'lokale energieproductie'!O32</f>
        <v>1221.4285714285716</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-2442.8571428571431</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11019.182658000002</v>
      </c>
      <c r="C16" s="21">
        <f t="shared" ca="1" si="1"/>
        <v>1221.4285714285716</v>
      </c>
      <c r="D16" s="21">
        <f t="shared" ca="1" si="1"/>
        <v>15468.069255276001</v>
      </c>
      <c r="E16" s="21">
        <f t="shared" si="1"/>
        <v>182.36764934576445</v>
      </c>
      <c r="F16" s="21">
        <f t="shared" ca="1" si="1"/>
        <v>1893.8670571041503</v>
      </c>
      <c r="G16" s="21">
        <f t="shared" si="1"/>
        <v>0</v>
      </c>
      <c r="H16" s="21">
        <f t="shared" si="1"/>
        <v>0</v>
      </c>
      <c r="I16" s="21">
        <f t="shared" si="1"/>
        <v>0</v>
      </c>
      <c r="J16" s="21">
        <f t="shared" si="1"/>
        <v>3.9674633976973905E-2</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5.2191628579006735E-2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575.10908853056833</v>
      </c>
      <c r="C20" s="23">
        <f t="shared" ref="C20:P20" ca="1" si="2">C16*C18</f>
        <v>0</v>
      </c>
      <c r="D20" s="23">
        <f t="shared" ca="1" si="2"/>
        <v>3124.5499895657526</v>
      </c>
      <c r="E20" s="23">
        <f t="shared" si="2"/>
        <v>41.397456401488533</v>
      </c>
      <c r="F20" s="23">
        <f t="shared" ca="1" si="2"/>
        <v>505.66250424680817</v>
      </c>
      <c r="G20" s="23">
        <f t="shared" si="2"/>
        <v>0</v>
      </c>
      <c r="H20" s="23">
        <f t="shared" si="2"/>
        <v>0</v>
      </c>
      <c r="I20" s="23">
        <f t="shared" si="2"/>
        <v>0</v>
      </c>
      <c r="J20" s="23">
        <f t="shared" si="2"/>
        <v>1.4044820427848761E-2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1889.646178</v>
      </c>
      <c r="C26" s="39">
        <f>IF(ISERROR(B26*3.6/1000000/'E Balans VL '!Z12*100),0,B26*3.6/1000000/'E Balans VL '!Z12*100)</f>
        <v>3.9944126761578616E-2</v>
      </c>
      <c r="D26" s="237" t="s">
        <v>744</v>
      </c>
      <c r="F26" s="6"/>
    </row>
    <row r="27" spans="1:18">
      <c r="A27" s="231" t="s">
        <v>52</v>
      </c>
      <c r="B27" s="33">
        <f>IF(ISERROR(TER_horeca_ele_kWh/1000),0,TER_horeca_ele_kWh/1000)</f>
        <v>1183.1500000000001</v>
      </c>
      <c r="C27" s="39">
        <f>IF(ISERROR(B27*3.6/1000000/'E Balans VL '!Z9*100),0,B27*3.6/1000000/'E Balans VL '!Z9*100)</f>
        <v>9.3267273517482041E-2</v>
      </c>
      <c r="D27" s="237" t="s">
        <v>744</v>
      </c>
      <c r="F27" s="6"/>
    </row>
    <row r="28" spans="1:18">
      <c r="A28" s="171" t="s">
        <v>51</v>
      </c>
      <c r="B28" s="33">
        <f>IF(ISERROR(TER_handel_ele_kWh/1000),0,TER_handel_ele_kWh/1000)</f>
        <v>4415.0393039999999</v>
      </c>
      <c r="C28" s="39">
        <f>IF(ISERROR(B28*3.6/1000000/'E Balans VL '!Z13*100),0,B28*3.6/1000000/'E Balans VL '!Z13*100)</f>
        <v>0.12814227935980987</v>
      </c>
      <c r="D28" s="237" t="s">
        <v>744</v>
      </c>
      <c r="F28" s="6"/>
    </row>
    <row r="29" spans="1:18">
      <c r="A29" s="231" t="s">
        <v>50</v>
      </c>
      <c r="B29" s="33">
        <f>IF(ISERROR(TER_gezond_ele_kWh/1000),0,TER_gezond_ele_kWh/1000)</f>
        <v>645.64716299999998</v>
      </c>
      <c r="C29" s="39">
        <f>IF(ISERROR(B29*3.6/1000000/'E Balans VL '!Z10*100),0,B29*3.6/1000000/'E Balans VL '!Z10*100)</f>
        <v>6.7997248070163163E-2</v>
      </c>
      <c r="D29" s="237" t="s">
        <v>744</v>
      </c>
      <c r="F29" s="6"/>
    </row>
    <row r="30" spans="1:18">
      <c r="A30" s="231" t="s">
        <v>49</v>
      </c>
      <c r="B30" s="33">
        <f>IF(ISERROR(TER_ander_ele_kWh/1000),0,TER_ander_ele_kWh/1000)</f>
        <v>1827.812013</v>
      </c>
      <c r="C30" s="39">
        <f>IF(ISERROR(B30*3.6/1000000/'E Balans VL '!Z14*100),0,B30*3.6/1000000/'E Balans VL '!Z14*100)</f>
        <v>0.13481981107767441</v>
      </c>
      <c r="D30" s="237" t="s">
        <v>744</v>
      </c>
      <c r="F30" s="6"/>
    </row>
    <row r="31" spans="1:18">
      <c r="A31" s="231" t="s">
        <v>54</v>
      </c>
      <c r="B31" s="33">
        <f>IF(ISERROR(TER_onderwijs_ele_kWh/1000),0,TER_onderwijs_ele_kWh/1000)</f>
        <v>202.88800000000001</v>
      </c>
      <c r="C31" s="39">
        <f>IF(ISERROR(B31*3.6/1000000/'E Balans VL '!Z11*100),0,B31*3.6/1000000/'E Balans VL '!Z11*100)</f>
        <v>5.0386594233620338E-2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4498.6956300000002</v>
      </c>
      <c r="C5" s="17">
        <f>IF(ISERROR('Eigen informatie GS &amp; warmtenet'!B59),0,'Eigen informatie GS &amp; warmtenet'!B59)</f>
        <v>0</v>
      </c>
      <c r="D5" s="30">
        <f>SUM(D6:D15)</f>
        <v>6262.9060097560014</v>
      </c>
      <c r="E5" s="17">
        <f>SUM(E6:E15)</f>
        <v>724.07988255557575</v>
      </c>
      <c r="F5" s="17">
        <f>SUM(F6:F15)</f>
        <v>2271.4987840052313</v>
      </c>
      <c r="G5" s="18"/>
      <c r="H5" s="17"/>
      <c r="I5" s="17"/>
      <c r="J5" s="17">
        <f>SUM(J6:J15)</f>
        <v>1.3502966249350075</v>
      </c>
      <c r="K5" s="17"/>
      <c r="L5" s="17"/>
      <c r="M5" s="17"/>
      <c r="N5" s="17">
        <f>SUM(N6:N15)</f>
        <v>491.67126185329153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528.86097100000006</v>
      </c>
      <c r="C8" s="33"/>
      <c r="D8" s="37">
        <f>IF( ISERROR(IND_metaal_Gas_kWH/1000),0,IND_metaal_Gas_kWH/1000)*0.902</f>
        <v>594.23850200000004</v>
      </c>
      <c r="E8" s="33">
        <f>C30*'E Balans VL '!I18/100/3.6*1000000</f>
        <v>4.862365849561689</v>
      </c>
      <c r="F8" s="33">
        <f>C30*'E Balans VL '!L18/100/3.6*1000000+C30*'E Balans VL '!N18/100/3.6*1000000</f>
        <v>49.589551515757073</v>
      </c>
      <c r="G8" s="34"/>
      <c r="H8" s="33"/>
      <c r="I8" s="33"/>
      <c r="J8" s="40">
        <f>C30*'E Balans VL '!D18/100/3.6*1000000+C30*'E Balans VL '!E18/100/3.6*1000000</f>
        <v>0</v>
      </c>
      <c r="K8" s="33"/>
      <c r="L8" s="33"/>
      <c r="M8" s="33"/>
      <c r="N8" s="33">
        <f>C30*'E Balans VL '!Y18/100/3.6*1000000</f>
        <v>7.5450757308737746</v>
      </c>
      <c r="O8" s="33"/>
      <c r="P8" s="33"/>
      <c r="R8" s="32"/>
    </row>
    <row r="9" spans="1:18">
      <c r="A9" s="6" t="s">
        <v>32</v>
      </c>
      <c r="B9" s="37">
        <f t="shared" si="0"/>
        <v>2375.8246589999999</v>
      </c>
      <c r="C9" s="33"/>
      <c r="D9" s="37">
        <f>IF( ISERROR(IND_andere_gas_kWh/1000),0,IND_andere_gas_kWh/1000)*0.902</f>
        <v>4369.4727097560008</v>
      </c>
      <c r="E9" s="33">
        <f>C31*'E Balans VL '!I19/100/3.6*1000000</f>
        <v>694.49979967643651</v>
      </c>
      <c r="F9" s="33">
        <f>C31*'E Balans VL '!L19/100/3.6*1000000+C31*'E Balans VL '!N19/100/3.6*1000000</f>
        <v>1909.154946909028</v>
      </c>
      <c r="G9" s="34"/>
      <c r="H9" s="33"/>
      <c r="I9" s="33"/>
      <c r="J9" s="40">
        <f>C31*'E Balans VL '!D19/100/3.6*1000000+C31*'E Balans VL '!E19/100/3.6*1000000</f>
        <v>0</v>
      </c>
      <c r="K9" s="33"/>
      <c r="L9" s="33"/>
      <c r="M9" s="33"/>
      <c r="N9" s="33">
        <f>C31*'E Balans VL '!Y19/100/3.6*1000000</f>
        <v>186.35645948086719</v>
      </c>
      <c r="O9" s="33"/>
      <c r="P9" s="33"/>
      <c r="R9" s="32"/>
    </row>
    <row r="10" spans="1:18">
      <c r="A10" s="6" t="s">
        <v>40</v>
      </c>
      <c r="B10" s="37">
        <f t="shared" si="0"/>
        <v>595.48699999999997</v>
      </c>
      <c r="C10" s="33"/>
      <c r="D10" s="37">
        <f>IF( ISERROR(IND_voed_gas_kWh/1000),0,IND_voed_gas_kWh/1000)*0.902</f>
        <v>515.43166400000007</v>
      </c>
      <c r="E10" s="33">
        <f>C32*'E Balans VL '!I20/100/3.6*1000000</f>
        <v>1.2597619816352907</v>
      </c>
      <c r="F10" s="33">
        <f>C32*'E Balans VL '!L20/100/3.6*1000000+C32*'E Balans VL '!N20/100/3.6*1000000</f>
        <v>37.861671732133196</v>
      </c>
      <c r="G10" s="34"/>
      <c r="H10" s="33"/>
      <c r="I10" s="33"/>
      <c r="J10" s="40">
        <f>C32*'E Balans VL '!D20/100/3.6*1000000+C32*'E Balans VL '!E20/100/3.6*1000000</f>
        <v>0</v>
      </c>
      <c r="K10" s="33"/>
      <c r="L10" s="33"/>
      <c r="M10" s="33"/>
      <c r="N10" s="33">
        <f>C32*'E Balans VL '!Y20/100/3.6*1000000</f>
        <v>41.094479409303609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778.46</v>
      </c>
      <c r="C12" s="33"/>
      <c r="D12" s="37">
        <f>IF( ISERROR(IND_min_gas_kWh/1000),0,IND_min_gas_kWh/1000)*0.902</f>
        <v>409.54137400000002</v>
      </c>
      <c r="E12" s="33">
        <f>C34*'E Balans VL '!I22/100/3.6*1000000</f>
        <v>22.564349963180554</v>
      </c>
      <c r="F12" s="33">
        <f>C34*'E Balans VL '!L22/100/3.6*1000000+C34*'E Balans VL '!N22/100/3.6*1000000</f>
        <v>267.64334479405494</v>
      </c>
      <c r="G12" s="34"/>
      <c r="H12" s="33"/>
      <c r="I12" s="33"/>
      <c r="J12" s="40">
        <f>C34*'E Balans VL '!D22/100/3.6*1000000+C34*'E Balans VL '!E22/100/3.6*1000000</f>
        <v>1.2792443654218502</v>
      </c>
      <c r="K12" s="33"/>
      <c r="L12" s="33"/>
      <c r="M12" s="33"/>
      <c r="N12" s="33">
        <f>C34*'E Balans VL '!Y22/100/3.6*1000000</f>
        <v>170.41768665993339</v>
      </c>
      <c r="O12" s="33"/>
      <c r="P12" s="33"/>
      <c r="R12" s="32"/>
    </row>
    <row r="13" spans="1:18">
      <c r="A13" s="6" t="s">
        <v>38</v>
      </c>
      <c r="B13" s="37">
        <f t="shared" si="0"/>
        <v>209.256</v>
      </c>
      <c r="C13" s="33"/>
      <c r="D13" s="37">
        <f>IF( ISERROR(IND_papier_gas_kWh/1000),0,IND_papier_gas_kWh/1000)*0.902</f>
        <v>355.43670800000001</v>
      </c>
      <c r="E13" s="33">
        <f>C35*'E Balans VL '!I23/100/3.6*1000000</f>
        <v>0.29688640752430884</v>
      </c>
      <c r="F13" s="33">
        <f>C35*'E Balans VL '!L23/100/3.6*1000000+C35*'E Balans VL '!N23/100/3.6*1000000</f>
        <v>5.1087258132919011</v>
      </c>
      <c r="G13" s="34"/>
      <c r="H13" s="33"/>
      <c r="I13" s="33"/>
      <c r="J13" s="40">
        <f>C35*'E Balans VL '!D23/100/3.6*1000000+C35*'E Balans VL '!E23/100/3.6*1000000</f>
        <v>3.2363405015046635E-2</v>
      </c>
      <c r="K13" s="33"/>
      <c r="L13" s="33"/>
      <c r="M13" s="33"/>
      <c r="N13" s="33">
        <f>C35*'E Balans VL '!Y23/100/3.6*1000000</f>
        <v>85.498967591478902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10.807</v>
      </c>
      <c r="C15" s="33"/>
      <c r="D15" s="37">
        <f>IF( ISERROR(IND_rest_gas_kWh/1000),0,IND_rest_gas_kWh/1000)*0.902</f>
        <v>18.785052</v>
      </c>
      <c r="E15" s="33">
        <f>C37*'E Balans VL '!I15/100/3.6*1000000</f>
        <v>0.59671867723743999</v>
      </c>
      <c r="F15" s="33">
        <f>C37*'E Balans VL '!L15/100/3.6*1000000+C37*'E Balans VL '!N15/100/3.6*1000000</f>
        <v>2.1405432409662311</v>
      </c>
      <c r="G15" s="34"/>
      <c r="H15" s="33"/>
      <c r="I15" s="33"/>
      <c r="J15" s="40">
        <f>C37*'E Balans VL '!D15/100/3.6*1000000+C37*'E Balans VL '!E15/100/3.6*1000000</f>
        <v>3.8688854498110749E-2</v>
      </c>
      <c r="K15" s="33"/>
      <c r="L15" s="33"/>
      <c r="M15" s="33"/>
      <c r="N15" s="33">
        <f>C37*'E Balans VL '!Y15/100/3.6*1000000</f>
        <v>0.75859298083465776</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4498.6956300000002</v>
      </c>
      <c r="C18" s="21">
        <f>C5+C16</f>
        <v>0</v>
      </c>
      <c r="D18" s="21">
        <f>MAX((D5+D16),0)</f>
        <v>6262.9060097560014</v>
      </c>
      <c r="E18" s="21">
        <f>MAX((E5+E16),0)</f>
        <v>724.07988255557575</v>
      </c>
      <c r="F18" s="21">
        <f>MAX((F5+F16),0)</f>
        <v>2271.4987840052313</v>
      </c>
      <c r="G18" s="21"/>
      <c r="H18" s="21"/>
      <c r="I18" s="21"/>
      <c r="J18" s="21">
        <f>MAX((J5+J16),0)</f>
        <v>1.3502966249350075</v>
      </c>
      <c r="K18" s="21"/>
      <c r="L18" s="21">
        <f>MAX((L5+L16),0)</f>
        <v>0</v>
      </c>
      <c r="M18" s="21"/>
      <c r="N18" s="21">
        <f>MAX((N5+N16),0)</f>
        <v>491.67126185329153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5.2191628579006735E-2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234.79425141096073</v>
      </c>
      <c r="C22" s="23">
        <f ca="1">C18*C20</f>
        <v>0</v>
      </c>
      <c r="D22" s="23">
        <f>D18*D20</f>
        <v>1265.1070139707124</v>
      </c>
      <c r="E22" s="23">
        <f>E18*E20</f>
        <v>164.36613334011571</v>
      </c>
      <c r="F22" s="23">
        <f>F18*F20</f>
        <v>606.49017532939683</v>
      </c>
      <c r="G22" s="23"/>
      <c r="H22" s="23"/>
      <c r="I22" s="23"/>
      <c r="J22" s="23">
        <f>J18*J20</f>
        <v>0.47800500522699263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528.86097100000006</v>
      </c>
      <c r="C30" s="39">
        <f>IF(ISERROR(B30*3.6/1000000/'E Balans VL '!Z18*100),0,B30*3.6/1000000/'E Balans VL '!Z18*100)</f>
        <v>2.9971907314794387E-2</v>
      </c>
      <c r="D30" s="237" t="s">
        <v>744</v>
      </c>
    </row>
    <row r="31" spans="1:18">
      <c r="A31" s="6" t="s">
        <v>32</v>
      </c>
      <c r="B31" s="37">
        <f>IF( ISERROR(IND_ander_ele_kWh/1000),0,IND_ander_ele_kWh/1000)</f>
        <v>2375.8246589999999</v>
      </c>
      <c r="C31" s="39">
        <f>IF(ISERROR(B31*3.6/1000000/'E Balans VL '!Z19*100),0,B31*3.6/1000000/'E Balans VL '!Z19*100)</f>
        <v>0.10775751377054041</v>
      </c>
      <c r="D31" s="237" t="s">
        <v>744</v>
      </c>
    </row>
    <row r="32" spans="1:18">
      <c r="A32" s="171" t="s">
        <v>40</v>
      </c>
      <c r="B32" s="37">
        <f>IF( ISERROR(IND_voed_ele_kWh/1000),0,IND_voed_ele_kWh/1000)</f>
        <v>595.48699999999997</v>
      </c>
      <c r="C32" s="39">
        <f>IF(ISERROR(B32*3.6/1000000/'E Balans VL '!Z20*100),0,B32*3.6/1000000/'E Balans VL '!Z20*100)</f>
        <v>1.8421116192726988E-2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778.46</v>
      </c>
      <c r="C34" s="39">
        <f>IF(ISERROR(B34*3.6/1000000/'E Balans VL '!Z22*100),0,B34*3.6/1000000/'E Balans VL '!Z22*100)</f>
        <v>0.14002066632771906</v>
      </c>
      <c r="D34" s="237" t="s">
        <v>744</v>
      </c>
    </row>
    <row r="35" spans="1:5">
      <c r="A35" s="171" t="s">
        <v>38</v>
      </c>
      <c r="B35" s="37">
        <f>IF( ISERROR(IND_papier_ele_kWh/1000),0,IND_papier_ele_kWh/1000)</f>
        <v>209.256</v>
      </c>
      <c r="C35" s="39">
        <f>IF(ISERROR(B35*3.6/1000000/'E Balans VL '!Z22*100),0,B35*3.6/1000000/'E Balans VL '!Z22*100)</f>
        <v>3.7638625687990625E-2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10.807</v>
      </c>
      <c r="C37" s="39">
        <f>IF(ISERROR(B37*3.6/1000000/'E Balans VL '!Z15*100),0,B37*3.6/1000000/'E Balans VL '!Z15*100)</f>
        <v>8.5658747258255652E-5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2347.3680469999999</v>
      </c>
      <c r="C5" s="17">
        <f>'Eigen informatie GS &amp; warmtenet'!B60</f>
        <v>0</v>
      </c>
      <c r="D5" s="30">
        <f>IF(ISERROR(SUM(LB_lb_gas_kWh,LB_rest_gas_kWh)/1000),0,SUM(LB_lb_gas_kWh,LB_rest_gas_kWh)/1000)*0.902</f>
        <v>231.03016199999999</v>
      </c>
      <c r="E5" s="17">
        <f>B17*'E Balans VL '!I25/3.6*1000000/100</f>
        <v>68.996316590881875</v>
      </c>
      <c r="F5" s="17">
        <f>B17*('E Balans VL '!L25/3.6*1000000+'E Balans VL '!N25/3.6*1000000)/100</f>
        <v>9779.0084386905455</v>
      </c>
      <c r="G5" s="18"/>
      <c r="H5" s="17"/>
      <c r="I5" s="17"/>
      <c r="J5" s="17">
        <f>('E Balans VL '!D25+'E Balans VL '!E25)/3.6*1000000*landbouw!B17/100</f>
        <v>340.08321970444968</v>
      </c>
      <c r="K5" s="17"/>
      <c r="L5" s="17">
        <f>L6*(-1)</f>
        <v>1012.5</v>
      </c>
      <c r="M5" s="17"/>
      <c r="N5" s="17">
        <f>N6*(-1)</f>
        <v>124.71428571428569</v>
      </c>
      <c r="O5" s="17"/>
      <c r="P5" s="17"/>
      <c r="R5" s="32"/>
    </row>
    <row r="6" spans="1:18">
      <c r="A6" s="16" t="s">
        <v>487</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-1012.5</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2347.3680469999999</v>
      </c>
      <c r="C8" s="21">
        <f>C5+C6</f>
        <v>62.357142857142847</v>
      </c>
      <c r="D8" s="21">
        <f>MAX((D5+D6),0)</f>
        <v>231.03016199999999</v>
      </c>
      <c r="E8" s="21">
        <f>MAX((E5+E6),0)</f>
        <v>68.996316590881875</v>
      </c>
      <c r="F8" s="21">
        <f>MAX((F5+F6),0)</f>
        <v>9779.0084386905455</v>
      </c>
      <c r="G8" s="21"/>
      <c r="H8" s="21"/>
      <c r="I8" s="21"/>
      <c r="J8" s="21">
        <f>MAX((J5+J6),0)</f>
        <v>340.08321970444968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5.2191628579006735E-2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122.51296124725242</v>
      </c>
      <c r="C12" s="23">
        <f ca="1">C8*C10</f>
        <v>0</v>
      </c>
      <c r="D12" s="23">
        <f>D8*D10</f>
        <v>46.668092723999997</v>
      </c>
      <c r="E12" s="23">
        <f>E8*E10</f>
        <v>15.662163866130186</v>
      </c>
      <c r="F12" s="23">
        <f>F8*F10</f>
        <v>2610.9952531303757</v>
      </c>
      <c r="G12" s="23"/>
      <c r="H12" s="23"/>
      <c r="I12" s="23"/>
      <c r="J12" s="23">
        <f>J8*J10</f>
        <v>120.38945977537517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0.3330988905119488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540.80465284975594</v>
      </c>
      <c r="C26" s="247">
        <f>B26*'GWP N2O_CH4'!B5</f>
        <v>11356.897709844874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188.06000218583171</v>
      </c>
      <c r="C27" s="247">
        <f>B27*'GWP N2O_CH4'!B5</f>
        <v>3949.2600459024657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6.7155522739634241</v>
      </c>
      <c r="C28" s="247">
        <f>B28*'GWP N2O_CH4'!B4</f>
        <v>2081.8212049286617</v>
      </c>
      <c r="D28" s="50"/>
    </row>
    <row r="29" spans="1:4">
      <c r="A29" s="41" t="s">
        <v>276</v>
      </c>
      <c r="B29" s="247">
        <f>B34*'ha_N2O bodem landbouw'!B4</f>
        <v>20.487890722810221</v>
      </c>
      <c r="C29" s="247">
        <f>B29*'GWP N2O_CH4'!B4</f>
        <v>6351.2461240711682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4.6752660585328773E-3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1.9476169178955091E-4</v>
      </c>
      <c r="C5" s="437" t="s">
        <v>210</v>
      </c>
      <c r="D5" s="422">
        <f>SUM(D6:D11)</f>
        <v>5.0123509301289388E-4</v>
      </c>
      <c r="E5" s="422">
        <f>SUM(E6:E11)</f>
        <v>9.887988686658885E-4</v>
      </c>
      <c r="F5" s="435" t="s">
        <v>210</v>
      </c>
      <c r="G5" s="422">
        <f>SUM(G6:G11)</f>
        <v>0.57048134178615184</v>
      </c>
      <c r="H5" s="422">
        <f>SUM(H6:H11)</f>
        <v>8.7319486590515E-2</v>
      </c>
      <c r="I5" s="437" t="s">
        <v>210</v>
      </c>
      <c r="J5" s="437" t="s">
        <v>210</v>
      </c>
      <c r="K5" s="437" t="s">
        <v>210</v>
      </c>
      <c r="L5" s="437" t="s">
        <v>210</v>
      </c>
      <c r="M5" s="422">
        <f>SUM(M6:M11)</f>
        <v>3.5901272650241338E-2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5.7786948267931597E-5</v>
      </c>
      <c r="C6" s="423"/>
      <c r="D6" s="865">
        <f>vkm_GW_PW*SUMIFS(TableVerdeelsleutelVkm[CNG],TableVerdeelsleutelVkm[Voertuigtype],"Lichte voertuigen")*SUMIFS(TableECFTransport[EnergieConsumptieFactor (PJ per km)],TableECFTransport[Index],CONCATENATE($A6,"_CNG_CNG"))</f>
        <v>1.432101675588919E-4</v>
      </c>
      <c r="E6" s="865">
        <f>vkm_GW_PW*SUMIFS(TableVerdeelsleutelVkm[LPG],TableVerdeelsleutelVkm[Voertuigtype],"Lichte voertuigen")*SUMIFS(TableECFTransport[EnergieConsumptieFactor (PJ per km)],TableECFTransport[Index],CONCATENATE($A6,"_LPG_LPG"))</f>
        <v>2.4585609614119475E-4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7.5333878169592861E-2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2.4332005717306537E-2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5.1177705604969438E-3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5.0583168626788501E-2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8.4616440156201756E-7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2.9553497521379252E-3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1.09503210837154E-5</v>
      </c>
      <c r="C8" s="423"/>
      <c r="D8" s="425">
        <f>vkm_NGW_PW*SUMIFS(TableVerdeelsleutelVkm[CNG],TableVerdeelsleutelVkm[Voertuigtype],"Lichte voertuigen")*SUMIFS(TableECFTransport[EnergieConsumptieFactor (PJ per km)],TableECFTransport[Index],CONCATENATE($A8,"_CNG_CNG"))</f>
        <v>4.5868380067797711E-5</v>
      </c>
      <c r="E8" s="425">
        <f>vkm_NGW_PW*SUMIFS(TableVerdeelsleutelVkm[LPG],TableVerdeelsleutelVkm[Voertuigtype],"Lichte voertuigen")*SUMIFS(TableECFTransport[EnergieConsumptieFactor (PJ per km)],TableECFTransport[Index],CONCATENATE($A8,"_LPG_LPG"))</f>
        <v>7.4780316922584285E-5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2.1553462171978514E-2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7.6218207826540159E-3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1.4836643669085957E-3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8.7901410924218683E-3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1.8113792607381285E-7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5.1356988461758834E-4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1.2602442243790391E-4</v>
      </c>
      <c r="C10" s="423"/>
      <c r="D10" s="425">
        <f>vkm_SW_PW*SUMIFS(TableVerdeelsleutelVkm[CNG],TableVerdeelsleutelVkm[Voertuigtype],"Lichte voertuigen")*SUMIFS(TableECFTransport[EnergieConsumptieFactor (PJ per km)],TableECFTransport[Index],CONCATENATE($A10,"_CNG_CNG"))</f>
        <v>3.121565453862042E-4</v>
      </c>
      <c r="E10" s="425">
        <f>vkm_SW_PW*SUMIFS(TableVerdeelsleutelVkm[LPG],TableVerdeelsleutelVkm[Voertuigtype],"Lichte voertuigen")*SUMIFS(TableECFTransport[EnergieConsumptieFactor (PJ per km)],TableECFTransport[Index],CONCATENATE($A10,"_LPG_LPG"))</f>
        <v>6.6816245560210946E-4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0.18316246145705734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5.5360515372442881E-2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1.2331205084054643E-2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0.23105823026831279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4.1174157839315117E-6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1.349971300202564E-2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54.100469941541917</v>
      </c>
      <c r="C14" s="21"/>
      <c r="D14" s="21">
        <f t="shared" ref="D14:M14" si="0">((D5)*10^9/3600)+D12</f>
        <v>139.23197028135939</v>
      </c>
      <c r="E14" s="21">
        <f t="shared" si="0"/>
        <v>274.66635240719125</v>
      </c>
      <c r="F14" s="21"/>
      <c r="G14" s="21">
        <f t="shared" si="0"/>
        <v>158467.03938504218</v>
      </c>
      <c r="H14" s="21">
        <f t="shared" si="0"/>
        <v>24255.412941809722</v>
      </c>
      <c r="I14" s="21"/>
      <c r="J14" s="21"/>
      <c r="K14" s="21"/>
      <c r="L14" s="21"/>
      <c r="M14" s="21">
        <f t="shared" si="0"/>
        <v>9972.5757361781489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5.2191628579006735E-2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2.8235916331386739</v>
      </c>
      <c r="C18" s="23"/>
      <c r="D18" s="23">
        <f t="shared" ref="D18:M18" si="1">D14*D16</f>
        <v>28.124857996834599</v>
      </c>
      <c r="E18" s="23">
        <f t="shared" si="1"/>
        <v>62.349261996432418</v>
      </c>
      <c r="F18" s="23"/>
      <c r="G18" s="23">
        <f t="shared" si="1"/>
        <v>42310.699515806264</v>
      </c>
      <c r="H18" s="23">
        <f t="shared" si="1"/>
        <v>6039.597822510621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4.7727459873561882E-3</v>
      </c>
      <c r="H50" s="319">
        <f t="shared" si="2"/>
        <v>0</v>
      </c>
      <c r="I50" s="319">
        <f t="shared" si="2"/>
        <v>0</v>
      </c>
      <c r="J50" s="319">
        <f t="shared" si="2"/>
        <v>0</v>
      </c>
      <c r="K50" s="319">
        <f t="shared" si="2"/>
        <v>0</v>
      </c>
      <c r="L50" s="319">
        <f t="shared" si="2"/>
        <v>0</v>
      </c>
      <c r="M50" s="319">
        <f t="shared" si="2"/>
        <v>2.7105042596580105E-4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4.7727459873561882E-3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2.7105042596580105E-4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1325.7627742656077</v>
      </c>
      <c r="H54" s="21">
        <f t="shared" si="3"/>
        <v>0</v>
      </c>
      <c r="I54" s="21">
        <f t="shared" si="3"/>
        <v>0</v>
      </c>
      <c r="J54" s="21">
        <f t="shared" si="3"/>
        <v>0</v>
      </c>
      <c r="K54" s="21">
        <f t="shared" si="3"/>
        <v>0</v>
      </c>
      <c r="L54" s="21">
        <f t="shared" si="3"/>
        <v>0</v>
      </c>
      <c r="M54" s="21">
        <f t="shared" si="3"/>
        <v>75.29178499050029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5.2191628579006735E-2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353.9786607289173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12094.734658000001</v>
      </c>
      <c r="D10" s="979">
        <f ca="1">tertiair!C16</f>
        <v>1221.4285714285716</v>
      </c>
      <c r="E10" s="979">
        <f ca="1">tertiair!D16</f>
        <v>15468.069255276001</v>
      </c>
      <c r="F10" s="979">
        <f>tertiair!E16</f>
        <v>182.36764934576445</v>
      </c>
      <c r="G10" s="979">
        <f ca="1">tertiair!F16</f>
        <v>1893.8670571041503</v>
      </c>
      <c r="H10" s="979">
        <f>tertiair!G16</f>
        <v>0</v>
      </c>
      <c r="I10" s="979">
        <f>tertiair!H16</f>
        <v>0</v>
      </c>
      <c r="J10" s="979">
        <f>tertiair!I16</f>
        <v>0</v>
      </c>
      <c r="K10" s="979">
        <f>tertiair!J16</f>
        <v>3.9674633976973905E-2</v>
      </c>
      <c r="L10" s="979">
        <f>tertiair!K16</f>
        <v>0</v>
      </c>
      <c r="M10" s="979">
        <f ca="1">tertiair!L16</f>
        <v>0</v>
      </c>
      <c r="N10" s="979">
        <f>tertiair!M16</f>
        <v>0</v>
      </c>
      <c r="O10" s="979">
        <f ca="1">tertiair!N16</f>
        <v>0</v>
      </c>
      <c r="P10" s="979">
        <f>tertiair!O16</f>
        <v>3.1266666666666669</v>
      </c>
      <c r="Q10" s="980">
        <f>tertiair!P16</f>
        <v>19.066666666666666</v>
      </c>
      <c r="R10" s="674">
        <f ca="1">SUM(C10:Q10)</f>
        <v>30882.700199121799</v>
      </c>
      <c r="S10" s="67"/>
    </row>
    <row r="11" spans="1:19" s="447" customFormat="1">
      <c r="A11" s="783" t="s">
        <v>224</v>
      </c>
      <c r="B11" s="788"/>
      <c r="C11" s="979">
        <f>huishoudens!B8</f>
        <v>20121.009315066516</v>
      </c>
      <c r="D11" s="979">
        <f>huishoudens!C8</f>
        <v>0</v>
      </c>
      <c r="E11" s="979">
        <f>huishoudens!D8</f>
        <v>46238.68660400009</v>
      </c>
      <c r="F11" s="979">
        <f>huishoudens!E8</f>
        <v>6243.9069655088852</v>
      </c>
      <c r="G11" s="979">
        <f>huishoudens!F8</f>
        <v>0</v>
      </c>
      <c r="H11" s="979">
        <f>huishoudens!G8</f>
        <v>0</v>
      </c>
      <c r="I11" s="979">
        <f>huishoudens!H8</f>
        <v>0</v>
      </c>
      <c r="J11" s="979">
        <f>huishoudens!I8</f>
        <v>0</v>
      </c>
      <c r="K11" s="979">
        <f>huishoudens!J8</f>
        <v>253.25206114991417</v>
      </c>
      <c r="L11" s="979">
        <f>huishoudens!K8</f>
        <v>0</v>
      </c>
      <c r="M11" s="979">
        <f>huishoudens!L8</f>
        <v>0</v>
      </c>
      <c r="N11" s="979">
        <f>huishoudens!M8</f>
        <v>0</v>
      </c>
      <c r="O11" s="979">
        <f>huishoudens!N8</f>
        <v>14752.846276870496</v>
      </c>
      <c r="P11" s="979">
        <f>huishoudens!O8</f>
        <v>301.72333333333336</v>
      </c>
      <c r="Q11" s="980">
        <f>huishoudens!P8</f>
        <v>591.06666666666661</v>
      </c>
      <c r="R11" s="674">
        <f>SUM(C11:Q11)</f>
        <v>88502.491222595898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4498.6956300000002</v>
      </c>
      <c r="D13" s="979">
        <f>industrie!C18</f>
        <v>0</v>
      </c>
      <c r="E13" s="979">
        <f>industrie!D18</f>
        <v>6262.9060097560014</v>
      </c>
      <c r="F13" s="979">
        <f>industrie!E18</f>
        <v>724.07988255557575</v>
      </c>
      <c r="G13" s="979">
        <f>industrie!F18</f>
        <v>2271.4987840052313</v>
      </c>
      <c r="H13" s="979">
        <f>industrie!G18</f>
        <v>0</v>
      </c>
      <c r="I13" s="979">
        <f>industrie!H18</f>
        <v>0</v>
      </c>
      <c r="J13" s="979">
        <f>industrie!I18</f>
        <v>0</v>
      </c>
      <c r="K13" s="979">
        <f>industrie!J18</f>
        <v>1.3502966249350075</v>
      </c>
      <c r="L13" s="979">
        <f>industrie!K18</f>
        <v>0</v>
      </c>
      <c r="M13" s="979">
        <f>industrie!L18</f>
        <v>0</v>
      </c>
      <c r="N13" s="979">
        <f>industrie!M18</f>
        <v>0</v>
      </c>
      <c r="O13" s="979">
        <f>industrie!N18</f>
        <v>491.67126185329153</v>
      </c>
      <c r="P13" s="979">
        <f>industrie!O18</f>
        <v>0</v>
      </c>
      <c r="Q13" s="980">
        <f>industrie!P18</f>
        <v>0</v>
      </c>
      <c r="R13" s="674">
        <f>SUM(C13:Q13)</f>
        <v>14250.201864795034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36714.439603066516</v>
      </c>
      <c r="D16" s="706">
        <f t="shared" ref="D16:R16" ca="1" si="0">SUM(D9:D15)</f>
        <v>1221.4285714285716</v>
      </c>
      <c r="E16" s="706">
        <f t="shared" ca="1" si="0"/>
        <v>67969.66186903209</v>
      </c>
      <c r="F16" s="706">
        <f t="shared" si="0"/>
        <v>7150.3544974102251</v>
      </c>
      <c r="G16" s="706">
        <f t="shared" ca="1" si="0"/>
        <v>4165.365841109382</v>
      </c>
      <c r="H16" s="706">
        <f t="shared" si="0"/>
        <v>0</v>
      </c>
      <c r="I16" s="706">
        <f t="shared" si="0"/>
        <v>0</v>
      </c>
      <c r="J16" s="706">
        <f t="shared" si="0"/>
        <v>0</v>
      </c>
      <c r="K16" s="706">
        <f t="shared" si="0"/>
        <v>254.64203240882614</v>
      </c>
      <c r="L16" s="706">
        <f t="shared" si="0"/>
        <v>0</v>
      </c>
      <c r="M16" s="706">
        <f t="shared" ca="1" si="0"/>
        <v>0</v>
      </c>
      <c r="N16" s="706">
        <f t="shared" si="0"/>
        <v>0</v>
      </c>
      <c r="O16" s="706">
        <f t="shared" ca="1" si="0"/>
        <v>15244.517538723787</v>
      </c>
      <c r="P16" s="706">
        <f t="shared" si="0"/>
        <v>304.85000000000002</v>
      </c>
      <c r="Q16" s="706">
        <f t="shared" si="0"/>
        <v>610.13333333333333</v>
      </c>
      <c r="R16" s="706">
        <f t="shared" ca="1" si="0"/>
        <v>133635.39328651273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1325.7627742656077</v>
      </c>
      <c r="I19" s="979">
        <f>transport!H54</f>
        <v>0</v>
      </c>
      <c r="J19" s="979">
        <f>transport!I54</f>
        <v>0</v>
      </c>
      <c r="K19" s="979">
        <f>transport!J54</f>
        <v>0</v>
      </c>
      <c r="L19" s="979">
        <f>transport!K54</f>
        <v>0</v>
      </c>
      <c r="M19" s="979">
        <f>transport!L54</f>
        <v>0</v>
      </c>
      <c r="N19" s="979">
        <f>transport!M54</f>
        <v>75.29178499050029</v>
      </c>
      <c r="O19" s="979">
        <f>transport!N54</f>
        <v>0</v>
      </c>
      <c r="P19" s="979">
        <f>transport!O54</f>
        <v>0</v>
      </c>
      <c r="Q19" s="980">
        <f>transport!P54</f>
        <v>0</v>
      </c>
      <c r="R19" s="674">
        <f>SUM(C19:Q19)</f>
        <v>1401.054559256108</v>
      </c>
      <c r="S19" s="67"/>
    </row>
    <row r="20" spans="1:19" s="447" customFormat="1">
      <c r="A20" s="783" t="s">
        <v>306</v>
      </c>
      <c r="B20" s="788"/>
      <c r="C20" s="979">
        <f>transport!B14</f>
        <v>54.100469941541917</v>
      </c>
      <c r="D20" s="979">
        <f>transport!C14</f>
        <v>0</v>
      </c>
      <c r="E20" s="979">
        <f>transport!D14</f>
        <v>139.23197028135939</v>
      </c>
      <c r="F20" s="979">
        <f>transport!E14</f>
        <v>274.66635240719125</v>
      </c>
      <c r="G20" s="979">
        <f>transport!F14</f>
        <v>0</v>
      </c>
      <c r="H20" s="979">
        <f>transport!G14</f>
        <v>158467.03938504218</v>
      </c>
      <c r="I20" s="979">
        <f>transport!H14</f>
        <v>24255.412941809722</v>
      </c>
      <c r="J20" s="979">
        <f>transport!I14</f>
        <v>0</v>
      </c>
      <c r="K20" s="979">
        <f>transport!J14</f>
        <v>0</v>
      </c>
      <c r="L20" s="979">
        <f>transport!K14</f>
        <v>0</v>
      </c>
      <c r="M20" s="979">
        <f>transport!L14</f>
        <v>0</v>
      </c>
      <c r="N20" s="979">
        <f>transport!M14</f>
        <v>9972.5757361781489</v>
      </c>
      <c r="O20" s="979">
        <f>transport!N14</f>
        <v>0</v>
      </c>
      <c r="P20" s="979">
        <f>transport!O14</f>
        <v>0</v>
      </c>
      <c r="Q20" s="980">
        <f>transport!P14</f>
        <v>0</v>
      </c>
      <c r="R20" s="674">
        <f>SUM(C20:Q20)</f>
        <v>193163.02685566014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54.100469941541917</v>
      </c>
      <c r="D22" s="786">
        <f t="shared" ref="D22:R22" si="1">SUM(D18:D21)</f>
        <v>0</v>
      </c>
      <c r="E22" s="786">
        <f t="shared" si="1"/>
        <v>139.23197028135939</v>
      </c>
      <c r="F22" s="786">
        <f t="shared" si="1"/>
        <v>274.66635240719125</v>
      </c>
      <c r="G22" s="786">
        <f t="shared" si="1"/>
        <v>0</v>
      </c>
      <c r="H22" s="786">
        <f t="shared" si="1"/>
        <v>159792.80215930779</v>
      </c>
      <c r="I22" s="786">
        <f t="shared" si="1"/>
        <v>24255.412941809722</v>
      </c>
      <c r="J22" s="786">
        <f t="shared" si="1"/>
        <v>0</v>
      </c>
      <c r="K22" s="786">
        <f t="shared" si="1"/>
        <v>0</v>
      </c>
      <c r="L22" s="786">
        <f t="shared" si="1"/>
        <v>0</v>
      </c>
      <c r="M22" s="786">
        <f t="shared" si="1"/>
        <v>0</v>
      </c>
      <c r="N22" s="786">
        <f t="shared" si="1"/>
        <v>10047.86752116865</v>
      </c>
      <c r="O22" s="786">
        <f t="shared" si="1"/>
        <v>0</v>
      </c>
      <c r="P22" s="786">
        <f t="shared" si="1"/>
        <v>0</v>
      </c>
      <c r="Q22" s="786">
        <f t="shared" si="1"/>
        <v>0</v>
      </c>
      <c r="R22" s="786">
        <f t="shared" si="1"/>
        <v>194564.08141491623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2347.3680469999999</v>
      </c>
      <c r="D24" s="979">
        <f>+landbouw!C8</f>
        <v>62.357142857142847</v>
      </c>
      <c r="E24" s="979">
        <f>+landbouw!D8</f>
        <v>231.03016199999999</v>
      </c>
      <c r="F24" s="979">
        <f>+landbouw!E8</f>
        <v>68.996316590881875</v>
      </c>
      <c r="G24" s="979">
        <f>+landbouw!F8</f>
        <v>9779.0084386905455</v>
      </c>
      <c r="H24" s="979">
        <f>+landbouw!G8</f>
        <v>0</v>
      </c>
      <c r="I24" s="979">
        <f>+landbouw!H8</f>
        <v>0</v>
      </c>
      <c r="J24" s="979">
        <f>+landbouw!I8</f>
        <v>0</v>
      </c>
      <c r="K24" s="979">
        <f>+landbouw!J8</f>
        <v>340.08321970444968</v>
      </c>
      <c r="L24" s="979">
        <f>+landbouw!K8</f>
        <v>0</v>
      </c>
      <c r="M24" s="979">
        <f>+landbouw!L8</f>
        <v>0</v>
      </c>
      <c r="N24" s="979">
        <f>+landbouw!M8</f>
        <v>0</v>
      </c>
      <c r="O24" s="979">
        <f>+landbouw!N8</f>
        <v>0</v>
      </c>
      <c r="P24" s="979">
        <f>+landbouw!O8</f>
        <v>0</v>
      </c>
      <c r="Q24" s="980">
        <f>+landbouw!P8</f>
        <v>0</v>
      </c>
      <c r="R24" s="674">
        <f>SUM(C24:Q24)</f>
        <v>12828.84332684302</v>
      </c>
      <c r="S24" s="67"/>
    </row>
    <row r="25" spans="1:19" s="447" customFormat="1" ht="15" thickBot="1">
      <c r="A25" s="805" t="s">
        <v>823</v>
      </c>
      <c r="B25" s="982"/>
      <c r="C25" s="983">
        <f>IF(Onbekend_ele_kWh="---",0,Onbekend_ele_kWh)/1000+IF(REST_rest_ele_kWh="---",0,REST_rest_ele_kWh)/1000</f>
        <v>480.87470000000002</v>
      </c>
      <c r="D25" s="983"/>
      <c r="E25" s="983">
        <f>IF(onbekend_gas_kWh="---",0,onbekend_gas_kWh)/1000+IF(REST_rest_gas_kWh="---",0,REST_rest_gas_kWh)/1000</f>
        <v>891.4375</v>
      </c>
      <c r="F25" s="983"/>
      <c r="G25" s="983"/>
      <c r="H25" s="983"/>
      <c r="I25" s="983"/>
      <c r="J25" s="983"/>
      <c r="K25" s="983"/>
      <c r="L25" s="983"/>
      <c r="M25" s="983"/>
      <c r="N25" s="983"/>
      <c r="O25" s="983"/>
      <c r="P25" s="983"/>
      <c r="Q25" s="984"/>
      <c r="R25" s="674">
        <f>SUM(C25:Q25)</f>
        <v>1372.3122000000001</v>
      </c>
      <c r="S25" s="67"/>
    </row>
    <row r="26" spans="1:19" s="447" customFormat="1" ht="15.75" thickBot="1">
      <c r="A26" s="679" t="s">
        <v>824</v>
      </c>
      <c r="B26" s="791"/>
      <c r="C26" s="786">
        <f>SUM(C24:C25)</f>
        <v>2828.2427469999998</v>
      </c>
      <c r="D26" s="786">
        <f t="shared" ref="D26:R26" si="2">SUM(D24:D25)</f>
        <v>62.357142857142847</v>
      </c>
      <c r="E26" s="786">
        <f t="shared" si="2"/>
        <v>1122.467662</v>
      </c>
      <c r="F26" s="786">
        <f t="shared" si="2"/>
        <v>68.996316590881875</v>
      </c>
      <c r="G26" s="786">
        <f t="shared" si="2"/>
        <v>9779.0084386905455</v>
      </c>
      <c r="H26" s="786">
        <f t="shared" si="2"/>
        <v>0</v>
      </c>
      <c r="I26" s="786">
        <f t="shared" si="2"/>
        <v>0</v>
      </c>
      <c r="J26" s="786">
        <f t="shared" si="2"/>
        <v>0</v>
      </c>
      <c r="K26" s="786">
        <f t="shared" si="2"/>
        <v>340.08321970444968</v>
      </c>
      <c r="L26" s="786">
        <f t="shared" si="2"/>
        <v>0</v>
      </c>
      <c r="M26" s="786">
        <f t="shared" si="2"/>
        <v>0</v>
      </c>
      <c r="N26" s="786">
        <f t="shared" si="2"/>
        <v>0</v>
      </c>
      <c r="O26" s="786">
        <f t="shared" si="2"/>
        <v>0</v>
      </c>
      <c r="P26" s="786">
        <f t="shared" si="2"/>
        <v>0</v>
      </c>
      <c r="Q26" s="786">
        <f t="shared" si="2"/>
        <v>0</v>
      </c>
      <c r="R26" s="786">
        <f t="shared" si="2"/>
        <v>14201.15552684302</v>
      </c>
      <c r="S26" s="67"/>
    </row>
    <row r="27" spans="1:19" s="447" customFormat="1" ht="17.25" thickTop="1" thickBot="1">
      <c r="A27" s="680" t="s">
        <v>115</v>
      </c>
      <c r="B27" s="779"/>
      <c r="C27" s="681">
        <f ca="1">C22+C16+C26</f>
        <v>39596.782820008055</v>
      </c>
      <c r="D27" s="681">
        <f t="shared" ref="D27:R27" ca="1" si="3">D22+D16+D26</f>
        <v>1283.7857142857144</v>
      </c>
      <c r="E27" s="681">
        <f t="shared" ca="1" si="3"/>
        <v>69231.36150131344</v>
      </c>
      <c r="F27" s="681">
        <f t="shared" si="3"/>
        <v>7494.0171664082982</v>
      </c>
      <c r="G27" s="681">
        <f t="shared" ca="1" si="3"/>
        <v>13944.374279799928</v>
      </c>
      <c r="H27" s="681">
        <f t="shared" si="3"/>
        <v>159792.80215930779</v>
      </c>
      <c r="I27" s="681">
        <f t="shared" si="3"/>
        <v>24255.412941809722</v>
      </c>
      <c r="J27" s="681">
        <f t="shared" si="3"/>
        <v>0</v>
      </c>
      <c r="K27" s="681">
        <f t="shared" si="3"/>
        <v>594.72525211327581</v>
      </c>
      <c r="L27" s="681">
        <f t="shared" si="3"/>
        <v>0</v>
      </c>
      <c r="M27" s="681">
        <f t="shared" ca="1" si="3"/>
        <v>0</v>
      </c>
      <c r="N27" s="681">
        <f t="shared" si="3"/>
        <v>10047.86752116865</v>
      </c>
      <c r="O27" s="681">
        <f t="shared" ca="1" si="3"/>
        <v>15244.517538723787</v>
      </c>
      <c r="P27" s="681">
        <f t="shared" si="3"/>
        <v>304.85000000000002</v>
      </c>
      <c r="Q27" s="681">
        <f t="shared" si="3"/>
        <v>610.13333333333333</v>
      </c>
      <c r="R27" s="681">
        <f t="shared" ca="1" si="3"/>
        <v>342400.630228272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631.24389903197618</v>
      </c>
      <c r="D40" s="979">
        <f ca="1">tertiair!C20</f>
        <v>0</v>
      </c>
      <c r="E40" s="979">
        <f ca="1">tertiair!D20</f>
        <v>3124.5499895657526</v>
      </c>
      <c r="F40" s="979">
        <f>tertiair!E20</f>
        <v>41.397456401488533</v>
      </c>
      <c r="G40" s="979">
        <f ca="1">tertiair!F20</f>
        <v>505.66250424680817</v>
      </c>
      <c r="H40" s="979">
        <f>tertiair!G20</f>
        <v>0</v>
      </c>
      <c r="I40" s="979">
        <f>tertiair!H20</f>
        <v>0</v>
      </c>
      <c r="J40" s="979">
        <f>tertiair!I20</f>
        <v>0</v>
      </c>
      <c r="K40" s="979">
        <f>tertiair!J20</f>
        <v>1.4044820427848761E-2</v>
      </c>
      <c r="L40" s="979">
        <f>tertiair!K20</f>
        <v>0</v>
      </c>
      <c r="M40" s="979">
        <f ca="1">tertiair!L20</f>
        <v>0</v>
      </c>
      <c r="N40" s="979">
        <f>tertiair!M20</f>
        <v>0</v>
      </c>
      <c r="O40" s="979">
        <f ca="1">tertiair!N20</f>
        <v>0</v>
      </c>
      <c r="P40" s="979">
        <f>tertiair!O20</f>
        <v>0</v>
      </c>
      <c r="Q40" s="748">
        <f>tertiair!P20</f>
        <v>0</v>
      </c>
      <c r="R40" s="824">
        <f t="shared" ca="1" si="4"/>
        <v>4302.8678940664531</v>
      </c>
    </row>
    <row r="41" spans="1:18">
      <c r="A41" s="796" t="s">
        <v>224</v>
      </c>
      <c r="B41" s="803"/>
      <c r="C41" s="979">
        <f ca="1">huishoudens!B12</f>
        <v>1050.1482448066863</v>
      </c>
      <c r="D41" s="979">
        <f ca="1">huishoudens!C12</f>
        <v>0</v>
      </c>
      <c r="E41" s="979">
        <f>huishoudens!D12</f>
        <v>9340.2146940080183</v>
      </c>
      <c r="F41" s="979">
        <f>huishoudens!E12</f>
        <v>1417.366881170517</v>
      </c>
      <c r="G41" s="979">
        <f>huishoudens!F12</f>
        <v>0</v>
      </c>
      <c r="H41" s="979">
        <f>huishoudens!G12</f>
        <v>0</v>
      </c>
      <c r="I41" s="979">
        <f>huishoudens!H12</f>
        <v>0</v>
      </c>
      <c r="J41" s="979">
        <f>huishoudens!I12</f>
        <v>0</v>
      </c>
      <c r="K41" s="979">
        <f>huishoudens!J12</f>
        <v>89.651229647069613</v>
      </c>
      <c r="L41" s="979">
        <f>huishoudens!K12</f>
        <v>0</v>
      </c>
      <c r="M41" s="979">
        <f>huishoudens!L12</f>
        <v>0</v>
      </c>
      <c r="N41" s="979">
        <f>huishoudens!M12</f>
        <v>0</v>
      </c>
      <c r="O41" s="979">
        <f>huishoudens!N12</f>
        <v>0</v>
      </c>
      <c r="P41" s="979">
        <f>huishoudens!O12</f>
        <v>0</v>
      </c>
      <c r="Q41" s="748">
        <f>huishoudens!P12</f>
        <v>0</v>
      </c>
      <c r="R41" s="824">
        <f t="shared" ca="1" si="4"/>
        <v>11897.381049632293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234.79425141096073</v>
      </c>
      <c r="D43" s="979">
        <f ca="1">industrie!C22</f>
        <v>0</v>
      </c>
      <c r="E43" s="979">
        <f>industrie!D22</f>
        <v>1265.1070139707124</v>
      </c>
      <c r="F43" s="979">
        <f>industrie!E22</f>
        <v>164.36613334011571</v>
      </c>
      <c r="G43" s="979">
        <f>industrie!F22</f>
        <v>606.49017532939683</v>
      </c>
      <c r="H43" s="979">
        <f>industrie!G22</f>
        <v>0</v>
      </c>
      <c r="I43" s="979">
        <f>industrie!H22</f>
        <v>0</v>
      </c>
      <c r="J43" s="979">
        <f>industrie!I22</f>
        <v>0</v>
      </c>
      <c r="K43" s="979">
        <f>industrie!J22</f>
        <v>0.47800500522699263</v>
      </c>
      <c r="L43" s="979">
        <f>industrie!K22</f>
        <v>0</v>
      </c>
      <c r="M43" s="979">
        <f>industrie!L22</f>
        <v>0</v>
      </c>
      <c r="N43" s="979">
        <f>industrie!M22</f>
        <v>0</v>
      </c>
      <c r="O43" s="979">
        <f>industrie!N22</f>
        <v>0</v>
      </c>
      <c r="P43" s="979">
        <f>industrie!O22</f>
        <v>0</v>
      </c>
      <c r="Q43" s="748">
        <f>industrie!P22</f>
        <v>0</v>
      </c>
      <c r="R43" s="823">
        <f t="shared" ca="1" si="4"/>
        <v>2271.2355790564125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1916.186395249623</v>
      </c>
      <c r="D46" s="706">
        <f t="shared" ref="D46:Q46" ca="1" si="5">SUM(D39:D45)</f>
        <v>0</v>
      </c>
      <c r="E46" s="706">
        <f t="shared" ca="1" si="5"/>
        <v>13729.871697544482</v>
      </c>
      <c r="F46" s="706">
        <f t="shared" si="5"/>
        <v>1623.1304709121214</v>
      </c>
      <c r="G46" s="706">
        <f t="shared" ca="1" si="5"/>
        <v>1112.1526795762049</v>
      </c>
      <c r="H46" s="706">
        <f t="shared" si="5"/>
        <v>0</v>
      </c>
      <c r="I46" s="706">
        <f t="shared" si="5"/>
        <v>0</v>
      </c>
      <c r="J46" s="706">
        <f t="shared" si="5"/>
        <v>0</v>
      </c>
      <c r="K46" s="706">
        <f t="shared" si="5"/>
        <v>90.143279472724458</v>
      </c>
      <c r="L46" s="706">
        <f t="shared" si="5"/>
        <v>0</v>
      </c>
      <c r="M46" s="706">
        <f t="shared" ca="1" si="5"/>
        <v>0</v>
      </c>
      <c r="N46" s="706">
        <f t="shared" si="5"/>
        <v>0</v>
      </c>
      <c r="O46" s="706">
        <f t="shared" ca="1" si="5"/>
        <v>0</v>
      </c>
      <c r="P46" s="706">
        <f t="shared" si="5"/>
        <v>0</v>
      </c>
      <c r="Q46" s="706">
        <f t="shared" si="5"/>
        <v>0</v>
      </c>
      <c r="R46" s="706">
        <f ca="1">SUM(R39:R45)</f>
        <v>18471.484522755156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353.9786607289173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353.9786607289173</v>
      </c>
    </row>
    <row r="50" spans="1:18">
      <c r="A50" s="799" t="s">
        <v>306</v>
      </c>
      <c r="B50" s="809"/>
      <c r="C50" s="677">
        <f ca="1">transport!B18</f>
        <v>2.8235916331386739</v>
      </c>
      <c r="D50" s="677">
        <f>transport!C18</f>
        <v>0</v>
      </c>
      <c r="E50" s="677">
        <f>transport!D18</f>
        <v>28.124857996834599</v>
      </c>
      <c r="F50" s="677">
        <f>transport!E18</f>
        <v>62.349261996432418</v>
      </c>
      <c r="G50" s="677">
        <f>transport!F18</f>
        <v>0</v>
      </c>
      <c r="H50" s="677">
        <f>transport!G18</f>
        <v>42310.699515806264</v>
      </c>
      <c r="I50" s="677">
        <f>transport!H18</f>
        <v>6039.597822510621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48443.595049943295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2.8235916331386739</v>
      </c>
      <c r="D52" s="706">
        <f t="shared" ref="D52:Q52" ca="1" si="6">SUM(D48:D51)</f>
        <v>0</v>
      </c>
      <c r="E52" s="706">
        <f t="shared" si="6"/>
        <v>28.124857996834599</v>
      </c>
      <c r="F52" s="706">
        <f t="shared" si="6"/>
        <v>62.349261996432418</v>
      </c>
      <c r="G52" s="706">
        <f t="shared" si="6"/>
        <v>0</v>
      </c>
      <c r="H52" s="706">
        <f t="shared" si="6"/>
        <v>42664.678176535184</v>
      </c>
      <c r="I52" s="706">
        <f t="shared" si="6"/>
        <v>6039.597822510621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48797.573710672215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122.51296124725242</v>
      </c>
      <c r="D54" s="677">
        <f ca="1">+landbouw!C12</f>
        <v>0</v>
      </c>
      <c r="E54" s="677">
        <f>+landbouw!D12</f>
        <v>46.668092723999997</v>
      </c>
      <c r="F54" s="677">
        <f>+landbouw!E12</f>
        <v>15.662163866130186</v>
      </c>
      <c r="G54" s="677">
        <f>+landbouw!F12</f>
        <v>2610.9952531303757</v>
      </c>
      <c r="H54" s="677">
        <f>+landbouw!G12</f>
        <v>0</v>
      </c>
      <c r="I54" s="677">
        <f>+landbouw!H12</f>
        <v>0</v>
      </c>
      <c r="J54" s="677">
        <f>+landbouw!I12</f>
        <v>0</v>
      </c>
      <c r="K54" s="677">
        <f>+landbouw!J12</f>
        <v>120.38945977537517</v>
      </c>
      <c r="L54" s="677">
        <f>+landbouw!K12</f>
        <v>0</v>
      </c>
      <c r="M54" s="677">
        <f>+landbouw!L12</f>
        <v>0</v>
      </c>
      <c r="N54" s="677">
        <f>+landbouw!M12</f>
        <v>0</v>
      </c>
      <c r="O54" s="677">
        <f>+landbouw!N12</f>
        <v>0</v>
      </c>
      <c r="P54" s="677">
        <f>+landbouw!O12</f>
        <v>0</v>
      </c>
      <c r="Q54" s="678">
        <f>+landbouw!P12</f>
        <v>0</v>
      </c>
      <c r="R54" s="705">
        <f ca="1">SUM(C54:Q54)</f>
        <v>2916.2279307431336</v>
      </c>
    </row>
    <row r="55" spans="1:18" ht="15" thickBot="1">
      <c r="A55" s="799" t="s">
        <v>823</v>
      </c>
      <c r="B55" s="809"/>
      <c r="C55" s="677">
        <f ca="1">C25*'EF ele_warmte'!B12</f>
        <v>25.097633735441292</v>
      </c>
      <c r="D55" s="677"/>
      <c r="E55" s="677">
        <f>E25*EF_CO2_aardgas</f>
        <v>180.07037500000001</v>
      </c>
      <c r="F55" s="677"/>
      <c r="G55" s="677"/>
      <c r="H55" s="677"/>
      <c r="I55" s="677"/>
      <c r="J55" s="677"/>
      <c r="K55" s="677"/>
      <c r="L55" s="677"/>
      <c r="M55" s="677"/>
      <c r="N55" s="677"/>
      <c r="O55" s="677"/>
      <c r="P55" s="677"/>
      <c r="Q55" s="678"/>
      <c r="R55" s="705">
        <f ca="1">SUM(C55:Q55)</f>
        <v>205.1680087354413</v>
      </c>
    </row>
    <row r="56" spans="1:18" ht="15.75" thickBot="1">
      <c r="A56" s="797" t="s">
        <v>824</v>
      </c>
      <c r="B56" s="810"/>
      <c r="C56" s="706">
        <f ca="1">SUM(C54:C55)</f>
        <v>147.61059498269373</v>
      </c>
      <c r="D56" s="706">
        <f t="shared" ref="D56:Q56" ca="1" si="7">SUM(D54:D55)</f>
        <v>0</v>
      </c>
      <c r="E56" s="706">
        <f t="shared" si="7"/>
        <v>226.738467724</v>
      </c>
      <c r="F56" s="706">
        <f t="shared" si="7"/>
        <v>15.662163866130186</v>
      </c>
      <c r="G56" s="706">
        <f t="shared" si="7"/>
        <v>2610.9952531303757</v>
      </c>
      <c r="H56" s="706">
        <f t="shared" si="7"/>
        <v>0</v>
      </c>
      <c r="I56" s="706">
        <f t="shared" si="7"/>
        <v>0</v>
      </c>
      <c r="J56" s="706">
        <f t="shared" si="7"/>
        <v>0</v>
      </c>
      <c r="K56" s="706">
        <f t="shared" si="7"/>
        <v>120.38945977537517</v>
      </c>
      <c r="L56" s="706">
        <f t="shared" si="7"/>
        <v>0</v>
      </c>
      <c r="M56" s="706">
        <f t="shared" si="7"/>
        <v>0</v>
      </c>
      <c r="N56" s="706">
        <f t="shared" si="7"/>
        <v>0</v>
      </c>
      <c r="O56" s="706">
        <f t="shared" si="7"/>
        <v>0</v>
      </c>
      <c r="P56" s="706">
        <f t="shared" si="7"/>
        <v>0</v>
      </c>
      <c r="Q56" s="707">
        <f t="shared" si="7"/>
        <v>0</v>
      </c>
      <c r="R56" s="708">
        <f ca="1">SUM(R54:R55)</f>
        <v>3121.3959394785747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2066.6205818654553</v>
      </c>
      <c r="D61" s="714">
        <f t="shared" ref="D61:Q61" ca="1" si="8">D46+D52+D56</f>
        <v>0</v>
      </c>
      <c r="E61" s="714">
        <f t="shared" ca="1" si="8"/>
        <v>13984.735023265317</v>
      </c>
      <c r="F61" s="714">
        <f t="shared" si="8"/>
        <v>1701.141896774684</v>
      </c>
      <c r="G61" s="714">
        <f t="shared" ca="1" si="8"/>
        <v>3723.1479327065808</v>
      </c>
      <c r="H61" s="714">
        <f t="shared" si="8"/>
        <v>42664.678176535184</v>
      </c>
      <c r="I61" s="714">
        <f t="shared" si="8"/>
        <v>6039.597822510621</v>
      </c>
      <c r="J61" s="714">
        <f t="shared" si="8"/>
        <v>0</v>
      </c>
      <c r="K61" s="714">
        <f t="shared" si="8"/>
        <v>210.53273924809963</v>
      </c>
      <c r="L61" s="714">
        <f t="shared" si="8"/>
        <v>0</v>
      </c>
      <c r="M61" s="714">
        <f t="shared" ca="1" si="8"/>
        <v>0</v>
      </c>
      <c r="N61" s="714">
        <f t="shared" si="8"/>
        <v>0</v>
      </c>
      <c r="O61" s="714">
        <f t="shared" ca="1" si="8"/>
        <v>0</v>
      </c>
      <c r="P61" s="714">
        <f t="shared" si="8"/>
        <v>0</v>
      </c>
      <c r="Q61" s="714">
        <f t="shared" si="8"/>
        <v>0</v>
      </c>
      <c r="R61" s="714">
        <f ca="1">R46+R52+R56</f>
        <v>70390.454172905957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5.2191628579006735E-2</v>
      </c>
      <c r="D63" s="755">
        <f t="shared" ca="1" si="9"/>
        <v>0</v>
      </c>
      <c r="E63" s="990">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23769.784128513926</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5172.1243391617518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898.65</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1057.2352941176471</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405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1012.5</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30245.558467675677</v>
      </c>
      <c r="C78" s="729">
        <f>SUM(C72:C77)</f>
        <v>0</v>
      </c>
      <c r="D78" s="730">
        <f t="shared" ref="D78:H78" si="10">SUM(D76:D77)</f>
        <v>0</v>
      </c>
      <c r="E78" s="730">
        <f t="shared" si="10"/>
        <v>0</v>
      </c>
      <c r="F78" s="730">
        <f t="shared" si="10"/>
        <v>0</v>
      </c>
      <c r="G78" s="730">
        <f t="shared" si="10"/>
        <v>0</v>
      </c>
      <c r="H78" s="730">
        <f t="shared" si="10"/>
        <v>0</v>
      </c>
      <c r="I78" s="730">
        <f>SUM(I76:I77)</f>
        <v>1012.5</v>
      </c>
      <c r="J78" s="730">
        <f>SUM(J76:J77)</f>
        <v>1057.2352941176471</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1283.7857142857144</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1510.3361344537818</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1283.7857142857144</v>
      </c>
      <c r="C90" s="729">
        <f>SUM(C87:C89)</f>
        <v>0</v>
      </c>
      <c r="D90" s="729">
        <f t="shared" ref="D90:H90" si="12">SUM(D87:D89)</f>
        <v>0</v>
      </c>
      <c r="E90" s="729">
        <f t="shared" si="12"/>
        <v>0</v>
      </c>
      <c r="F90" s="729">
        <f t="shared" si="12"/>
        <v>0</v>
      </c>
      <c r="G90" s="729">
        <f t="shared" si="12"/>
        <v>0</v>
      </c>
      <c r="H90" s="729">
        <f t="shared" si="12"/>
        <v>0</v>
      </c>
      <c r="I90" s="729">
        <f>SUM(I87:I89)</f>
        <v>0</v>
      </c>
      <c r="J90" s="729">
        <f>SUM(J87:J89)</f>
        <v>1510.3361344537818</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23769.784128513926</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5172.1243391617518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898.65</v>
      </c>
      <c r="C8" s="544">
        <f>B49</f>
        <v>0</v>
      </c>
      <c r="D8" s="1010"/>
      <c r="E8" s="1010">
        <f>E49</f>
        <v>0</v>
      </c>
      <c r="F8" s="1011"/>
      <c r="G8" s="545"/>
      <c r="H8" s="1010">
        <f>I49</f>
        <v>0</v>
      </c>
      <c r="I8" s="1010">
        <f>G49+F49</f>
        <v>0</v>
      </c>
      <c r="J8" s="1010">
        <f>H49+D49+C49</f>
        <v>1057.2352941176471</v>
      </c>
      <c r="K8" s="1010"/>
      <c r="L8" s="1010"/>
      <c r="M8" s="1010"/>
      <c r="N8" s="546"/>
      <c r="O8" s="547">
        <f>C8*$C$12+D8*$D$12+E8*$E$12+F8*$F$12+G8*$G$12+H8*$H$12+I8*$I$12+J8*$J$12</f>
        <v>0</v>
      </c>
      <c r="P8" s="1250"/>
      <c r="Q8" s="1251"/>
      <c r="S8" s="973"/>
      <c r="T8" s="1225"/>
      <c r="U8" s="1225"/>
    </row>
    <row r="9" spans="1:21" s="533" customFormat="1" ht="17.45" customHeight="1" thickBot="1">
      <c r="A9" s="548" t="s">
        <v>247</v>
      </c>
      <c r="B9" s="549">
        <f>N37+'Eigen informatie GS &amp; warmtenet'!B12</f>
        <v>405</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30245.558467675677</v>
      </c>
      <c r="C10" s="557">
        <f t="shared" ref="C10:L10" si="0">SUM(C8:C9)</f>
        <v>0</v>
      </c>
      <c r="D10" s="557">
        <f t="shared" si="0"/>
        <v>0</v>
      </c>
      <c r="E10" s="557">
        <f t="shared" si="0"/>
        <v>0</v>
      </c>
      <c r="F10" s="557">
        <f t="shared" si="0"/>
        <v>0</v>
      </c>
      <c r="G10" s="557">
        <f t="shared" si="0"/>
        <v>0</v>
      </c>
      <c r="H10" s="557">
        <f t="shared" si="0"/>
        <v>0</v>
      </c>
      <c r="I10" s="557">
        <f t="shared" si="0"/>
        <v>1012.5</v>
      </c>
      <c r="J10" s="557">
        <f t="shared" si="0"/>
        <v>1057.2352941176471</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1283.7857142857144</v>
      </c>
      <c r="C17" s="569">
        <f>B50</f>
        <v>0</v>
      </c>
      <c r="D17" s="570"/>
      <c r="E17" s="570">
        <f>E50</f>
        <v>0</v>
      </c>
      <c r="F17" s="1016"/>
      <c r="G17" s="571"/>
      <c r="H17" s="569">
        <f>I50</f>
        <v>0</v>
      </c>
      <c r="I17" s="570">
        <f>G50+F50</f>
        <v>0</v>
      </c>
      <c r="J17" s="570">
        <f>H50+D50+C50</f>
        <v>1510.3361344537818</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1283.7857142857144</v>
      </c>
      <c r="C20" s="556">
        <f>SUM(C17:C19)</f>
        <v>0</v>
      </c>
      <c r="D20" s="556">
        <f t="shared" ref="D20:L20" si="1">SUM(D17:D19)</f>
        <v>0</v>
      </c>
      <c r="E20" s="556">
        <f t="shared" si="1"/>
        <v>0</v>
      </c>
      <c r="F20" s="556">
        <f t="shared" si="1"/>
        <v>0</v>
      </c>
      <c r="G20" s="556">
        <f t="shared" si="1"/>
        <v>0</v>
      </c>
      <c r="H20" s="556">
        <f t="shared" si="1"/>
        <v>0</v>
      </c>
      <c r="I20" s="556">
        <f t="shared" si="1"/>
        <v>0</v>
      </c>
      <c r="J20" s="556">
        <f t="shared" si="1"/>
        <v>1510.3361344537818</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35005</v>
      </c>
      <c r="C28" s="770">
        <v>8470</v>
      </c>
      <c r="D28" s="627" t="s">
        <v>887</v>
      </c>
      <c r="E28" s="626" t="s">
        <v>888</v>
      </c>
      <c r="F28" s="626" t="s">
        <v>889</v>
      </c>
      <c r="G28" s="626" t="s">
        <v>890</v>
      </c>
      <c r="H28" s="626" t="s">
        <v>891</v>
      </c>
      <c r="I28" s="626" t="s">
        <v>888</v>
      </c>
      <c r="J28" s="769">
        <v>41117</v>
      </c>
      <c r="K28" s="769">
        <v>41275</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25.5">
      <c r="A29" s="579"/>
      <c r="B29" s="770">
        <v>35005</v>
      </c>
      <c r="C29" s="770">
        <v>8470</v>
      </c>
      <c r="D29" s="627" t="s">
        <v>893</v>
      </c>
      <c r="E29" s="626" t="s">
        <v>894</v>
      </c>
      <c r="F29" s="626" t="s">
        <v>895</v>
      </c>
      <c r="G29" s="626" t="s">
        <v>890</v>
      </c>
      <c r="H29" s="626" t="s">
        <v>891</v>
      </c>
      <c r="I29" s="626" t="s">
        <v>896</v>
      </c>
      <c r="J29" s="769">
        <v>41400</v>
      </c>
      <c r="K29" s="769">
        <v>41400</v>
      </c>
      <c r="L29" s="626" t="s">
        <v>892</v>
      </c>
      <c r="M29" s="626">
        <v>190</v>
      </c>
      <c r="N29" s="626">
        <v>855</v>
      </c>
      <c r="O29" s="626">
        <v>1221.4285714285716</v>
      </c>
      <c r="P29" s="626">
        <v>0</v>
      </c>
      <c r="Q29" s="626">
        <v>2442.8571428571431</v>
      </c>
      <c r="R29" s="626">
        <v>0</v>
      </c>
      <c r="S29" s="626">
        <v>0</v>
      </c>
      <c r="T29" s="626">
        <v>0</v>
      </c>
      <c r="U29" s="626">
        <v>0</v>
      </c>
      <c r="V29" s="626">
        <v>0</v>
      </c>
      <c r="W29" s="626">
        <v>0</v>
      </c>
      <c r="X29" s="626">
        <v>1600</v>
      </c>
      <c r="Y29" s="626" t="s">
        <v>53</v>
      </c>
      <c r="Z29" s="628" t="s">
        <v>155</v>
      </c>
    </row>
    <row r="30" spans="1:26" s="564" customFormat="1">
      <c r="A30" s="582" t="s">
        <v>279</v>
      </c>
      <c r="B30" s="583"/>
      <c r="C30" s="583"/>
      <c r="D30" s="583"/>
      <c r="E30" s="583"/>
      <c r="F30" s="583"/>
      <c r="G30" s="583"/>
      <c r="H30" s="583"/>
      <c r="I30" s="583"/>
      <c r="J30" s="583"/>
      <c r="K30" s="583"/>
      <c r="L30" s="584"/>
      <c r="M30" s="584">
        <f>SUM(M28:M29)</f>
        <v>199.7</v>
      </c>
      <c r="N30" s="584">
        <f>SUM(N28:N29)</f>
        <v>898.65</v>
      </c>
      <c r="O30" s="584">
        <f>SUM(O28:O29)</f>
        <v>1283.7857142857144</v>
      </c>
      <c r="P30" s="584">
        <f>SUM(P28:P29)</f>
        <v>0</v>
      </c>
      <c r="Q30" s="584">
        <f>SUM(Q28:Q29)</f>
        <v>2567.5714285714289</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190</v>
      </c>
      <c r="N32" s="584">
        <f ca="1">SUMIF($Z$28:AD29,"tertiair",N28:N29)</f>
        <v>855</v>
      </c>
      <c r="O32" s="584">
        <f ca="1">SUMIF($Z$28:AE29,"tertiair",O28:O29)</f>
        <v>1221.4285714285716</v>
      </c>
      <c r="P32" s="584">
        <f ca="1">SUMIF($Z$28:AF29,"tertiair",P28:P29)</f>
        <v>0</v>
      </c>
      <c r="Q32" s="584">
        <f ca="1">SUMIF($Z$28:AG29,"tertiair",Q28:Q29)</f>
        <v>2442.8571428571431</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9.6999999999999993</v>
      </c>
      <c r="N33" s="589">
        <f>SUMIF($Z$28:$Z$29,"landbouw",N28:N29)</f>
        <v>43.649999999999991</v>
      </c>
      <c r="O33" s="589">
        <f>SUMIF($Z$28:$Z$29,"landbouw",O28:O29)</f>
        <v>62.357142857142847</v>
      </c>
      <c r="P33" s="589">
        <f>SUMIF($Z$28:$Z$29,"landbouw",P28:P29)</f>
        <v>0</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38.25">
      <c r="A36" s="581"/>
      <c r="B36" s="770">
        <v>35005</v>
      </c>
      <c r="C36" s="770">
        <v>8470</v>
      </c>
      <c r="D36" s="629" t="s">
        <v>897</v>
      </c>
      <c r="E36" s="629" t="s">
        <v>898</v>
      </c>
      <c r="F36" s="629" t="s">
        <v>899</v>
      </c>
      <c r="G36" s="629" t="s">
        <v>900</v>
      </c>
      <c r="H36" s="629" t="s">
        <v>901</v>
      </c>
      <c r="I36" s="629" t="s">
        <v>898</v>
      </c>
      <c r="J36" s="769">
        <v>38944</v>
      </c>
      <c r="K36" s="769">
        <v>39239</v>
      </c>
      <c r="L36" s="629" t="s">
        <v>892</v>
      </c>
      <c r="M36" s="629">
        <v>90</v>
      </c>
      <c r="N36" s="629">
        <v>405</v>
      </c>
      <c r="O36" s="629">
        <v>0</v>
      </c>
      <c r="P36" s="629">
        <v>0</v>
      </c>
      <c r="Q36" s="629">
        <v>0</v>
      </c>
      <c r="R36" s="629">
        <v>0</v>
      </c>
      <c r="S36" s="629">
        <v>0</v>
      </c>
      <c r="T36" s="629">
        <v>0</v>
      </c>
      <c r="U36" s="629">
        <v>1012.5</v>
      </c>
      <c r="V36" s="629">
        <v>0</v>
      </c>
      <c r="W36" s="629">
        <v>0</v>
      </c>
      <c r="X36" s="629">
        <v>10</v>
      </c>
      <c r="Y36" s="629" t="s">
        <v>111</v>
      </c>
      <c r="Z36" s="630" t="s">
        <v>111</v>
      </c>
    </row>
    <row r="37" spans="1:27" s="564" customFormat="1">
      <c r="A37" s="582" t="s">
        <v>279</v>
      </c>
      <c r="B37" s="583"/>
      <c r="C37" s="583"/>
      <c r="D37" s="583"/>
      <c r="E37" s="583"/>
      <c r="F37" s="583"/>
      <c r="G37" s="583"/>
      <c r="H37" s="583"/>
      <c r="I37" s="583"/>
      <c r="J37" s="583"/>
      <c r="K37" s="583"/>
      <c r="L37" s="584"/>
      <c r="M37" s="584">
        <f>SUM(M36:M36)</f>
        <v>90</v>
      </c>
      <c r="N37" s="584">
        <f>SUM(N36:N36)</f>
        <v>405</v>
      </c>
      <c r="O37" s="584">
        <f>SUM(O36:O36)</f>
        <v>0</v>
      </c>
      <c r="P37" s="584">
        <f>SUM(P36:P36)</f>
        <v>0</v>
      </c>
      <c r="Q37" s="584">
        <f>SUM(Q36:Q36)</f>
        <v>0</v>
      </c>
      <c r="R37" s="584">
        <f>SUM(R36:R36)</f>
        <v>0</v>
      </c>
      <c r="S37" s="584">
        <f>SUM(S36:S36)</f>
        <v>0</v>
      </c>
      <c r="T37" s="584">
        <f>SUM(T36:T36)</f>
        <v>0</v>
      </c>
      <c r="U37" s="584">
        <f>SUM(U36:U36)</f>
        <v>1012.5</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90</v>
      </c>
      <c r="N40" s="589">
        <f>SUMIF($Z$36:$Z$38,"landbouw",N36:N38)</f>
        <v>405</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1012.5</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1057.2352941176471</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0</v>
      </c>
      <c r="C50" s="621">
        <f t="shared" si="3"/>
        <v>1510.3361344537818</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20121.009315066516</v>
      </c>
      <c r="C4" s="451">
        <f>huishoudens!C8</f>
        <v>0</v>
      </c>
      <c r="D4" s="451">
        <f>huishoudens!D8</f>
        <v>46238.68660400009</v>
      </c>
      <c r="E4" s="451">
        <f>huishoudens!E8</f>
        <v>6243.9069655088852</v>
      </c>
      <c r="F4" s="451">
        <f>huishoudens!F8</f>
        <v>0</v>
      </c>
      <c r="G4" s="451">
        <f>huishoudens!G8</f>
        <v>0</v>
      </c>
      <c r="H4" s="451">
        <f>huishoudens!H8</f>
        <v>0</v>
      </c>
      <c r="I4" s="451">
        <f>huishoudens!I8</f>
        <v>0</v>
      </c>
      <c r="J4" s="451">
        <f>huishoudens!J8</f>
        <v>253.25206114991417</v>
      </c>
      <c r="K4" s="451">
        <f>huishoudens!K8</f>
        <v>0</v>
      </c>
      <c r="L4" s="451">
        <f>huishoudens!L8</f>
        <v>0</v>
      </c>
      <c r="M4" s="451">
        <f>huishoudens!M8</f>
        <v>0</v>
      </c>
      <c r="N4" s="451">
        <f>huishoudens!N8</f>
        <v>14752.846276870496</v>
      </c>
      <c r="O4" s="451">
        <f>huishoudens!O8</f>
        <v>301.72333333333336</v>
      </c>
      <c r="P4" s="452">
        <f>huishoudens!P8</f>
        <v>591.06666666666661</v>
      </c>
      <c r="Q4" s="453">
        <f>SUM(B4:P4)</f>
        <v>88502.491222595898</v>
      </c>
    </row>
    <row r="5" spans="1:17">
      <c r="A5" s="450" t="s">
        <v>155</v>
      </c>
      <c r="B5" s="451">
        <f ca="1">tertiair!B16</f>
        <v>11019.182658000002</v>
      </c>
      <c r="C5" s="451">
        <f ca="1">tertiair!C16</f>
        <v>1221.4285714285716</v>
      </c>
      <c r="D5" s="451">
        <f ca="1">tertiair!D16</f>
        <v>15468.069255276001</v>
      </c>
      <c r="E5" s="451">
        <f>tertiair!E16</f>
        <v>182.36764934576445</v>
      </c>
      <c r="F5" s="451">
        <f ca="1">tertiair!F16</f>
        <v>1893.8670571041503</v>
      </c>
      <c r="G5" s="451">
        <f>tertiair!G16</f>
        <v>0</v>
      </c>
      <c r="H5" s="451">
        <f>tertiair!H16</f>
        <v>0</v>
      </c>
      <c r="I5" s="451">
        <f>tertiair!I16</f>
        <v>0</v>
      </c>
      <c r="J5" s="451">
        <f>tertiair!J16</f>
        <v>3.9674633976973905E-2</v>
      </c>
      <c r="K5" s="451">
        <f>tertiair!K16</f>
        <v>0</v>
      </c>
      <c r="L5" s="451">
        <f ca="1">tertiair!L16</f>
        <v>0</v>
      </c>
      <c r="M5" s="451">
        <f>tertiair!M16</f>
        <v>0</v>
      </c>
      <c r="N5" s="451">
        <f ca="1">tertiair!N16</f>
        <v>0</v>
      </c>
      <c r="O5" s="451">
        <f>tertiair!O16</f>
        <v>3.1266666666666669</v>
      </c>
      <c r="P5" s="452">
        <f>tertiair!P16</f>
        <v>19.066666666666666</v>
      </c>
      <c r="Q5" s="450">
        <f t="shared" ref="Q5:Q14" ca="1" si="0">SUM(B5:P5)</f>
        <v>29807.148199121799</v>
      </c>
    </row>
    <row r="6" spans="1:17">
      <c r="A6" s="450" t="s">
        <v>193</v>
      </c>
      <c r="B6" s="451">
        <f>'openbare verlichting'!B8</f>
        <v>1075.5519999999999</v>
      </c>
      <c r="C6" s="451"/>
      <c r="D6" s="451"/>
      <c r="E6" s="451"/>
      <c r="F6" s="451"/>
      <c r="G6" s="451"/>
      <c r="H6" s="451"/>
      <c r="I6" s="451"/>
      <c r="J6" s="451"/>
      <c r="K6" s="451"/>
      <c r="L6" s="451"/>
      <c r="M6" s="451"/>
      <c r="N6" s="451"/>
      <c r="O6" s="451"/>
      <c r="P6" s="452"/>
      <c r="Q6" s="450">
        <f t="shared" si="0"/>
        <v>1075.5519999999999</v>
      </c>
    </row>
    <row r="7" spans="1:17">
      <c r="A7" s="450" t="s">
        <v>111</v>
      </c>
      <c r="B7" s="451">
        <f>landbouw!B8</f>
        <v>2347.3680469999999</v>
      </c>
      <c r="C7" s="451">
        <f>landbouw!C8</f>
        <v>62.357142857142847</v>
      </c>
      <c r="D7" s="451">
        <f>landbouw!D8</f>
        <v>231.03016199999999</v>
      </c>
      <c r="E7" s="451">
        <f>landbouw!E8</f>
        <v>68.996316590881875</v>
      </c>
      <c r="F7" s="451">
        <f>landbouw!F8</f>
        <v>9779.0084386905455</v>
      </c>
      <c r="G7" s="451">
        <f>landbouw!G8</f>
        <v>0</v>
      </c>
      <c r="H7" s="451">
        <f>landbouw!H8</f>
        <v>0</v>
      </c>
      <c r="I7" s="451">
        <f>landbouw!I8</f>
        <v>0</v>
      </c>
      <c r="J7" s="451">
        <f>landbouw!J8</f>
        <v>340.08321970444968</v>
      </c>
      <c r="K7" s="451">
        <f>landbouw!K8</f>
        <v>0</v>
      </c>
      <c r="L7" s="451">
        <f>landbouw!L8</f>
        <v>0</v>
      </c>
      <c r="M7" s="451">
        <f>landbouw!M8</f>
        <v>0</v>
      </c>
      <c r="N7" s="451">
        <f>landbouw!N8</f>
        <v>0</v>
      </c>
      <c r="O7" s="451">
        <f>landbouw!O8</f>
        <v>0</v>
      </c>
      <c r="P7" s="452">
        <f>landbouw!P8</f>
        <v>0</v>
      </c>
      <c r="Q7" s="450">
        <f t="shared" si="0"/>
        <v>12828.84332684302</v>
      </c>
    </row>
    <row r="8" spans="1:17">
      <c r="A8" s="450" t="s">
        <v>634</v>
      </c>
      <c r="B8" s="451">
        <f>industrie!B18</f>
        <v>4498.6956300000002</v>
      </c>
      <c r="C8" s="451">
        <f>industrie!C18</f>
        <v>0</v>
      </c>
      <c r="D8" s="451">
        <f>industrie!D18</f>
        <v>6262.9060097560014</v>
      </c>
      <c r="E8" s="451">
        <f>industrie!E18</f>
        <v>724.07988255557575</v>
      </c>
      <c r="F8" s="451">
        <f>industrie!F18</f>
        <v>2271.4987840052313</v>
      </c>
      <c r="G8" s="451">
        <f>industrie!G18</f>
        <v>0</v>
      </c>
      <c r="H8" s="451">
        <f>industrie!H18</f>
        <v>0</v>
      </c>
      <c r="I8" s="451">
        <f>industrie!I18</f>
        <v>0</v>
      </c>
      <c r="J8" s="451">
        <f>industrie!J18</f>
        <v>1.3502966249350075</v>
      </c>
      <c r="K8" s="451">
        <f>industrie!K18</f>
        <v>0</v>
      </c>
      <c r="L8" s="451">
        <f>industrie!L18</f>
        <v>0</v>
      </c>
      <c r="M8" s="451">
        <f>industrie!M18</f>
        <v>0</v>
      </c>
      <c r="N8" s="451">
        <f>industrie!N18</f>
        <v>491.67126185329153</v>
      </c>
      <c r="O8" s="451">
        <f>industrie!O18</f>
        <v>0</v>
      </c>
      <c r="P8" s="452">
        <f>industrie!P18</f>
        <v>0</v>
      </c>
      <c r="Q8" s="450">
        <f t="shared" si="0"/>
        <v>14250.201864795034</v>
      </c>
    </row>
    <row r="9" spans="1:17" s="456" customFormat="1">
      <c r="A9" s="454" t="s">
        <v>560</v>
      </c>
      <c r="B9" s="455">
        <f>transport!B14</f>
        <v>54.100469941541917</v>
      </c>
      <c r="C9" s="455">
        <f>transport!C14</f>
        <v>0</v>
      </c>
      <c r="D9" s="455">
        <f>transport!D14</f>
        <v>139.23197028135939</v>
      </c>
      <c r="E9" s="455">
        <f>transport!E14</f>
        <v>274.66635240719125</v>
      </c>
      <c r="F9" s="455">
        <f>transport!F14</f>
        <v>0</v>
      </c>
      <c r="G9" s="455">
        <f>transport!G14</f>
        <v>158467.03938504218</v>
      </c>
      <c r="H9" s="455">
        <f>transport!H14</f>
        <v>24255.412941809722</v>
      </c>
      <c r="I9" s="455">
        <f>transport!I14</f>
        <v>0</v>
      </c>
      <c r="J9" s="455">
        <f>transport!J14</f>
        <v>0</v>
      </c>
      <c r="K9" s="455">
        <f>transport!K14</f>
        <v>0</v>
      </c>
      <c r="L9" s="455">
        <f>transport!L14</f>
        <v>0</v>
      </c>
      <c r="M9" s="455">
        <f>transport!M14</f>
        <v>9972.5757361781489</v>
      </c>
      <c r="N9" s="455">
        <f>transport!N14</f>
        <v>0</v>
      </c>
      <c r="O9" s="455">
        <f>transport!O14</f>
        <v>0</v>
      </c>
      <c r="P9" s="455">
        <f>transport!P14</f>
        <v>0</v>
      </c>
      <c r="Q9" s="454">
        <f>SUM(B9:P9)</f>
        <v>193163.02685566014</v>
      </c>
    </row>
    <row r="10" spans="1:17">
      <c r="A10" s="450" t="s">
        <v>550</v>
      </c>
      <c r="B10" s="451">
        <f>transport!B54</f>
        <v>0</v>
      </c>
      <c r="C10" s="451">
        <f>transport!C54</f>
        <v>0</v>
      </c>
      <c r="D10" s="451">
        <f>transport!D54</f>
        <v>0</v>
      </c>
      <c r="E10" s="451">
        <f>transport!E54</f>
        <v>0</v>
      </c>
      <c r="F10" s="451">
        <f>transport!F54</f>
        <v>0</v>
      </c>
      <c r="G10" s="451">
        <f>transport!G54</f>
        <v>1325.7627742656077</v>
      </c>
      <c r="H10" s="451">
        <f>transport!H54</f>
        <v>0</v>
      </c>
      <c r="I10" s="451">
        <f>transport!I54</f>
        <v>0</v>
      </c>
      <c r="J10" s="451">
        <f>transport!J54</f>
        <v>0</v>
      </c>
      <c r="K10" s="451">
        <f>transport!K54</f>
        <v>0</v>
      </c>
      <c r="L10" s="451">
        <f>transport!L54</f>
        <v>0</v>
      </c>
      <c r="M10" s="451">
        <f>transport!M54</f>
        <v>75.29178499050029</v>
      </c>
      <c r="N10" s="451">
        <f>transport!N54</f>
        <v>0</v>
      </c>
      <c r="O10" s="451">
        <f>transport!O54</f>
        <v>0</v>
      </c>
      <c r="P10" s="452">
        <f>transport!P54</f>
        <v>0</v>
      </c>
      <c r="Q10" s="450">
        <f t="shared" si="0"/>
        <v>1401.054559256108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480.87470000000002</v>
      </c>
      <c r="C14" s="458"/>
      <c r="D14" s="458">
        <f>'SEAP template'!E25</f>
        <v>891.4375</v>
      </c>
      <c r="E14" s="458"/>
      <c r="F14" s="458"/>
      <c r="G14" s="458"/>
      <c r="H14" s="458"/>
      <c r="I14" s="458"/>
      <c r="J14" s="458"/>
      <c r="K14" s="458"/>
      <c r="L14" s="458"/>
      <c r="M14" s="458"/>
      <c r="N14" s="458"/>
      <c r="O14" s="458"/>
      <c r="P14" s="459"/>
      <c r="Q14" s="450">
        <f t="shared" si="0"/>
        <v>1372.3122000000001</v>
      </c>
    </row>
    <row r="15" spans="1:17" s="460" customFormat="1">
      <c r="A15" s="1005" t="s">
        <v>554</v>
      </c>
      <c r="B15" s="953">
        <f ca="1">SUM(B4:B14)</f>
        <v>39596.782820008062</v>
      </c>
      <c r="C15" s="953">
        <f t="shared" ref="C15:Q15" ca="1" si="1">SUM(C4:C14)</f>
        <v>1283.7857142857144</v>
      </c>
      <c r="D15" s="953">
        <f t="shared" ca="1" si="1"/>
        <v>69231.361501313455</v>
      </c>
      <c r="E15" s="953">
        <f t="shared" si="1"/>
        <v>7494.0171664082982</v>
      </c>
      <c r="F15" s="953">
        <f t="shared" ca="1" si="1"/>
        <v>13944.374279799926</v>
      </c>
      <c r="G15" s="953">
        <f t="shared" si="1"/>
        <v>159792.80215930779</v>
      </c>
      <c r="H15" s="953">
        <f t="shared" si="1"/>
        <v>24255.412941809722</v>
      </c>
      <c r="I15" s="953">
        <f t="shared" si="1"/>
        <v>0</v>
      </c>
      <c r="J15" s="953">
        <f t="shared" si="1"/>
        <v>594.72525211327581</v>
      </c>
      <c r="K15" s="953">
        <f t="shared" si="1"/>
        <v>0</v>
      </c>
      <c r="L15" s="953">
        <f t="shared" ca="1" si="1"/>
        <v>0</v>
      </c>
      <c r="M15" s="953">
        <f t="shared" si="1"/>
        <v>10047.86752116865</v>
      </c>
      <c r="N15" s="953">
        <f t="shared" ca="1" si="1"/>
        <v>15244.517538723787</v>
      </c>
      <c r="O15" s="953">
        <f t="shared" si="1"/>
        <v>304.85000000000002</v>
      </c>
      <c r="P15" s="953">
        <f t="shared" si="1"/>
        <v>610.13333333333333</v>
      </c>
      <c r="Q15" s="953">
        <f t="shared" ca="1" si="1"/>
        <v>342400.630228272</v>
      </c>
    </row>
    <row r="17" spans="1:17">
      <c r="A17" s="461" t="s">
        <v>555</v>
      </c>
      <c r="B17" s="760">
        <f ca="1">huishoudens!B10</f>
        <v>5.2191628579006735E-2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1050.1482448066863</v>
      </c>
      <c r="C22" s="451">
        <f t="shared" ref="C22:C32" ca="1" si="3">C4*$C$17</f>
        <v>0</v>
      </c>
      <c r="D22" s="451">
        <f t="shared" ref="D22:D32" si="4">D4*$D$17</f>
        <v>9340.2146940080183</v>
      </c>
      <c r="E22" s="451">
        <f t="shared" ref="E22:E32" si="5">E4*$E$17</f>
        <v>1417.366881170517</v>
      </c>
      <c r="F22" s="451">
        <f t="shared" ref="F22:F32" si="6">F4*$F$17</f>
        <v>0</v>
      </c>
      <c r="G22" s="451">
        <f t="shared" ref="G22:G32" si="7">G4*$G$17</f>
        <v>0</v>
      </c>
      <c r="H22" s="451">
        <f t="shared" ref="H22:H32" si="8">H4*$H$17</f>
        <v>0</v>
      </c>
      <c r="I22" s="451">
        <f t="shared" ref="I22:I32" si="9">I4*$I$17</f>
        <v>0</v>
      </c>
      <c r="J22" s="451">
        <f t="shared" ref="J22:J32" si="10">J4*$J$17</f>
        <v>89.651229647069613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11897.381049632293</v>
      </c>
    </row>
    <row r="23" spans="1:17">
      <c r="A23" s="450" t="s">
        <v>155</v>
      </c>
      <c r="B23" s="451">
        <f t="shared" ca="1" si="2"/>
        <v>575.10908853056833</v>
      </c>
      <c r="C23" s="451">
        <f t="shared" ca="1" si="3"/>
        <v>0</v>
      </c>
      <c r="D23" s="451">
        <f t="shared" ca="1" si="4"/>
        <v>3124.5499895657526</v>
      </c>
      <c r="E23" s="451">
        <f t="shared" si="5"/>
        <v>41.397456401488533</v>
      </c>
      <c r="F23" s="451">
        <f t="shared" ca="1" si="6"/>
        <v>505.66250424680817</v>
      </c>
      <c r="G23" s="451">
        <f t="shared" si="7"/>
        <v>0</v>
      </c>
      <c r="H23" s="451">
        <f t="shared" si="8"/>
        <v>0</v>
      </c>
      <c r="I23" s="451">
        <f t="shared" si="9"/>
        <v>0</v>
      </c>
      <c r="J23" s="451">
        <f t="shared" si="10"/>
        <v>1.4044820427848761E-2</v>
      </c>
      <c r="K23" s="451">
        <f t="shared" si="11"/>
        <v>0</v>
      </c>
      <c r="L23" s="451">
        <f t="shared" ca="1" si="12"/>
        <v>0</v>
      </c>
      <c r="M23" s="451">
        <f t="shared" si="13"/>
        <v>0</v>
      </c>
      <c r="N23" s="451">
        <f t="shared" ca="1" si="14"/>
        <v>0</v>
      </c>
      <c r="O23" s="451">
        <f t="shared" si="15"/>
        <v>0</v>
      </c>
      <c r="P23" s="452">
        <f t="shared" si="16"/>
        <v>0</v>
      </c>
      <c r="Q23" s="450">
        <f t="shared" ref="Q23:Q32" ca="1" si="17">SUM(B23:P23)</f>
        <v>4246.7330835650455</v>
      </c>
    </row>
    <row r="24" spans="1:17">
      <c r="A24" s="450" t="s">
        <v>193</v>
      </c>
      <c r="B24" s="451">
        <f t="shared" ca="1" si="2"/>
        <v>56.134810501407848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56.134810501407848</v>
      </c>
    </row>
    <row r="25" spans="1:17">
      <c r="A25" s="450" t="s">
        <v>111</v>
      </c>
      <c r="B25" s="451">
        <f t="shared" ca="1" si="2"/>
        <v>122.51296124725242</v>
      </c>
      <c r="C25" s="451">
        <f t="shared" ca="1" si="3"/>
        <v>0</v>
      </c>
      <c r="D25" s="451">
        <f t="shared" si="4"/>
        <v>46.668092723999997</v>
      </c>
      <c r="E25" s="451">
        <f t="shared" si="5"/>
        <v>15.662163866130186</v>
      </c>
      <c r="F25" s="451">
        <f t="shared" si="6"/>
        <v>2610.9952531303757</v>
      </c>
      <c r="G25" s="451">
        <f t="shared" si="7"/>
        <v>0</v>
      </c>
      <c r="H25" s="451">
        <f t="shared" si="8"/>
        <v>0</v>
      </c>
      <c r="I25" s="451">
        <f t="shared" si="9"/>
        <v>0</v>
      </c>
      <c r="J25" s="451">
        <f t="shared" si="10"/>
        <v>120.38945977537517</v>
      </c>
      <c r="K25" s="451">
        <f t="shared" si="11"/>
        <v>0</v>
      </c>
      <c r="L25" s="451">
        <f t="shared" si="12"/>
        <v>0</v>
      </c>
      <c r="M25" s="451">
        <f t="shared" si="13"/>
        <v>0</v>
      </c>
      <c r="N25" s="451">
        <f t="shared" si="14"/>
        <v>0</v>
      </c>
      <c r="O25" s="451">
        <f t="shared" si="15"/>
        <v>0</v>
      </c>
      <c r="P25" s="452">
        <f t="shared" si="16"/>
        <v>0</v>
      </c>
      <c r="Q25" s="450">
        <f t="shared" ca="1" si="17"/>
        <v>2916.2279307431336</v>
      </c>
    </row>
    <row r="26" spans="1:17">
      <c r="A26" s="450" t="s">
        <v>634</v>
      </c>
      <c r="B26" s="451">
        <f t="shared" ca="1" si="2"/>
        <v>234.79425141096073</v>
      </c>
      <c r="C26" s="451">
        <f t="shared" ca="1" si="3"/>
        <v>0</v>
      </c>
      <c r="D26" s="451">
        <f t="shared" si="4"/>
        <v>1265.1070139707124</v>
      </c>
      <c r="E26" s="451">
        <f t="shared" si="5"/>
        <v>164.36613334011571</v>
      </c>
      <c r="F26" s="451">
        <f t="shared" si="6"/>
        <v>606.49017532939683</v>
      </c>
      <c r="G26" s="451">
        <f t="shared" si="7"/>
        <v>0</v>
      </c>
      <c r="H26" s="451">
        <f t="shared" si="8"/>
        <v>0</v>
      </c>
      <c r="I26" s="451">
        <f t="shared" si="9"/>
        <v>0</v>
      </c>
      <c r="J26" s="451">
        <f t="shared" si="10"/>
        <v>0.47800500522699263</v>
      </c>
      <c r="K26" s="451">
        <f t="shared" si="11"/>
        <v>0</v>
      </c>
      <c r="L26" s="451">
        <f t="shared" si="12"/>
        <v>0</v>
      </c>
      <c r="M26" s="451">
        <f t="shared" si="13"/>
        <v>0</v>
      </c>
      <c r="N26" s="451">
        <f t="shared" si="14"/>
        <v>0</v>
      </c>
      <c r="O26" s="451">
        <f t="shared" si="15"/>
        <v>0</v>
      </c>
      <c r="P26" s="452">
        <f t="shared" si="16"/>
        <v>0</v>
      </c>
      <c r="Q26" s="450">
        <f t="shared" ca="1" si="17"/>
        <v>2271.2355790564125</v>
      </c>
    </row>
    <row r="27" spans="1:17" s="456" customFormat="1">
      <c r="A27" s="454" t="s">
        <v>560</v>
      </c>
      <c r="B27" s="754">
        <f t="shared" ca="1" si="2"/>
        <v>2.8235916331386739</v>
      </c>
      <c r="C27" s="455">
        <f t="shared" ca="1" si="3"/>
        <v>0</v>
      </c>
      <c r="D27" s="455">
        <f t="shared" si="4"/>
        <v>28.124857996834599</v>
      </c>
      <c r="E27" s="455">
        <f t="shared" si="5"/>
        <v>62.349261996432418</v>
      </c>
      <c r="F27" s="455">
        <f t="shared" si="6"/>
        <v>0</v>
      </c>
      <c r="G27" s="455">
        <f t="shared" si="7"/>
        <v>42310.699515806264</v>
      </c>
      <c r="H27" s="455">
        <f t="shared" si="8"/>
        <v>6039.597822510621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48443.595049943295</v>
      </c>
    </row>
    <row r="28" spans="1:17">
      <c r="A28" s="450" t="s">
        <v>550</v>
      </c>
      <c r="B28" s="451">
        <f t="shared" ca="1" si="2"/>
        <v>0</v>
      </c>
      <c r="C28" s="451">
        <f t="shared" ca="1" si="3"/>
        <v>0</v>
      </c>
      <c r="D28" s="451">
        <f t="shared" si="4"/>
        <v>0</v>
      </c>
      <c r="E28" s="451">
        <f t="shared" si="5"/>
        <v>0</v>
      </c>
      <c r="F28" s="451">
        <f t="shared" si="6"/>
        <v>0</v>
      </c>
      <c r="G28" s="451">
        <f t="shared" si="7"/>
        <v>353.9786607289173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353.9786607289173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25.097633735441292</v>
      </c>
      <c r="C32" s="451">
        <f t="shared" ca="1" si="3"/>
        <v>0</v>
      </c>
      <c r="D32" s="451">
        <f t="shared" si="4"/>
        <v>180.07037500000001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205.1680087354413</v>
      </c>
    </row>
    <row r="33" spans="1:17" s="460" customFormat="1">
      <c r="A33" s="1005" t="s">
        <v>554</v>
      </c>
      <c r="B33" s="953">
        <f ca="1">SUM(B22:B32)</f>
        <v>2066.6205818654557</v>
      </c>
      <c r="C33" s="953">
        <f t="shared" ref="C33:Q33" ca="1" si="18">SUM(C22:C32)</f>
        <v>0</v>
      </c>
      <c r="D33" s="953">
        <f t="shared" ca="1" si="18"/>
        <v>13984.735023265315</v>
      </c>
      <c r="E33" s="953">
        <f t="shared" si="18"/>
        <v>1701.141896774684</v>
      </c>
      <c r="F33" s="953">
        <f t="shared" ca="1" si="18"/>
        <v>3723.1479327065808</v>
      </c>
      <c r="G33" s="953">
        <f t="shared" si="18"/>
        <v>42664.678176535184</v>
      </c>
      <c r="H33" s="953">
        <f t="shared" si="18"/>
        <v>6039.597822510621</v>
      </c>
      <c r="I33" s="953">
        <f t="shared" si="18"/>
        <v>0</v>
      </c>
      <c r="J33" s="953">
        <f t="shared" si="18"/>
        <v>210.53273924809966</v>
      </c>
      <c r="K33" s="953">
        <f t="shared" si="18"/>
        <v>0</v>
      </c>
      <c r="L33" s="953">
        <f t="shared" ca="1" si="18"/>
        <v>0</v>
      </c>
      <c r="M33" s="953">
        <f t="shared" si="18"/>
        <v>0</v>
      </c>
      <c r="N33" s="953">
        <f t="shared" ca="1" si="18"/>
        <v>0</v>
      </c>
      <c r="O33" s="953">
        <f t="shared" si="18"/>
        <v>0</v>
      </c>
      <c r="P33" s="953">
        <f t="shared" si="18"/>
        <v>0</v>
      </c>
      <c r="Q33" s="953">
        <f t="shared" ca="1" si="18"/>
        <v>70390.454172905942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23769.784128513926</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5172.1243391617518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898.65</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1057.2352941176471</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405</v>
      </c>
      <c r="C9" s="1022">
        <f>'SEAP template'!C77</f>
        <v>0</v>
      </c>
      <c r="D9" s="1022">
        <f>'SEAP template'!D77</f>
        <v>0</v>
      </c>
      <c r="E9" s="1022">
        <f>'SEAP template'!E77</f>
        <v>0</v>
      </c>
      <c r="F9" s="1022">
        <f>'SEAP template'!F77</f>
        <v>0</v>
      </c>
      <c r="G9" s="1022">
        <f>'SEAP template'!G77</f>
        <v>0</v>
      </c>
      <c r="H9" s="1022">
        <f>'SEAP template'!H77</f>
        <v>0</v>
      </c>
      <c r="I9" s="1022">
        <f>'SEAP template'!I77</f>
        <v>1012.5</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30245.558467675677</v>
      </c>
      <c r="C10" s="1026">
        <f>SUM(C4:C9)</f>
        <v>0</v>
      </c>
      <c r="D10" s="1026">
        <f t="shared" ref="D10:H10" si="0">SUM(D8:D9)</f>
        <v>0</v>
      </c>
      <c r="E10" s="1026">
        <f t="shared" si="0"/>
        <v>0</v>
      </c>
      <c r="F10" s="1026">
        <f t="shared" si="0"/>
        <v>0</v>
      </c>
      <c r="G10" s="1026">
        <f t="shared" si="0"/>
        <v>0</v>
      </c>
      <c r="H10" s="1026">
        <f t="shared" si="0"/>
        <v>0</v>
      </c>
      <c r="I10" s="1026">
        <f>SUM(I8:I9)</f>
        <v>1012.5</v>
      </c>
      <c r="J10" s="1026">
        <f>SUM(J8:J9)</f>
        <v>1057.2352941176471</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5.2191628579006735E-2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1283.7857142857144</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1510.3361344537818</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1283.7857142857144</v>
      </c>
      <c r="C20" s="1026">
        <f>SUM(C17:C19)</f>
        <v>0</v>
      </c>
      <c r="D20" s="1026">
        <f t="shared" ref="D20:H20" si="2">SUM(D17:D19)</f>
        <v>0</v>
      </c>
      <c r="E20" s="1026">
        <f t="shared" si="2"/>
        <v>0</v>
      </c>
      <c r="F20" s="1026">
        <f t="shared" si="2"/>
        <v>0</v>
      </c>
      <c r="G20" s="1026">
        <f t="shared" si="2"/>
        <v>0</v>
      </c>
      <c r="H20" s="1026">
        <f t="shared" si="2"/>
        <v>0</v>
      </c>
      <c r="I20" s="1026">
        <f>SUM(I17:I19)</f>
        <v>0</v>
      </c>
      <c r="J20" s="1026">
        <f>SUM(J17:J19)</f>
        <v>1510.3361344537818</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5.2191628579006735E-2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2020-06-20T15:44:37Z</dcterms:modified>
</cp:coreProperties>
</file>