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R36" i="18"/>
  <c r="Q36" i="18"/>
  <c r="P36" i="18"/>
  <c r="C9" i="18" s="1"/>
  <c r="O36" i="18"/>
  <c r="N36" i="18"/>
  <c r="B9" i="18" s="1"/>
  <c r="M36" i="18"/>
  <c r="W32" i="18"/>
  <c r="V32" i="18"/>
  <c r="U32" i="18"/>
  <c r="T32" i="18"/>
  <c r="S32" i="18"/>
  <c r="R32" i="18"/>
  <c r="Q32" i="18"/>
  <c r="N6" i="17" s="1"/>
  <c r="P32" i="18"/>
  <c r="O32" i="18"/>
  <c r="N32" i="18"/>
  <c r="M32" i="18"/>
  <c r="W31" i="18"/>
  <c r="V31" i="18"/>
  <c r="U31" i="18"/>
  <c r="T31" i="18"/>
  <c r="S31" i="18"/>
  <c r="F13" i="15" s="1"/>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L6" i="17"/>
  <c r="D6" i="17"/>
  <c r="C6" i="17"/>
  <c r="B19" i="6"/>
  <c r="B18" i="6"/>
  <c r="B5" i="6"/>
  <c r="B6" i="6"/>
  <c r="C64" i="14" s="1"/>
  <c r="B14" i="48"/>
  <c r="Q14" i="48"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H26" i="14"/>
  <c r="L22" i="14"/>
  <c r="Q22" i="14"/>
  <c r="M22" i="14"/>
  <c r="G22" i="14"/>
  <c r="L16" i="14"/>
  <c r="I16" i="14"/>
  <c r="R12" i="14"/>
  <c r="D5" i="17"/>
  <c r="H9" i="18" l="1"/>
  <c r="M77" i="14" s="1"/>
  <c r="M9" i="61" s="1"/>
  <c r="F6" i="17"/>
  <c r="C13" i="15"/>
  <c r="D13" i="15"/>
  <c r="B45" i="18"/>
  <c r="D49"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O9" i="18"/>
  <c r="G10" i="61"/>
  <c r="N78" i="14"/>
  <c r="N9" i="61"/>
  <c r="N10" i="61" s="1"/>
  <c r="B10" i="18"/>
  <c r="L13" i="15"/>
  <c r="B13" i="15"/>
  <c r="H90" i="14"/>
  <c r="N13" i="15"/>
  <c r="F77" i="14"/>
  <c r="F9" i="61" s="1"/>
  <c r="I48" i="18"/>
  <c r="H8" i="18" s="1"/>
  <c r="E48" i="18"/>
  <c r="E8" i="18" s="1"/>
  <c r="G48" i="18"/>
  <c r="F48" i="18"/>
  <c r="H48" i="18"/>
  <c r="D48" i="18"/>
  <c r="C48" i="18"/>
  <c r="B48" i="18"/>
  <c r="C8" i="18" s="1"/>
  <c r="B49" i="18"/>
  <c r="C17" i="18" s="1"/>
  <c r="H49"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8" i="18" l="1"/>
  <c r="E49" i="18"/>
  <c r="E17" i="18" s="1"/>
  <c r="I49" i="18"/>
  <c r="H17" i="18" s="1"/>
  <c r="F49" i="18"/>
  <c r="G49" i="18"/>
  <c r="C49" i="18"/>
  <c r="H78" i="14"/>
  <c r="H9" i="61"/>
  <c r="H10" i="61" s="1"/>
  <c r="O90" i="14"/>
  <c r="O18" i="61"/>
  <c r="O20" i="61" s="1"/>
  <c r="B88" i="14"/>
  <c r="B18" i="61" s="1"/>
  <c r="B77" i="14"/>
  <c r="B9" i="61" s="1"/>
  <c r="Q77" i="14"/>
  <c r="P9" i="61" s="1"/>
  <c r="J17" i="18"/>
  <c r="H20" i="18"/>
  <c r="M87" i="14"/>
  <c r="J8" i="18"/>
  <c r="M76" i="14"/>
  <c r="H10" i="18"/>
  <c r="E20" i="18"/>
  <c r="F87" i="14"/>
  <c r="C77" i="14"/>
  <c r="C9" i="61" s="1"/>
  <c r="C20" i="18"/>
  <c r="D87" i="14"/>
  <c r="D17" i="61" s="1"/>
  <c r="D20" i="61" s="1"/>
  <c r="D76" i="14"/>
  <c r="D8" i="61" s="1"/>
  <c r="D10" i="61" s="1"/>
  <c r="O8" i="18"/>
  <c r="O10" i="18" s="1"/>
  <c r="C10" i="18"/>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Q63" i="14" l="1"/>
  <c r="O8" i="48"/>
  <c r="O26" i="48" s="1"/>
  <c r="P13" i="14"/>
  <c r="P16" i="14" s="1"/>
  <c r="P27" i="14" s="1"/>
  <c r="F24" i="14"/>
  <c r="F26" i="14" s="1"/>
  <c r="E7" i="48"/>
  <c r="E25" i="48" s="1"/>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P63" i="14" l="1"/>
  <c r="I20" i="14"/>
  <c r="I22" i="14" s="1"/>
  <c r="I27" i="14" s="1"/>
  <c r="F10" i="14"/>
  <c r="E5" i="48"/>
  <c r="E23" i="48" s="1"/>
  <c r="N52" i="14"/>
  <c r="N61" i="14" s="1"/>
  <c r="N63" i="14" s="1"/>
  <c r="K10" i="14"/>
  <c r="J5" i="48"/>
  <c r="J23" i="48" s="1"/>
  <c r="J20" i="15"/>
  <c r="K40" i="14" s="1"/>
  <c r="O15" i="48"/>
  <c r="E22" i="48"/>
  <c r="Q4" i="48"/>
  <c r="R11" i="14"/>
  <c r="J22" i="48"/>
  <c r="N20" i="14"/>
  <c r="N22" i="14" s="1"/>
  <c r="N27" i="14" s="1"/>
  <c r="R19" i="14"/>
  <c r="G28" i="48"/>
  <c r="Q10" i="48"/>
  <c r="H20" i="14"/>
  <c r="H22" i="14" s="1"/>
  <c r="H27" i="14" s="1"/>
  <c r="G9" i="48"/>
  <c r="Q7" i="48"/>
  <c r="M15" i="48"/>
  <c r="M27" i="48"/>
  <c r="M33" i="48" s="1"/>
  <c r="Q9" i="48"/>
  <c r="H15" i="48"/>
  <c r="H27" i="48"/>
  <c r="H33" i="48" s="1"/>
  <c r="R24" i="14"/>
  <c r="R26" i="14" s="1"/>
  <c r="N18" i="16"/>
  <c r="E20" i="15"/>
  <c r="F40" i="14" s="1"/>
  <c r="F18" i="16"/>
  <c r="J18" i="16"/>
  <c r="E18" i="16"/>
  <c r="G18" i="22"/>
  <c r="H50" i="14" s="1"/>
  <c r="H52" i="14" s="1"/>
  <c r="H61" i="14" s="1"/>
  <c r="H18" i="22"/>
  <c r="I50" i="14" s="1"/>
  <c r="I52" i="14" s="1"/>
  <c r="I61" i="14" s="1"/>
  <c r="E8" i="48" l="1"/>
  <c r="E26" i="48" s="1"/>
  <c r="F13" i="14"/>
  <c r="F16" i="14" s="1"/>
  <c r="F27" i="14" s="1"/>
  <c r="K13" i="14"/>
  <c r="K16" i="14" s="1"/>
  <c r="K27" i="14" s="1"/>
  <c r="J8" i="48"/>
  <c r="E33" i="48"/>
  <c r="I63" i="14"/>
  <c r="H63" i="14"/>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s="1"/>
  <c r="F63" i="14" l="1"/>
  <c r="J26" i="48"/>
  <c r="J33" i="48" s="1"/>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<sst xmlns="http://schemas.openxmlformats.org/spreadsheetml/2006/main" count="2398" uniqueCount="887">
  <si>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</si>
  <si>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</si>
  <si>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</si>
  <si>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</si>
  <si>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</si>
  <si>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</si>
  <si>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</si>
  <si>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</si>
  <si>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</si>
  <si>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</si>
  <si>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</si>
  <si>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</si>
  <si>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</si>
  <si>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</si>
  <si>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</si>
  <si>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</si>
  <si>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</si>
  <si>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</si>
  <si>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</si>
  <si>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</si>
  <si>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</si>
  <si>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</si>
  <si>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</si>
  <si>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</si>
  <si>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</si>
  <si>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</si>
  <si>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</si>
  <si>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</si>
  <si>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</si>
  <si>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</si>
  <si>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</si>
  <si>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</si>
  <si>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</si>
  <si>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</si>
  <si>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</si>
  <si>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</si>
  <si>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</si>
  <si>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</si>
  <si>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</si>
  <si>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</si>
  <si>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</si>
  <si>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</si>
  <si>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</si>
  <si>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</si>
  <si>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</si>
  <si>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</si>
  <si>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</si>
  <si>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</si>
  <si>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</si>
  <si>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</si>
  <si>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</si>
  <si>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</si>
  <si>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</si>
  <si>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</si>
  <si>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</si>
  <si>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</si>
  <si>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</si>
  <si>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</si>
  <si>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</si>
  <si>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</si>
  <si>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</si>
  <si>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</si>
  <si>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</si>
  <si>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</si>
  <si>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</si>
  <si>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</si>
  <si>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</si>
  <si>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</si>
  <si>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</si>
  <si>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</si>
  <si>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</si>
  <si>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</si>
  <si>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</si>
  <si>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</si>
  <si>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</si>
  <si>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</si>
  <si>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</si>
  <si>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</si>
  <si>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</si>
  <si>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</si>
  <si>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</si>
  <si>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</si>
  <si>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</si>
  <si>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</si>
  <si>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</si>
  <si>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</si>
  <si>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</si>
  <si>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</si>
  <si>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</si>
  <si>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</si>
  <si>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</si>
  <si>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</si>
  <si>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</si>
  <si>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</si>
  <si>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</si>
  <si>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</si>
  <si>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</si>
  <si>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</si>
  <si>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</si>
  <si>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</si>
  <si>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</si>
  <si>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</si>
  <si>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</si>
  <si>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</si>
  <si>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</si>
  <si>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</si>
  <si>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</si>
  <si>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</si>
  <si>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</si>
  <si>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</si>
  <si>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</si>
  <si>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</si>
  <si>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</si>
  <si>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</si>
  <si>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</si>
  <si>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</si>
  <si>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</si>
  <si>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</si>
  <si>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</si>
  <si>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</si>
  <si>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</si>
  <si>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</si>
  <si>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</si>
  <si>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</si>
  <si>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</si>
  <si>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</si>
  <si>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</si>
  <si>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</si>
  <si>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</si>
  <si>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</si>
  <si>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</si>
  <si>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</si>
  <si>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</si>
  <si>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</si>
  <si>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</si>
  <si>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</si>
  <si>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</si>
  <si>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</si>
  <si>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</si>
  <si>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</si>
  <si>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</si>
  <si>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</si>
  <si>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</si>
  <si>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</si>
  <si>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</si>
  <si>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</si>
  <si>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</si>
  <si>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</si>
  <si>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</si>
  <si>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</si>
  <si>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</si>
  <si>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</si>
  <si>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</si>
  <si>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</si>
  <si>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</si>
  <si>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</si>
  <si>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</si>
  <si>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</si>
  <si>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</si>
  <si>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</si>
  <si>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</si>
  <si>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</si>
  <si>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</si>
  <si>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</si>
  <si>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</si>
  <si>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</si>
  <si>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</si>
  <si>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</si>
  <si>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</si>
  <si>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</si>
  <si>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</si>
  <si>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</si>
  <si>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</si>
  <si>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</si>
  <si>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</si>
  <si>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</si>
  <si>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</si>
  <si>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</si>
  <si>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</si>
  <si>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</si>
  <si>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</si>
  <si>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</si>
  <si>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</si>
  <si>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</si>
  <si>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</si>
  <si>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</si>
  <si>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</si>
  <si>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</si>
  <si>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</si>
  <si>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</si>
  <si>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</si>
  <si>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</si>
  <si>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</si>
  <si>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</si>
  <si>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</si>
  <si>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</si>
  <si>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</si>
  <si>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</si>
  <si>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</si>
  <si>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</si>
  <si>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</si>
  <si>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</si>
  <si>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</si>
  <si>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</si>
  <si>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</si>
  <si>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</si>
  <si>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</si>
  <si>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</si>
  <si>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</si>
  <si>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</si>
  <si>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</si>
  <si>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</si>
  <si>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</si>
  <si>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</si>
  <si>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</si>
  <si>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</si>
  <si>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</si>
  <si>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</si>
  <si>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</si>
  <si>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</si>
  <si>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</si>
  <si>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</si>
  <si>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</si>
  <si>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</si>
  <si>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</si>
  <si>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</si>
  <si>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</si>
  <si>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</si>
  <si>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</si>
  <si>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</si>
  <si>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</si>
  <si>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</si>
  <si>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</si>
  <si>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</si>
  <si>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</si>
  <si>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</si>
  <si>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</si>
  <si>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</si>
  <si>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</si>
  <si>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</si>
  <si>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</si>
  <si>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</si>
  <si>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</si>
  <si>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</si>
  <si>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</si>
  <si>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</si>
  <si>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</si>
  <si>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</si>
  <si>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</si>
  <si>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</si>
  <si>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</si>
  <si>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</si>
  <si>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</si>
  <si>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</si>
  <si>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</si>
  <si>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</si>
  <si>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</si>
  <si>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</si>
  <si>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</si>
  <si>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</si>
  <si>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</si>
  <si>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</si>
  <si>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</si>
  <si>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</si>
  <si>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</si>
  <si>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</si>
  <si>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</si>
  <si>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</si>
  <si>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</si>
  <si>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</si>
  <si>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</si>
  <si>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</si>
  <si>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</si>
  <si>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</si>
  <si>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</si>
  <si>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</si>
  <si>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</si>
  <si>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</si>
  <si>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</si>
  <si>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</si>
  <si>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</si>
  <si>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</si>
  <si>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</si>
  <si>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</si>
  <si>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</si>
  <si>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</si>
  <si>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</si>
  <si>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</si>
  <si>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</si>
  <si>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</si>
  <si>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</si>
  <si>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</si>
  <si>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</si>
  <si>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</si>
  <si>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</si>
  <si>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</si>
  <si>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</si>
  <si>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</si>
  <si>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</si>
  <si>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</si>
  <si>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</si>
  <si>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</si>
  <si>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</si>
  <si>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</si>
  <si>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</si>
  <si>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</si>
  <si>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</si>
  <si>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</si>
  <si>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</si>
  <si>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</si>
  <si>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</si>
  <si>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</si>
  <si>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</si>
  <si>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</si>
  <si>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</si>
  <si>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</si>
  <si>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</si>
  <si>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</si>
  <si>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</si>
  <si>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</si>
  <si>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</si>
  <si>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</si>
  <si>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</si>
  <si>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</si>
  <si>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</si>
  <si>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</si>
  <si>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</si>
  <si>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</si>
  <si>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</si>
  <si>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</si>
  <si>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</si>
  <si>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</si>
  <si>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</si>
  <si>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</si>
  <si>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</si>
  <si>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</si>
  <si>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</si>
  <si>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</si>
  <si>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</si>
  <si>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</si>
  <si>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</si>
  <si>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</si>
  <si>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</si>
  <si>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</si>
  <si>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</si>
  <si>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</si>
  <si>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</si>
  <si>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</si>
  <si>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</si>
  <si>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</si>
  <si>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</si>
  <si>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</si>
  <si>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</si>
  <si>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</si>
  <si>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</si>
  <si>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</si>
  <si>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</si>
  <si>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</si>
  <si>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</si>
  <si>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</si>
  <si>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</si>
  <si>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</si>
  <si>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</si>
  <si>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</si>
  <si>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</si>
  <si>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</si>
  <si>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</si>
  <si>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</si>
  <si>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</si>
  <si>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</si>
  <si>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</si>
  <si>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</si>
  <si>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</si>
  <si>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</si>
  <si>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</si>
  <si>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</si>
  <si>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</si>
  <si>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</si>
  <si>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</si>
  <si>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</si>
  <si>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</si>
  <si>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</si>
  <si>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</si>
  <si>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</si>
  <si>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</si>
  <si>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</si>
  <si>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</si>
  <si>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</si>
  <si>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</si>
  <si>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</si>
  <si>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</si>
  <si>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</si>
  <si>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</si>
  <si>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</si>
  <si>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</si>
  <si>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</si>
  <si>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</si>
  <si>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</si>
  <si>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</si>
  <si>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</si>
  <si>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</si>
  <si>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</si>
  <si>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</si>
  <si>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</si>
  <si>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</si>
  <si>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</si>
  <si>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</si>
  <si>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</si>
  <si>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</si>
  <si>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</si>
  <si>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</si>
  <si>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</si>
  <si>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</si>
  <si>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</si>
  <si>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</si>
  <si>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</si>
  <si>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</si>
  <si>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</si>
  <si>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</si>
  <si>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</si>
  <si>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</si>
  <si>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</si>
  <si>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</si>
  <si>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</si>
  <si>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</si>
  <si>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</si>
  <si>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</si>
  <si>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</si>
  <si>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</si>
  <si>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</si>
  <si>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</si>
  <si>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</si>
  <si>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</si>
  <si>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</si>
  <si>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</si>
  <si>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</si>
  <si>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</si>
  <si>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</si>
  <si>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</si>
  <si>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</si>
  <si>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</si>
  <si>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</si>
  <si>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</si>
  <si>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</si>
  <si>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</si>
  <si>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</si>
  <si>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</si>
  <si>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</si>
  <si>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</si>
  <si>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</si>
  <si>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</si>
  <si>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</si>
  <si>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</si>
  <si>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</si>
  <si>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</si>
  <si>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</si>
  <si>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</si>
  <si>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</si>
  <si>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</si>
  <si>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</si>
  <si>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</si>
  <si>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</si>
  <si>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</si>
  <si>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</si>
  <si>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</si>
  <si>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</si>
  <si>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</si>
  <si>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</si>
  <si>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</si>
  <si>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</si>
  <si>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</si>
  <si>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</si>
  <si>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</si>
  <si>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</si>
  <si>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</si>
  <si>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</si>
  <si>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</si>
  <si>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</si>
  <si>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</si>
  <si>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</si>
  <si>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</si>
  <si>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</si>
  <si>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</si>
  <si>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</si>
  <si>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</si>
  <si>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</si>
  <si>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</si>
  <si>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</si>
  <si>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</si>
  <si>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</si>
  <si>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</si>
  <si>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</si>
  <si>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</si>
  <si>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</si>
  <si>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</si>
  <si>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</si>
  <si>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</si>
  <si>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</si>
  <si>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</si>
  <si>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</si>
  <si>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</si>
  <si>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</si>
  <si>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</si>
  <si>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</si>
  <si>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</si>
  <si>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</si>
  <si>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</si>
  <si>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</si>
  <si>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</si>
  <si>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</si>
  <si>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</si>
  <si>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</si>
  <si>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</si>
  <si>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</si>
  <si>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</si>
  <si>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</si>
  <si>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</si>
  <si>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</si>
  <si>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</si>
  <si>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</si>
  <si>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</si>
  <si>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</si>
  <si>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</si>
  <si>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</si>
  <si>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</si>
  <si>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</si>
  <si>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</si>
  <si>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</si>
  <si>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</si>
  <si>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</si>
  <si>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</si>
  <si>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</si>
  <si>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</si>
  <si>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</si>
  <si>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</si>
  <si>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</si>
  <si>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</si>
  <si>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</si>
  <si>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</si>
  <si>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</si>
  <si>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</si>
  <si>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</si>
  <si>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</si>
  <si>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</si>
  <si>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</si>
  <si>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</si>
  <si>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</si>
  <si>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</si>
  <si>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</si>
  <si>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</si>
  <si>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</si>
  <si>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</si>
  <si>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</si>
  <si>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</si>
  <si>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</si>
  <si>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</si>
  <si>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</si>
  <si>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</si>
  <si>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</si>
  <si>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</si>
  <si>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</si>
  <si>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</si>
  <si>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</si>
  <si>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</si>
  <si>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</si>
  <si>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</si>
  <si>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</si>
  <si>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</si>
  <si>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</si>
  <si>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</si>
  <si>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</si>
  <si>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</si>
  <si>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</si>
  <si>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</si>
  <si>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</si>
  <si>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</si>
  <si>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</si>
  <si>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</si>
  <si>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</si>
  <si>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</si>
  <si>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</si>
  <si>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</si>
  <si>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</si>
  <si>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</si>
  <si>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</si>
  <si>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</si>
  <si>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</si>
  <si>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</si>
  <si>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</si>
  <si>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</si>
  <si>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</si>
  <si>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</si>
  <si>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</si>
  <si>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</si>
  <si>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</si>
  <si>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</si>
  <si>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</si>
  <si>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</si>
  <si>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</si>
  <si>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</si>
  <si>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</si>
  <si>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</si>
  <si>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</si>
  <si>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</si>
  <si>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</si>
  <si>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</si>
  <si>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</si>
  <si>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</si>
  <si>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</si>
  <si>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</si>
  <si>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</si>
  <si>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</si>
  <si>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</si>
  <si>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</si>
  <si>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</si>
  <si>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</si>
  <si>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</si>
  <si>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</si>
  <si>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</si>
  <si>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</si>
  <si>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</si>
  <si>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</si>
  <si>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</si>
  <si>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</si>
  <si>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</si>
  <si>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</si>
  <si>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</si>
  <si>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</si>
  <si>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</si>
  <si>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</si>
  <si>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</si>
  <si>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</si>
  <si>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</si>
  <si>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</si>
  <si>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</si>
  <si>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</si>
  <si>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</si>
  <si>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</si>
  <si>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</si>
  <si>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</si>
  <si>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</si>
  <si>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</si>
  <si>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</si>
  <si>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</si>
  <si>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</si>
  <si>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</si>
  <si>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</si>
  <si>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</si>
  <si>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</si>
  <si>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</si>
  <si>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</si>
  <si>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</si>
  <si>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</si>
  <si>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</si>
  <si>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</si>
  <si>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</si>
  <si>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</si>
  <si>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</si>
  <si>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</si>
  <si>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</si>
  <si>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</si>
  <si>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</si>
  <si>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</si>
  <si>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</si>
  <si>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</si>
  <si>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</si>
  <si>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</si>
  <si>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</si>
  <si>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</si>
  <si>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</si>
  <si>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</si>
  <si>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</si>
  <si>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</si>
  <si>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</si>
  <si>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</si>
  <si>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</si>
  <si>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</si>
  <si>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</si>
  <si>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</si>
  <si>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</si>
  <si>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</si>
  <si>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</si>
  <si>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</si>
  <si>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</si>
  <si>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</si>
  <si>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</si>
  <si>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</si>
  <si>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</si>
  <si>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</si>
  <si>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</si>
  <si>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</si>
  <si>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</si>
  <si>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</si>
  <si>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</si>
  <si>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</si>
  <si>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</si>
  <si>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</si>
  <si>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</si>
  <si>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</si>
  <si>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</si>
  <si>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</si>
  <si>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</si>
  <si>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</si>
  <si>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</si>
  <si>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</si>
  <si>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</si>
  <si>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</si>
  <si>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</si>
  <si>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</si>
  <si>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</si>
  <si>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</si>
  <si>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</si>
  <si>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</si>
  <si>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</si>
  <si>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</si>
  <si>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</si>
  <si>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</si>
  <si>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</si>
  <si>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</si>
  <si>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</si>
  <si>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</si>
  <si>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</si>
  <si>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</si>
  <si>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</si>
  <si>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</si>
  <si>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</si>
  <si>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</si>
  <si>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</si>
  <si>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</si>
  <si>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</si>
  <si>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</si>
  <si>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</si>
  <si>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</si>
  <si>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</si>
  <si>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</si>
  <si>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</si>
  <si>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</si>
  <si>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</si>
  <si>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</si>
  <si>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</si>
  <si>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</si>
  <si>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</si>
  <si>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</si>
  <si>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</si>
  <si>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</si>
  <si>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</si>
  <si>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</si>
  <si>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</si>
  <si>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</si>
  <si>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</si>
  <si>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</si>
  <si>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</si>
  <si>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</si>
  <si>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</si>
  <si>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</si>
  <si>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</si>
  <si>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</si>
  <si>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</si>
  <si>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</si>
  <si>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</si>
  <si>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</si>
  <si>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</si>
  <si>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</si>
  <si>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</si>
  <si>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</si>
  <si>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</si>
  <si>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</si>
  <si>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</si>
  <si>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</si>
  <si>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</si>
  <si>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</si>
  <si>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</si>
  <si>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</si>
  <si>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</si>
  <si>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</si>
  <si>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</si>
  <si>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</si>
  <si>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</si>
  <si>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</si>
  <si>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</si>
  <si>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</si>
  <si>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</si>
  <si>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</si>
  <si>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</si>
  <si>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</si>
  <si>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</si>
  <si>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</si>
  <si>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</si>
  <si>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</si>
  <si>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</si>
  <si>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</si>
  <si>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</si>
  <si>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</si>
  <si>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</si>
  <si>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</si>
  <si>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</si>
  <si>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</si>
  <si>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</si>
  <si>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</si>
  <si>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</si>
  <si>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</si>
  <si>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</si>
  <si>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</si>
  <si>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</si>
  <si>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</si>
  <si>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</si>
  <si>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</si>
  <si>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</si>
  <si>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</si>
  <si>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</si>
  <si>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</si>
  <si>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</si>
  <si>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</si>
  <si>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</si>
  <si>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</si>
  <si>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</si>
  <si>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</si>
  <si>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</si>
  <si>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</si>
  <si>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</si>
  <si>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</si>
  <si>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</si>
  <si>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</si>
  <si>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</si>
  <si>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</si>
  <si>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</si>
  <si>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</si>
  <si>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</si>
  <si>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</si>
  <si>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</si>
  <si>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</si>
  <si>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</si>
  <si>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</si>
  <si>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</si>
  <si>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</si>
  <si>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</si>
  <si>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</si>
  <si>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</si>
  <si>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</si>
  <si>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</si>
  <si>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</si>
  <si>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</si>
  <si>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</si>
  <si>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</si>
  <si>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</si>
  <si>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</si>
  <si>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</si>
  <si>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</si>
  <si>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</si>
  <si>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</si>
  <si>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</si>
  <si>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</si>
  <si>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</si>
  <si>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</si>
  <si>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</si>
  <si>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</si>
  <si>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</si>
  <si>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</si>
  <si>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</si>
  <si>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</si>
  <si>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</si>
  <si>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</si>
  <si>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</si>
  <si>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</si>
  <si>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</si>
  <si>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</si>
  <si>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</si>
  <si>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</si>
  <si>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</si>
  <si>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</si>
  <si>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</si>
  <si>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</si>
  <si>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</si>
  <si>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</si>
  <si>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</si>
  <si>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</si>
  <si>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</si>
  <si>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</si>
  <si>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</si>
  <si>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</si>
  <si>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</si>
  <si>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</si>
  <si>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</si>
  <si>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34002</t>
  </si>
  <si>
    <t>ANZEGEM</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</si>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</sst>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120583.85620376359</c:v>
                </c:pt>
                <c:pt idx="1">
                  <c:v>25413.759937707913</c:v>
                </c:pt>
                <c:pt idx="2">
                  <c:v>1318.1020000000001</c:v>
                </c:pt>
                <c:pt idx="3">
                  <c:v>10231.180013754014</c:v>
                </c:pt>
                <c:pt idx="4">
                  <c:v>56048.122232028931</c:v>
                </c:pt>
                <c:pt idx="5">
                  <c:v>71051.374104712551</c:v>
                </c:pt>
                <c:pt idx="6">
                  <c:v>859.34636469781981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120583.85620376359</c:v>
                </c:pt>
                <c:pt idx="1">
                  <c:v>25413.759937707913</c:v>
                </c:pt>
                <c:pt idx="2">
                  <c:v>1318.1020000000001</c:v>
                </c:pt>
                <c:pt idx="3">
                  <c:v>10231.180013754014</c:v>
                </c:pt>
                <c:pt idx="4">
                  <c:v>56048.122232028931</c:v>
                </c:pt>
                <c:pt idx="5">
                  <c:v>71051.374104712551</c:v>
                </c:pt>
                <c:pt idx="6">
                  <c:v>859.34636469781981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23847.516617186546</c:v>
                </c:pt>
                <c:pt idx="2">
                  <c:v>5022.3127354806666</c:v>
                </c:pt>
                <c:pt idx="3">
                  <c:v>252.67834882038898</c:v>
                </c:pt>
                <c:pt idx="4">
                  <c:v>2605.3646552439068</c:v>
                </c:pt>
                <c:pt idx="5">
                  <c:v>11065.387922873524</c:v>
                </c:pt>
                <c:pt idx="6">
                  <c:v>17792.741909266653</c:v>
                </c:pt>
                <c:pt idx="7">
                  <c:v>217.11522457734142</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23847.516617186546</c:v>
                </c:pt>
                <c:pt idx="2">
                  <c:v>5022.3127354806666</c:v>
                </c:pt>
                <c:pt idx="3">
                  <c:v>252.67834882038898</c:v>
                </c:pt>
                <c:pt idx="4">
                  <c:v>2605.3646552439068</c:v>
                </c:pt>
                <c:pt idx="5">
                  <c:v>11065.387922873524</c:v>
                </c:pt>
                <c:pt idx="6">
                  <c:v>17792.741909266653</c:v>
                </c:pt>
                <c:pt idx="7">
                  <c:v>217.11522457734142</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34002</v>
      </c>
      <c r="B6" s="390"/>
      <c r="C6" s="391"/>
    </row>
    <row r="7" spans="1:7" s="388" customFormat="1" ht="15.75" customHeight="1">
      <c r="A7" s="392" t="str">
        <f>txtMunicipality</f>
        <v>ANZEGEM</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14053.270789940434</v>
      </c>
      <c r="D10" s="979">
        <f ca="1">tertiair!C16</f>
        <v>0</v>
      </c>
      <c r="E10" s="979">
        <f ca="1">tertiair!D16</f>
        <v>9571.2475323314557</v>
      </c>
      <c r="F10" s="979">
        <f>tertiair!E16</f>
        <v>240.79294301538096</v>
      </c>
      <c r="G10" s="979">
        <f ca="1">tertiair!F16</f>
        <v>2220.7528169925777</v>
      </c>
      <c r="H10" s="979">
        <f>tertiair!G16</f>
        <v>0</v>
      </c>
      <c r="I10" s="979">
        <f>tertiair!H16</f>
        <v>0</v>
      </c>
      <c r="J10" s="979">
        <f>tertiair!I16</f>
        <v>0</v>
      </c>
      <c r="K10" s="979">
        <f>tertiair!J16</f>
        <v>1.5005958432849437E-2</v>
      </c>
      <c r="L10" s="979">
        <f>tertiair!K16</f>
        <v>0</v>
      </c>
      <c r="M10" s="979">
        <f ca="1">tertiair!L16</f>
        <v>0</v>
      </c>
      <c r="N10" s="979">
        <f>tertiair!M16</f>
        <v>0</v>
      </c>
      <c r="O10" s="979">
        <f ca="1">tertiair!N16</f>
        <v>606.08618280296366</v>
      </c>
      <c r="P10" s="979">
        <f>tertiair!O16</f>
        <v>1.5633333333333335</v>
      </c>
      <c r="Q10" s="980">
        <f>tertiair!P16</f>
        <v>38.133333333333333</v>
      </c>
      <c r="R10" s="674">
        <f ca="1">SUM(C10:Q10)</f>
        <v>26731.861937707916</v>
      </c>
      <c r="S10" s="67"/>
    </row>
    <row r="11" spans="1:19" s="447" customFormat="1">
      <c r="A11" s="783" t="s">
        <v>224</v>
      </c>
      <c r="B11" s="788"/>
      <c r="C11" s="979">
        <f>huishoudens!B8</f>
        <v>28372.229818184653</v>
      </c>
      <c r="D11" s="979">
        <f>huishoudens!C8</f>
        <v>0</v>
      </c>
      <c r="E11" s="979">
        <f>huishoudens!D8</f>
        <v>31803.857578493484</v>
      </c>
      <c r="F11" s="979">
        <f>huishoudens!E8</f>
        <v>6998.9317462926992</v>
      </c>
      <c r="G11" s="979">
        <f>huishoudens!F8</f>
        <v>38934.315608494071</v>
      </c>
      <c r="H11" s="979">
        <f>huishoudens!G8</f>
        <v>0</v>
      </c>
      <c r="I11" s="979">
        <f>huishoudens!H8</f>
        <v>0</v>
      </c>
      <c r="J11" s="979">
        <f>huishoudens!I8</f>
        <v>0</v>
      </c>
      <c r="K11" s="979">
        <f>huishoudens!J8</f>
        <v>0</v>
      </c>
      <c r="L11" s="979">
        <f>huishoudens!K8</f>
        <v>0</v>
      </c>
      <c r="M11" s="979">
        <f>huishoudens!L8</f>
        <v>0</v>
      </c>
      <c r="N11" s="979">
        <f>huishoudens!M8</f>
        <v>0</v>
      </c>
      <c r="O11" s="979">
        <f>huishoudens!N8</f>
        <v>13300.421452298673</v>
      </c>
      <c r="P11" s="979">
        <f>huishoudens!O8</f>
        <v>297.03333333333336</v>
      </c>
      <c r="Q11" s="980">
        <f>huishoudens!P8</f>
        <v>877.06666666666661</v>
      </c>
      <c r="R11" s="674">
        <f>SUM(C11:Q11)</f>
        <v>120583.85620376359</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33705.783121691253</v>
      </c>
      <c r="D13" s="979">
        <f>industrie!C18</f>
        <v>0</v>
      </c>
      <c r="E13" s="979">
        <f>industrie!D18</f>
        <v>9798.4524971406463</v>
      </c>
      <c r="F13" s="979">
        <f>industrie!E18</f>
        <v>2220.7799705393841</v>
      </c>
      <c r="G13" s="979">
        <f>industrie!F18</f>
        <v>7827.5967778549084</v>
      </c>
      <c r="H13" s="979">
        <f>industrie!G18</f>
        <v>0</v>
      </c>
      <c r="I13" s="979">
        <f>industrie!H18</f>
        <v>0</v>
      </c>
      <c r="J13" s="979">
        <f>industrie!I18</f>
        <v>0</v>
      </c>
      <c r="K13" s="979">
        <f>industrie!J18</f>
        <v>86.617646174031307</v>
      </c>
      <c r="L13" s="979">
        <f>industrie!K18</f>
        <v>0</v>
      </c>
      <c r="M13" s="979">
        <f>industrie!L18</f>
        <v>0</v>
      </c>
      <c r="N13" s="979">
        <f>industrie!M18</f>
        <v>0</v>
      </c>
      <c r="O13" s="979">
        <f>industrie!N18</f>
        <v>2408.8922186287068</v>
      </c>
      <c r="P13" s="979">
        <f>industrie!O18</f>
        <v>0</v>
      </c>
      <c r="Q13" s="980">
        <f>industrie!P18</f>
        <v>0</v>
      </c>
      <c r="R13" s="674">
        <f>SUM(C13:Q13)</f>
        <v>56048.122232028931</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76131.28372981635</v>
      </c>
      <c r="D16" s="706">
        <f t="shared" ref="D16:R16" ca="1" si="0">SUM(D9:D15)</f>
        <v>0</v>
      </c>
      <c r="E16" s="706">
        <f t="shared" ca="1" si="0"/>
        <v>51173.557607965588</v>
      </c>
      <c r="F16" s="706">
        <f t="shared" si="0"/>
        <v>9460.5046598474637</v>
      </c>
      <c r="G16" s="706">
        <f t="shared" ca="1" si="0"/>
        <v>48982.665203341559</v>
      </c>
      <c r="H16" s="706">
        <f t="shared" si="0"/>
        <v>0</v>
      </c>
      <c r="I16" s="706">
        <f t="shared" si="0"/>
        <v>0</v>
      </c>
      <c r="J16" s="706">
        <f t="shared" si="0"/>
        <v>0</v>
      </c>
      <c r="K16" s="706">
        <f t="shared" si="0"/>
        <v>86.632652132464159</v>
      </c>
      <c r="L16" s="706">
        <f t="shared" si="0"/>
        <v>0</v>
      </c>
      <c r="M16" s="706">
        <f t="shared" ca="1" si="0"/>
        <v>0</v>
      </c>
      <c r="N16" s="706">
        <f t="shared" si="0"/>
        <v>0</v>
      </c>
      <c r="O16" s="706">
        <f t="shared" ca="1" si="0"/>
        <v>16315.399853730343</v>
      </c>
      <c r="P16" s="706">
        <f t="shared" si="0"/>
        <v>298.59666666666669</v>
      </c>
      <c r="Q16" s="706">
        <f t="shared" si="0"/>
        <v>915.19999999999993</v>
      </c>
      <c r="R16" s="706">
        <f t="shared" ca="1" si="0"/>
        <v>203363.84037350042</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813.16563512112884</v>
      </c>
      <c r="I19" s="979">
        <f>transport!H54</f>
        <v>0</v>
      </c>
      <c r="J19" s="979">
        <f>transport!I54</f>
        <v>0</v>
      </c>
      <c r="K19" s="979">
        <f>transport!J54</f>
        <v>0</v>
      </c>
      <c r="L19" s="979">
        <f>transport!K54</f>
        <v>0</v>
      </c>
      <c r="M19" s="979">
        <f>transport!L54</f>
        <v>0</v>
      </c>
      <c r="N19" s="979">
        <f>transport!M54</f>
        <v>46.180729576690979</v>
      </c>
      <c r="O19" s="979">
        <f>transport!N54</f>
        <v>0</v>
      </c>
      <c r="P19" s="979">
        <f>transport!O54</f>
        <v>0</v>
      </c>
      <c r="Q19" s="980">
        <f>transport!P54</f>
        <v>0</v>
      </c>
      <c r="R19" s="674">
        <f>SUM(C19:Q19)</f>
        <v>859.34636469781981</v>
      </c>
      <c r="S19" s="67"/>
    </row>
    <row r="20" spans="1:19" s="447" customFormat="1">
      <c r="A20" s="783" t="s">
        <v>306</v>
      </c>
      <c r="B20" s="788"/>
      <c r="C20" s="979">
        <f>transport!B14</f>
        <v>24.112915222581112</v>
      </c>
      <c r="D20" s="979">
        <f>transport!C14</f>
        <v>0</v>
      </c>
      <c r="E20" s="979">
        <f>transport!D14</f>
        <v>68.176549100342584</v>
      </c>
      <c r="F20" s="979">
        <f>transport!E14</f>
        <v>115.26032118095577</v>
      </c>
      <c r="G20" s="979">
        <f>transport!F14</f>
        <v>0</v>
      </c>
      <c r="H20" s="979">
        <f>transport!G14</f>
        <v>55741.534395615883</v>
      </c>
      <c r="I20" s="979">
        <f>transport!H14</f>
        <v>11506.803441666952</v>
      </c>
      <c r="J20" s="979">
        <f>transport!I14</f>
        <v>0</v>
      </c>
      <c r="K20" s="979">
        <f>transport!J14</f>
        <v>0</v>
      </c>
      <c r="L20" s="979">
        <f>transport!K14</f>
        <v>0</v>
      </c>
      <c r="M20" s="979">
        <f>transport!L14</f>
        <v>0</v>
      </c>
      <c r="N20" s="979">
        <f>transport!M14</f>
        <v>3595.486481925836</v>
      </c>
      <c r="O20" s="979">
        <f>transport!N14</f>
        <v>0</v>
      </c>
      <c r="P20" s="979">
        <f>transport!O14</f>
        <v>0</v>
      </c>
      <c r="Q20" s="980">
        <f>transport!P14</f>
        <v>0</v>
      </c>
      <c r="R20" s="674">
        <f>SUM(C20:Q20)</f>
        <v>71051.374104712551</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24.112915222581112</v>
      </c>
      <c r="D22" s="786">
        <f t="shared" ref="D22:R22" si="1">SUM(D18:D21)</f>
        <v>0</v>
      </c>
      <c r="E22" s="786">
        <f t="shared" si="1"/>
        <v>68.176549100342584</v>
      </c>
      <c r="F22" s="786">
        <f t="shared" si="1"/>
        <v>115.26032118095577</v>
      </c>
      <c r="G22" s="786">
        <f t="shared" si="1"/>
        <v>0</v>
      </c>
      <c r="H22" s="786">
        <f t="shared" si="1"/>
        <v>56554.700030737011</v>
      </c>
      <c r="I22" s="786">
        <f t="shared" si="1"/>
        <v>11506.803441666952</v>
      </c>
      <c r="J22" s="786">
        <f t="shared" si="1"/>
        <v>0</v>
      </c>
      <c r="K22" s="786">
        <f t="shared" si="1"/>
        <v>0</v>
      </c>
      <c r="L22" s="786">
        <f t="shared" si="1"/>
        <v>0</v>
      </c>
      <c r="M22" s="786">
        <f t="shared" si="1"/>
        <v>0</v>
      </c>
      <c r="N22" s="786">
        <f t="shared" si="1"/>
        <v>3641.6672115025272</v>
      </c>
      <c r="O22" s="786">
        <f t="shared" si="1"/>
        <v>0</v>
      </c>
      <c r="P22" s="786">
        <f t="shared" si="1"/>
        <v>0</v>
      </c>
      <c r="Q22" s="786">
        <f t="shared" si="1"/>
        <v>0</v>
      </c>
      <c r="R22" s="786">
        <f t="shared" si="1"/>
        <v>71910.720469410371</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1901.7916841299411</v>
      </c>
      <c r="D24" s="979">
        <f>+landbouw!C8</f>
        <v>0</v>
      </c>
      <c r="E24" s="979">
        <f>+landbouw!D8</f>
        <v>75.198701041985998</v>
      </c>
      <c r="F24" s="979">
        <f>+landbouw!E8</f>
        <v>55.899466338836035</v>
      </c>
      <c r="G24" s="979">
        <f>+landbouw!F8</f>
        <v>7922.7613886567469</v>
      </c>
      <c r="H24" s="979">
        <f>+landbouw!G8</f>
        <v>0</v>
      </c>
      <c r="I24" s="979">
        <f>+landbouw!H8</f>
        <v>0</v>
      </c>
      <c r="J24" s="979">
        <f>+landbouw!I8</f>
        <v>0</v>
      </c>
      <c r="K24" s="979">
        <f>+landbouw!J8</f>
        <v>275.52877358650437</v>
      </c>
      <c r="L24" s="979">
        <f>+landbouw!K8</f>
        <v>0</v>
      </c>
      <c r="M24" s="979">
        <f>+landbouw!L8</f>
        <v>0</v>
      </c>
      <c r="N24" s="979">
        <f>+landbouw!M8</f>
        <v>0</v>
      </c>
      <c r="O24" s="979">
        <f>+landbouw!N8</f>
        <v>0</v>
      </c>
      <c r="P24" s="979">
        <f>+landbouw!O8</f>
        <v>0</v>
      </c>
      <c r="Q24" s="980">
        <f>+landbouw!P8</f>
        <v>0</v>
      </c>
      <c r="R24" s="674">
        <f>SUM(C24:Q24)</f>
        <v>10231.180013754014</v>
      </c>
      <c r="S24" s="67"/>
    </row>
    <row r="25" spans="1:19" s="447" customFormat="1" ht="15" thickBot="1">
      <c r="A25" s="805" t="s">
        <v>823</v>
      </c>
      <c r="B25" s="982"/>
      <c r="C25" s="983">
        <f>IF(Onbekend_ele_kWh="---",0,Onbekend_ele_kWh)/1000+IF(REST_rest_ele_kWh="---",0,REST_rest_ele_kWh)/1000</f>
        <v>718.84712468598707</v>
      </c>
      <c r="D25" s="983"/>
      <c r="E25" s="983">
        <f>IF(onbekend_gas_kWh="---",0,onbekend_gas_kWh)/1000+IF(REST_rest_gas_kWh="---",0,REST_rest_gas_kWh)/1000</f>
        <v>953.04396715309292</v>
      </c>
      <c r="F25" s="983"/>
      <c r="G25" s="983"/>
      <c r="H25" s="983"/>
      <c r="I25" s="983"/>
      <c r="J25" s="983"/>
      <c r="K25" s="983"/>
      <c r="L25" s="983"/>
      <c r="M25" s="983"/>
      <c r="N25" s="983"/>
      <c r="O25" s="983"/>
      <c r="P25" s="983"/>
      <c r="Q25" s="984"/>
      <c r="R25" s="674">
        <f>SUM(C25:Q25)</f>
        <v>1671.89109183908</v>
      </c>
      <c r="S25" s="67"/>
    </row>
    <row r="26" spans="1:19" s="447" customFormat="1" ht="15.75" thickBot="1">
      <c r="A26" s="679" t="s">
        <v>824</v>
      </c>
      <c r="B26" s="791"/>
      <c r="C26" s="786">
        <f>SUM(C24:C25)</f>
        <v>2620.6388088159283</v>
      </c>
      <c r="D26" s="786">
        <f t="shared" ref="D26:R26" si="2">SUM(D24:D25)</f>
        <v>0</v>
      </c>
      <c r="E26" s="786">
        <f t="shared" si="2"/>
        <v>1028.242668195079</v>
      </c>
      <c r="F26" s="786">
        <f t="shared" si="2"/>
        <v>55.899466338836035</v>
      </c>
      <c r="G26" s="786">
        <f t="shared" si="2"/>
        <v>7922.7613886567469</v>
      </c>
      <c r="H26" s="786">
        <f t="shared" si="2"/>
        <v>0</v>
      </c>
      <c r="I26" s="786">
        <f t="shared" si="2"/>
        <v>0</v>
      </c>
      <c r="J26" s="786">
        <f t="shared" si="2"/>
        <v>0</v>
      </c>
      <c r="K26" s="786">
        <f t="shared" si="2"/>
        <v>275.52877358650437</v>
      </c>
      <c r="L26" s="786">
        <f t="shared" si="2"/>
        <v>0</v>
      </c>
      <c r="M26" s="786">
        <f t="shared" si="2"/>
        <v>0</v>
      </c>
      <c r="N26" s="786">
        <f t="shared" si="2"/>
        <v>0</v>
      </c>
      <c r="O26" s="786">
        <f t="shared" si="2"/>
        <v>0</v>
      </c>
      <c r="P26" s="786">
        <f t="shared" si="2"/>
        <v>0</v>
      </c>
      <c r="Q26" s="786">
        <f t="shared" si="2"/>
        <v>0</v>
      </c>
      <c r="R26" s="786">
        <f t="shared" si="2"/>
        <v>11903.071105593093</v>
      </c>
      <c r="S26" s="67"/>
    </row>
    <row r="27" spans="1:19" s="447" customFormat="1" ht="17.25" thickTop="1" thickBot="1">
      <c r="A27" s="680" t="s">
        <v>115</v>
      </c>
      <c r="B27" s="779"/>
      <c r="C27" s="681">
        <f ca="1">C22+C16+C26</f>
        <v>78776.035453854856</v>
      </c>
      <c r="D27" s="681">
        <f t="shared" ref="D27:R27" ca="1" si="3">D22+D16+D26</f>
        <v>0</v>
      </c>
      <c r="E27" s="681">
        <f t="shared" ca="1" si="3"/>
        <v>52269.976825261016</v>
      </c>
      <c r="F27" s="681">
        <f t="shared" si="3"/>
        <v>9631.6644473672568</v>
      </c>
      <c r="G27" s="681">
        <f t="shared" ca="1" si="3"/>
        <v>56905.426591998308</v>
      </c>
      <c r="H27" s="681">
        <f t="shared" si="3"/>
        <v>56554.700030737011</v>
      </c>
      <c r="I27" s="681">
        <f t="shared" si="3"/>
        <v>11506.803441666952</v>
      </c>
      <c r="J27" s="681">
        <f t="shared" si="3"/>
        <v>0</v>
      </c>
      <c r="K27" s="681">
        <f t="shared" si="3"/>
        <v>362.16142571896853</v>
      </c>
      <c r="L27" s="681">
        <f t="shared" si="3"/>
        <v>0</v>
      </c>
      <c r="M27" s="681">
        <f t="shared" ca="1" si="3"/>
        <v>0</v>
      </c>
      <c r="N27" s="681">
        <f t="shared" si="3"/>
        <v>3641.6672115025272</v>
      </c>
      <c r="O27" s="681">
        <f t="shared" ca="1" si="3"/>
        <v>16315.399853730343</v>
      </c>
      <c r="P27" s="681">
        <f t="shared" si="3"/>
        <v>298.59666666666669</v>
      </c>
      <c r="Q27" s="681">
        <f t="shared" si="3"/>
        <v>915.19999999999993</v>
      </c>
      <c r="R27" s="681">
        <f t="shared" ca="1" si="3"/>
        <v>287177.6319485039</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2693.992770459306</v>
      </c>
      <c r="D40" s="979">
        <f ca="1">tertiair!C20</f>
        <v>0</v>
      </c>
      <c r="E40" s="979">
        <f ca="1">tertiair!D20</f>
        <v>1933.3920015309541</v>
      </c>
      <c r="F40" s="979">
        <f>tertiair!E20</f>
        <v>54.659998064491482</v>
      </c>
      <c r="G40" s="979">
        <f ca="1">tertiair!F20</f>
        <v>592.94100213701824</v>
      </c>
      <c r="H40" s="979">
        <f>tertiair!G20</f>
        <v>0</v>
      </c>
      <c r="I40" s="979">
        <f>tertiair!H20</f>
        <v>0</v>
      </c>
      <c r="J40" s="979">
        <f>tertiair!I20</f>
        <v>0</v>
      </c>
      <c r="K40" s="979">
        <f>tertiair!J20</f>
        <v>5.3121092852287007E-3</v>
      </c>
      <c r="L40" s="979">
        <f>tertiair!K20</f>
        <v>0</v>
      </c>
      <c r="M40" s="979">
        <f ca="1">tertiair!L20</f>
        <v>0</v>
      </c>
      <c r="N40" s="979">
        <f>tertiair!M20</f>
        <v>0</v>
      </c>
      <c r="O40" s="979">
        <f ca="1">tertiair!N20</f>
        <v>0</v>
      </c>
      <c r="P40" s="979">
        <f>tertiair!O20</f>
        <v>0</v>
      </c>
      <c r="Q40" s="748">
        <f>tertiair!P20</f>
        <v>0</v>
      </c>
      <c r="R40" s="824">
        <f t="shared" ca="1" si="4"/>
        <v>5274.9910843010557</v>
      </c>
    </row>
    <row r="41" spans="1:18">
      <c r="A41" s="796" t="s">
        <v>224</v>
      </c>
      <c r="B41" s="803"/>
      <c r="C41" s="979">
        <f ca="1">huishoudens!B12</f>
        <v>5438.9176124545011</v>
      </c>
      <c r="D41" s="979">
        <f ca="1">huishoudens!C12</f>
        <v>0</v>
      </c>
      <c r="E41" s="979">
        <f>huishoudens!D12</f>
        <v>6424.379230855684</v>
      </c>
      <c r="F41" s="979">
        <f>huishoudens!E12</f>
        <v>1588.7575064084429</v>
      </c>
      <c r="G41" s="979">
        <f>huishoudens!F12</f>
        <v>10395.462267467918</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23847.516617186546</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6461.3524787058068</v>
      </c>
      <c r="D43" s="979">
        <f ca="1">industrie!C22</f>
        <v>0</v>
      </c>
      <c r="E43" s="979">
        <f>industrie!D22</f>
        <v>1979.2874044224106</v>
      </c>
      <c r="F43" s="979">
        <f>industrie!E22</f>
        <v>504.11705331244019</v>
      </c>
      <c r="G43" s="979">
        <f>industrie!F22</f>
        <v>2089.9683396872606</v>
      </c>
      <c r="H43" s="979">
        <f>industrie!G22</f>
        <v>0</v>
      </c>
      <c r="I43" s="979">
        <f>industrie!H22</f>
        <v>0</v>
      </c>
      <c r="J43" s="979">
        <f>industrie!I22</f>
        <v>0</v>
      </c>
      <c r="K43" s="979">
        <f>industrie!J22</f>
        <v>30.662646745607081</v>
      </c>
      <c r="L43" s="979">
        <f>industrie!K22</f>
        <v>0</v>
      </c>
      <c r="M43" s="979">
        <f>industrie!L22</f>
        <v>0</v>
      </c>
      <c r="N43" s="979">
        <f>industrie!M22</f>
        <v>0</v>
      </c>
      <c r="O43" s="979">
        <f>industrie!N22</f>
        <v>0</v>
      </c>
      <c r="P43" s="979">
        <f>industrie!O22</f>
        <v>0</v>
      </c>
      <c r="Q43" s="748">
        <f>industrie!P22</f>
        <v>0</v>
      </c>
      <c r="R43" s="823">
        <f t="shared" ca="1" si="4"/>
        <v>11065.387922873524</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14594.262861619614</v>
      </c>
      <c r="D46" s="706">
        <f t="shared" ref="D46:Q46" ca="1" si="5">SUM(D39:D45)</f>
        <v>0</v>
      </c>
      <c r="E46" s="706">
        <f t="shared" ca="1" si="5"/>
        <v>10337.058636809048</v>
      </c>
      <c r="F46" s="706">
        <f t="shared" si="5"/>
        <v>2147.5345577853745</v>
      </c>
      <c r="G46" s="706">
        <f t="shared" ca="1" si="5"/>
        <v>13078.371609292197</v>
      </c>
      <c r="H46" s="706">
        <f t="shared" si="5"/>
        <v>0</v>
      </c>
      <c r="I46" s="706">
        <f t="shared" si="5"/>
        <v>0</v>
      </c>
      <c r="J46" s="706">
        <f t="shared" si="5"/>
        <v>0</v>
      </c>
      <c r="K46" s="706">
        <f t="shared" si="5"/>
        <v>30.667958854892309</v>
      </c>
      <c r="L46" s="706">
        <f t="shared" si="5"/>
        <v>0</v>
      </c>
      <c r="M46" s="706">
        <f t="shared" ca="1" si="5"/>
        <v>0</v>
      </c>
      <c r="N46" s="706">
        <f t="shared" si="5"/>
        <v>0</v>
      </c>
      <c r="O46" s="706">
        <f t="shared" ca="1" si="5"/>
        <v>0</v>
      </c>
      <c r="P46" s="706">
        <f t="shared" si="5"/>
        <v>0</v>
      </c>
      <c r="Q46" s="706">
        <f t="shared" si="5"/>
        <v>0</v>
      </c>
      <c r="R46" s="706">
        <f ca="1">SUM(R39:R45)</f>
        <v>40187.895624361125</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217.11522457734142</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217.11522457734142</v>
      </c>
    </row>
    <row r="50" spans="1:18">
      <c r="A50" s="799" t="s">
        <v>306</v>
      </c>
      <c r="B50" s="809"/>
      <c r="C50" s="677">
        <f ca="1">transport!B18</f>
        <v>4.6224128357955738</v>
      </c>
      <c r="D50" s="677">
        <f>transport!C18</f>
        <v>0</v>
      </c>
      <c r="E50" s="677">
        <f>transport!D18</f>
        <v>13.771662918269202</v>
      </c>
      <c r="F50" s="677">
        <f>transport!E18</f>
        <v>26.16409290807696</v>
      </c>
      <c r="G50" s="677">
        <f>transport!F18</f>
        <v>0</v>
      </c>
      <c r="H50" s="677">
        <f>transport!G18</f>
        <v>14882.989683629441</v>
      </c>
      <c r="I50" s="677">
        <f>transport!H18</f>
        <v>2865.1940569750714</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17792.741909266653</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4.6224128357955738</v>
      </c>
      <c r="D52" s="706">
        <f t="shared" ref="D52:Q52" ca="1" si="6">SUM(D48:D51)</f>
        <v>0</v>
      </c>
      <c r="E52" s="706">
        <f t="shared" si="6"/>
        <v>13.771662918269202</v>
      </c>
      <c r="F52" s="706">
        <f t="shared" si="6"/>
        <v>26.16409290807696</v>
      </c>
      <c r="G52" s="706">
        <f t="shared" si="6"/>
        <v>0</v>
      </c>
      <c r="H52" s="706">
        <f t="shared" si="6"/>
        <v>15100.104908206782</v>
      </c>
      <c r="I52" s="706">
        <f t="shared" si="6"/>
        <v>2865.1940569750714</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18009.857133843994</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364.5708621535361</v>
      </c>
      <c r="D54" s="677">
        <f ca="1">+landbouw!C12</f>
        <v>0</v>
      </c>
      <c r="E54" s="677">
        <f>+landbouw!D12</f>
        <v>15.190137610481173</v>
      </c>
      <c r="F54" s="677">
        <f>+landbouw!E12</f>
        <v>12.689178858915781</v>
      </c>
      <c r="G54" s="677">
        <f>+landbouw!F12</f>
        <v>2115.3772907713515</v>
      </c>
      <c r="H54" s="677">
        <f>+landbouw!G12</f>
        <v>0</v>
      </c>
      <c r="I54" s="677">
        <f>+landbouw!H12</f>
        <v>0</v>
      </c>
      <c r="J54" s="677">
        <f>+landbouw!I12</f>
        <v>0</v>
      </c>
      <c r="K54" s="677">
        <f>+landbouw!J12</f>
        <v>97.537185849622546</v>
      </c>
      <c r="L54" s="677">
        <f>+landbouw!K12</f>
        <v>0</v>
      </c>
      <c r="M54" s="677">
        <f>+landbouw!L12</f>
        <v>0</v>
      </c>
      <c r="N54" s="677">
        <f>+landbouw!M12</f>
        <v>0</v>
      </c>
      <c r="O54" s="677">
        <f>+landbouw!N12</f>
        <v>0</v>
      </c>
      <c r="P54" s="677">
        <f>+landbouw!O12</f>
        <v>0</v>
      </c>
      <c r="Q54" s="678">
        <f>+landbouw!P12</f>
        <v>0</v>
      </c>
      <c r="R54" s="705">
        <f ca="1">SUM(C54:Q54)</f>
        <v>2605.3646552439068</v>
      </c>
    </row>
    <row r="55" spans="1:18" ht="15" thickBot="1">
      <c r="A55" s="799" t="s">
        <v>823</v>
      </c>
      <c r="B55" s="809"/>
      <c r="C55" s="677">
        <f ca="1">C25*'EF ele_warmte'!B12</f>
        <v>137.80200964715894</v>
      </c>
      <c r="D55" s="677"/>
      <c r="E55" s="677">
        <f>E25*EF_CO2_aardgas</f>
        <v>192.51488136492478</v>
      </c>
      <c r="F55" s="677"/>
      <c r="G55" s="677"/>
      <c r="H55" s="677"/>
      <c r="I55" s="677"/>
      <c r="J55" s="677"/>
      <c r="K55" s="677"/>
      <c r="L55" s="677"/>
      <c r="M55" s="677"/>
      <c r="N55" s="677"/>
      <c r="O55" s="677"/>
      <c r="P55" s="677"/>
      <c r="Q55" s="678"/>
      <c r="R55" s="705">
        <f ca="1">SUM(C55:Q55)</f>
        <v>330.31689101208372</v>
      </c>
    </row>
    <row r="56" spans="1:18" ht="15.75" thickBot="1">
      <c r="A56" s="797" t="s">
        <v>824</v>
      </c>
      <c r="B56" s="810"/>
      <c r="C56" s="706">
        <f ca="1">SUM(C54:C55)</f>
        <v>502.37287180069507</v>
      </c>
      <c r="D56" s="706">
        <f t="shared" ref="D56:Q56" ca="1" si="7">SUM(D54:D55)</f>
        <v>0</v>
      </c>
      <c r="E56" s="706">
        <f t="shared" si="7"/>
        <v>207.70501897540595</v>
      </c>
      <c r="F56" s="706">
        <f t="shared" si="7"/>
        <v>12.689178858915781</v>
      </c>
      <c r="G56" s="706">
        <f t="shared" si="7"/>
        <v>2115.3772907713515</v>
      </c>
      <c r="H56" s="706">
        <f t="shared" si="7"/>
        <v>0</v>
      </c>
      <c r="I56" s="706">
        <f t="shared" si="7"/>
        <v>0</v>
      </c>
      <c r="J56" s="706">
        <f t="shared" si="7"/>
        <v>0</v>
      </c>
      <c r="K56" s="706">
        <f t="shared" si="7"/>
        <v>97.537185849622546</v>
      </c>
      <c r="L56" s="706">
        <f t="shared" si="7"/>
        <v>0</v>
      </c>
      <c r="M56" s="706">
        <f t="shared" si="7"/>
        <v>0</v>
      </c>
      <c r="N56" s="706">
        <f t="shared" si="7"/>
        <v>0</v>
      </c>
      <c r="O56" s="706">
        <f t="shared" si="7"/>
        <v>0</v>
      </c>
      <c r="P56" s="706">
        <f t="shared" si="7"/>
        <v>0</v>
      </c>
      <c r="Q56" s="707">
        <f t="shared" si="7"/>
        <v>0</v>
      </c>
      <c r="R56" s="708">
        <f ca="1">SUM(R54:R55)</f>
        <v>2935.6815462559907</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15101.258146256105</v>
      </c>
      <c r="D61" s="714">
        <f t="shared" ref="D61:Q61" ca="1" si="8">D46+D52+D56</f>
        <v>0</v>
      </c>
      <c r="E61" s="714">
        <f t="shared" ca="1" si="8"/>
        <v>10558.535318702723</v>
      </c>
      <c r="F61" s="714">
        <f t="shared" si="8"/>
        <v>2186.3878295523673</v>
      </c>
      <c r="G61" s="714">
        <f t="shared" ca="1" si="8"/>
        <v>15193.748900063549</v>
      </c>
      <c r="H61" s="714">
        <f t="shared" si="8"/>
        <v>15100.104908206782</v>
      </c>
      <c r="I61" s="714">
        <f t="shared" si="8"/>
        <v>2865.1940569750714</v>
      </c>
      <c r="J61" s="714">
        <f t="shared" si="8"/>
        <v>0</v>
      </c>
      <c r="K61" s="714">
        <f t="shared" si="8"/>
        <v>128.20514470451485</v>
      </c>
      <c r="L61" s="714">
        <f t="shared" si="8"/>
        <v>0</v>
      </c>
      <c r="M61" s="714">
        <f t="shared" ca="1" si="8"/>
        <v>0</v>
      </c>
      <c r="N61" s="714">
        <f t="shared" si="8"/>
        <v>0</v>
      </c>
      <c r="O61" s="714">
        <f t="shared" ca="1" si="8"/>
        <v>0</v>
      </c>
      <c r="P61" s="714">
        <f t="shared" si="8"/>
        <v>0</v>
      </c>
      <c r="Q61" s="714">
        <f t="shared" si="8"/>
        <v>0</v>
      </c>
      <c r="R61" s="714">
        <f ca="1">R46+R52+R56</f>
        <v>61133.434304461109</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0.1916986309256711</v>
      </c>
      <c r="D63" s="755">
        <f t="shared" ca="1" si="9"/>
        <v>0</v>
      </c>
      <c r="E63" s="990">
        <f t="shared" ca="1" si="9"/>
        <v>0.20199999999999996</v>
      </c>
      <c r="F63" s="755">
        <f t="shared" si="9"/>
        <v>0.22700000000000001</v>
      </c>
      <c r="G63" s="755">
        <f t="shared" ca="1" si="9"/>
        <v>0.26700000000000002</v>
      </c>
      <c r="H63" s="755">
        <f t="shared" si="9"/>
        <v>0.26700000000000002</v>
      </c>
      <c r="I63" s="755">
        <f t="shared" si="9"/>
        <v>0.24900000000000003</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10444.550629166588</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0</v>
      </c>
      <c r="D76" s="1000">
        <f>'lokale energieproductie'!C8</f>
        <v>0</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10444.550629166588</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28372.229818184653</v>
      </c>
      <c r="C4" s="451">
        <f>huishoudens!C8</f>
        <v>0</v>
      </c>
      <c r="D4" s="451">
        <f>huishoudens!D8</f>
        <v>31803.857578493484</v>
      </c>
      <c r="E4" s="451">
        <f>huishoudens!E8</f>
        <v>6998.9317462926992</v>
      </c>
      <c r="F4" s="451">
        <f>huishoudens!F8</f>
        <v>38934.315608494071</v>
      </c>
      <c r="G4" s="451">
        <f>huishoudens!G8</f>
        <v>0</v>
      </c>
      <c r="H4" s="451">
        <f>huishoudens!H8</f>
        <v>0</v>
      </c>
      <c r="I4" s="451">
        <f>huishoudens!I8</f>
        <v>0</v>
      </c>
      <c r="J4" s="451">
        <f>huishoudens!J8</f>
        <v>0</v>
      </c>
      <c r="K4" s="451">
        <f>huishoudens!K8</f>
        <v>0</v>
      </c>
      <c r="L4" s="451">
        <f>huishoudens!L8</f>
        <v>0</v>
      </c>
      <c r="M4" s="451">
        <f>huishoudens!M8</f>
        <v>0</v>
      </c>
      <c r="N4" s="451">
        <f>huishoudens!N8</f>
        <v>13300.421452298673</v>
      </c>
      <c r="O4" s="451">
        <f>huishoudens!O8</f>
        <v>297.03333333333336</v>
      </c>
      <c r="P4" s="452">
        <f>huishoudens!P8</f>
        <v>877.06666666666661</v>
      </c>
      <c r="Q4" s="453">
        <f>SUM(B4:P4)</f>
        <v>120583.85620376359</v>
      </c>
    </row>
    <row r="5" spans="1:17">
      <c r="A5" s="450" t="s">
        <v>155</v>
      </c>
      <c r="B5" s="451">
        <f ca="1">tertiair!B16</f>
        <v>12735.168789940433</v>
      </c>
      <c r="C5" s="451">
        <f ca="1">tertiair!C16</f>
        <v>0</v>
      </c>
      <c r="D5" s="451">
        <f ca="1">tertiair!D16</f>
        <v>9571.2475323314557</v>
      </c>
      <c r="E5" s="451">
        <f>tertiair!E16</f>
        <v>240.79294301538096</v>
      </c>
      <c r="F5" s="451">
        <f ca="1">tertiair!F16</f>
        <v>2220.7528169925777</v>
      </c>
      <c r="G5" s="451">
        <f>tertiair!G16</f>
        <v>0</v>
      </c>
      <c r="H5" s="451">
        <f>tertiair!H16</f>
        <v>0</v>
      </c>
      <c r="I5" s="451">
        <f>tertiair!I16</f>
        <v>0</v>
      </c>
      <c r="J5" s="451">
        <f>tertiair!J16</f>
        <v>1.5005958432849437E-2</v>
      </c>
      <c r="K5" s="451">
        <f>tertiair!K16</f>
        <v>0</v>
      </c>
      <c r="L5" s="451">
        <f ca="1">tertiair!L16</f>
        <v>0</v>
      </c>
      <c r="M5" s="451">
        <f>tertiair!M16</f>
        <v>0</v>
      </c>
      <c r="N5" s="451">
        <f ca="1">tertiair!N16</f>
        <v>606.08618280296366</v>
      </c>
      <c r="O5" s="451">
        <f>tertiair!O16</f>
        <v>1.5633333333333335</v>
      </c>
      <c r="P5" s="452">
        <f>tertiair!P16</f>
        <v>38.133333333333333</v>
      </c>
      <c r="Q5" s="450">
        <f t="shared" ref="Q5:Q14" ca="1" si="0">SUM(B5:P5)</f>
        <v>25413.759937707913</v>
      </c>
    </row>
    <row r="6" spans="1:17">
      <c r="A6" s="450" t="s">
        <v>193</v>
      </c>
      <c r="B6" s="451">
        <f>'openbare verlichting'!B8</f>
        <v>1318.1020000000001</v>
      </c>
      <c r="C6" s="451"/>
      <c r="D6" s="451"/>
      <c r="E6" s="451"/>
      <c r="F6" s="451"/>
      <c r="G6" s="451"/>
      <c r="H6" s="451"/>
      <c r="I6" s="451"/>
      <c r="J6" s="451"/>
      <c r="K6" s="451"/>
      <c r="L6" s="451"/>
      <c r="M6" s="451"/>
      <c r="N6" s="451"/>
      <c r="O6" s="451"/>
      <c r="P6" s="452"/>
      <c r="Q6" s="450">
        <f t="shared" si="0"/>
        <v>1318.1020000000001</v>
      </c>
    </row>
    <row r="7" spans="1:17">
      <c r="A7" s="450" t="s">
        <v>111</v>
      </c>
      <c r="B7" s="451">
        <f>landbouw!B8</f>
        <v>1901.7916841299411</v>
      </c>
      <c r="C7" s="451">
        <f>landbouw!C8</f>
        <v>0</v>
      </c>
      <c r="D7" s="451">
        <f>landbouw!D8</f>
        <v>75.198701041985998</v>
      </c>
      <c r="E7" s="451">
        <f>landbouw!E8</f>
        <v>55.899466338836035</v>
      </c>
      <c r="F7" s="451">
        <f>landbouw!F8</f>
        <v>7922.7613886567469</v>
      </c>
      <c r="G7" s="451">
        <f>landbouw!G8</f>
        <v>0</v>
      </c>
      <c r="H7" s="451">
        <f>landbouw!H8</f>
        <v>0</v>
      </c>
      <c r="I7" s="451">
        <f>landbouw!I8</f>
        <v>0</v>
      </c>
      <c r="J7" s="451">
        <f>landbouw!J8</f>
        <v>275.52877358650437</v>
      </c>
      <c r="K7" s="451">
        <f>landbouw!K8</f>
        <v>0</v>
      </c>
      <c r="L7" s="451">
        <f>landbouw!L8</f>
        <v>0</v>
      </c>
      <c r="M7" s="451">
        <f>landbouw!M8</f>
        <v>0</v>
      </c>
      <c r="N7" s="451">
        <f>landbouw!N8</f>
        <v>0</v>
      </c>
      <c r="O7" s="451">
        <f>landbouw!O8</f>
        <v>0</v>
      </c>
      <c r="P7" s="452">
        <f>landbouw!P8</f>
        <v>0</v>
      </c>
      <c r="Q7" s="450">
        <f t="shared" si="0"/>
        <v>10231.180013754014</v>
      </c>
    </row>
    <row r="8" spans="1:17">
      <c r="A8" s="450" t="s">
        <v>634</v>
      </c>
      <c r="B8" s="451">
        <f>industrie!B18</f>
        <v>33705.783121691253</v>
      </c>
      <c r="C8" s="451">
        <f>industrie!C18</f>
        <v>0</v>
      </c>
      <c r="D8" s="451">
        <f>industrie!D18</f>
        <v>9798.4524971406463</v>
      </c>
      <c r="E8" s="451">
        <f>industrie!E18</f>
        <v>2220.7799705393841</v>
      </c>
      <c r="F8" s="451">
        <f>industrie!F18</f>
        <v>7827.5967778549084</v>
      </c>
      <c r="G8" s="451">
        <f>industrie!G18</f>
        <v>0</v>
      </c>
      <c r="H8" s="451">
        <f>industrie!H18</f>
        <v>0</v>
      </c>
      <c r="I8" s="451">
        <f>industrie!I18</f>
        <v>0</v>
      </c>
      <c r="J8" s="451">
        <f>industrie!J18</f>
        <v>86.617646174031307</v>
      </c>
      <c r="K8" s="451">
        <f>industrie!K18</f>
        <v>0</v>
      </c>
      <c r="L8" s="451">
        <f>industrie!L18</f>
        <v>0</v>
      </c>
      <c r="M8" s="451">
        <f>industrie!M18</f>
        <v>0</v>
      </c>
      <c r="N8" s="451">
        <f>industrie!N18</f>
        <v>2408.8922186287068</v>
      </c>
      <c r="O8" s="451">
        <f>industrie!O18</f>
        <v>0</v>
      </c>
      <c r="P8" s="452">
        <f>industrie!P18</f>
        <v>0</v>
      </c>
      <c r="Q8" s="450">
        <f t="shared" si="0"/>
        <v>56048.122232028931</v>
      </c>
    </row>
    <row r="9" spans="1:17" s="456" customFormat="1">
      <c r="A9" s="454" t="s">
        <v>560</v>
      </c>
      <c r="B9" s="455">
        <f>transport!B14</f>
        <v>24.112915222581112</v>
      </c>
      <c r="C9" s="455">
        <f>transport!C14</f>
        <v>0</v>
      </c>
      <c r="D9" s="455">
        <f>transport!D14</f>
        <v>68.176549100342584</v>
      </c>
      <c r="E9" s="455">
        <f>transport!E14</f>
        <v>115.26032118095577</v>
      </c>
      <c r="F9" s="455">
        <f>transport!F14</f>
        <v>0</v>
      </c>
      <c r="G9" s="455">
        <f>transport!G14</f>
        <v>55741.534395615883</v>
      </c>
      <c r="H9" s="455">
        <f>transport!H14</f>
        <v>11506.803441666952</v>
      </c>
      <c r="I9" s="455">
        <f>transport!I14</f>
        <v>0</v>
      </c>
      <c r="J9" s="455">
        <f>transport!J14</f>
        <v>0</v>
      </c>
      <c r="K9" s="455">
        <f>transport!K14</f>
        <v>0</v>
      </c>
      <c r="L9" s="455">
        <f>transport!L14</f>
        <v>0</v>
      </c>
      <c r="M9" s="455">
        <f>transport!M14</f>
        <v>3595.486481925836</v>
      </c>
      <c r="N9" s="455">
        <f>transport!N14</f>
        <v>0</v>
      </c>
      <c r="O9" s="455">
        <f>transport!O14</f>
        <v>0</v>
      </c>
      <c r="P9" s="455">
        <f>transport!P14</f>
        <v>0</v>
      </c>
      <c r="Q9" s="454">
        <f>SUM(B9:P9)</f>
        <v>71051.374104712551</v>
      </c>
    </row>
    <row r="10" spans="1:17">
      <c r="A10" s="450" t="s">
        <v>550</v>
      </c>
      <c r="B10" s="451">
        <f>transport!B54</f>
        <v>0</v>
      </c>
      <c r="C10" s="451">
        <f>transport!C54</f>
        <v>0</v>
      </c>
      <c r="D10" s="451">
        <f>transport!D54</f>
        <v>0</v>
      </c>
      <c r="E10" s="451">
        <f>transport!E54</f>
        <v>0</v>
      </c>
      <c r="F10" s="451">
        <f>transport!F54</f>
        <v>0</v>
      </c>
      <c r="G10" s="451">
        <f>transport!G54</f>
        <v>813.16563512112884</v>
      </c>
      <c r="H10" s="451">
        <f>transport!H54</f>
        <v>0</v>
      </c>
      <c r="I10" s="451">
        <f>transport!I54</f>
        <v>0</v>
      </c>
      <c r="J10" s="451">
        <f>transport!J54</f>
        <v>0</v>
      </c>
      <c r="K10" s="451">
        <f>transport!K54</f>
        <v>0</v>
      </c>
      <c r="L10" s="451">
        <f>transport!L54</f>
        <v>0</v>
      </c>
      <c r="M10" s="451">
        <f>transport!M54</f>
        <v>46.180729576690979</v>
      </c>
      <c r="N10" s="451">
        <f>transport!N54</f>
        <v>0</v>
      </c>
      <c r="O10" s="451">
        <f>transport!O54</f>
        <v>0</v>
      </c>
      <c r="P10" s="452">
        <f>transport!P54</f>
        <v>0</v>
      </c>
      <c r="Q10" s="450">
        <f t="shared" si="0"/>
        <v>859.34636469781981</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718.84712468598707</v>
      </c>
      <c r="C14" s="458"/>
      <c r="D14" s="458">
        <f>'SEAP template'!E25</f>
        <v>953.04396715309292</v>
      </c>
      <c r="E14" s="458"/>
      <c r="F14" s="458"/>
      <c r="G14" s="458"/>
      <c r="H14" s="458"/>
      <c r="I14" s="458"/>
      <c r="J14" s="458"/>
      <c r="K14" s="458"/>
      <c r="L14" s="458"/>
      <c r="M14" s="458"/>
      <c r="N14" s="458"/>
      <c r="O14" s="458"/>
      <c r="P14" s="459"/>
      <c r="Q14" s="450">
        <f t="shared" si="0"/>
        <v>1671.89109183908</v>
      </c>
    </row>
    <row r="15" spans="1:17" s="460" customFormat="1">
      <c r="A15" s="1005" t="s">
        <v>554</v>
      </c>
      <c r="B15" s="953">
        <f ca="1">SUM(B4:B14)</f>
        <v>78776.035453854827</v>
      </c>
      <c r="C15" s="953">
        <f t="shared" ref="C15:Q15" ca="1" si="1">SUM(C4:C14)</f>
        <v>0</v>
      </c>
      <c r="D15" s="953">
        <f t="shared" ca="1" si="1"/>
        <v>52269.976825261008</v>
      </c>
      <c r="E15" s="953">
        <f t="shared" si="1"/>
        <v>9631.6644473672568</v>
      </c>
      <c r="F15" s="953">
        <f t="shared" ca="1" si="1"/>
        <v>56905.426591998308</v>
      </c>
      <c r="G15" s="953">
        <f t="shared" si="1"/>
        <v>56554.700030737011</v>
      </c>
      <c r="H15" s="953">
        <f t="shared" si="1"/>
        <v>11506.803441666952</v>
      </c>
      <c r="I15" s="953">
        <f t="shared" si="1"/>
        <v>0</v>
      </c>
      <c r="J15" s="953">
        <f t="shared" si="1"/>
        <v>362.16142571896853</v>
      </c>
      <c r="K15" s="953">
        <f t="shared" si="1"/>
        <v>0</v>
      </c>
      <c r="L15" s="953">
        <f t="shared" ca="1" si="1"/>
        <v>0</v>
      </c>
      <c r="M15" s="953">
        <f t="shared" si="1"/>
        <v>3641.6672115025272</v>
      </c>
      <c r="N15" s="953">
        <f t="shared" ca="1" si="1"/>
        <v>16315.399853730343</v>
      </c>
      <c r="O15" s="953">
        <f t="shared" si="1"/>
        <v>298.59666666666669</v>
      </c>
      <c r="P15" s="953">
        <f t="shared" si="1"/>
        <v>915.19999999999993</v>
      </c>
      <c r="Q15" s="953">
        <f t="shared" ca="1" si="1"/>
        <v>287177.6319485039</v>
      </c>
    </row>
    <row r="17" spans="1:17">
      <c r="A17" s="461" t="s">
        <v>555</v>
      </c>
      <c r="B17" s="760">
        <f ca="1">huishoudens!B10</f>
        <v>0.19169863092567113</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5438.9176124545011</v>
      </c>
      <c r="C22" s="451">
        <f t="shared" ref="C22:C32" ca="1" si="3">C4*$C$17</f>
        <v>0</v>
      </c>
      <c r="D22" s="451">
        <f t="shared" ref="D22:D32" si="4">D4*$D$17</f>
        <v>6424.379230855684</v>
      </c>
      <c r="E22" s="451">
        <f t="shared" ref="E22:E32" si="5">E4*$E$17</f>
        <v>1588.7575064084429</v>
      </c>
      <c r="F22" s="451">
        <f t="shared" ref="F22:F32" si="6">F4*$F$17</f>
        <v>10395.462267467918</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23847.516617186546</v>
      </c>
    </row>
    <row r="23" spans="1:17">
      <c r="A23" s="450" t="s">
        <v>155</v>
      </c>
      <c r="B23" s="451">
        <f t="shared" ca="1" si="2"/>
        <v>2441.3144216389169</v>
      </c>
      <c r="C23" s="451">
        <f t="shared" ca="1" si="3"/>
        <v>0</v>
      </c>
      <c r="D23" s="451">
        <f t="shared" ca="1" si="4"/>
        <v>1933.3920015309541</v>
      </c>
      <c r="E23" s="451">
        <f t="shared" si="5"/>
        <v>54.659998064491482</v>
      </c>
      <c r="F23" s="451">
        <f t="shared" ca="1" si="6"/>
        <v>592.94100213701824</v>
      </c>
      <c r="G23" s="451">
        <f t="shared" si="7"/>
        <v>0</v>
      </c>
      <c r="H23" s="451">
        <f t="shared" si="8"/>
        <v>0</v>
      </c>
      <c r="I23" s="451">
        <f t="shared" si="9"/>
        <v>0</v>
      </c>
      <c r="J23" s="451">
        <f t="shared" si="10"/>
        <v>5.3121092852287007E-3</v>
      </c>
      <c r="K23" s="451">
        <f t="shared" si="11"/>
        <v>0</v>
      </c>
      <c r="L23" s="451">
        <f t="shared" ca="1" si="12"/>
        <v>0</v>
      </c>
      <c r="M23" s="451">
        <f t="shared" si="13"/>
        <v>0</v>
      </c>
      <c r="N23" s="451">
        <f t="shared" ca="1" si="14"/>
        <v>0</v>
      </c>
      <c r="O23" s="451">
        <f t="shared" si="15"/>
        <v>0</v>
      </c>
      <c r="P23" s="452">
        <f t="shared" si="16"/>
        <v>0</v>
      </c>
      <c r="Q23" s="450">
        <f t="shared" ref="Q23:Q32" ca="1" si="17">SUM(B23:P23)</f>
        <v>5022.3127354806666</v>
      </c>
    </row>
    <row r="24" spans="1:17">
      <c r="A24" s="450" t="s">
        <v>193</v>
      </c>
      <c r="B24" s="451">
        <f t="shared" ca="1" si="2"/>
        <v>252.67834882038898</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252.67834882038898</v>
      </c>
    </row>
    <row r="25" spans="1:17">
      <c r="A25" s="450" t="s">
        <v>111</v>
      </c>
      <c r="B25" s="451">
        <f t="shared" ca="1" si="2"/>
        <v>364.5708621535361</v>
      </c>
      <c r="C25" s="451">
        <f t="shared" ca="1" si="3"/>
        <v>0</v>
      </c>
      <c r="D25" s="451">
        <f t="shared" si="4"/>
        <v>15.190137610481173</v>
      </c>
      <c r="E25" s="451">
        <f t="shared" si="5"/>
        <v>12.689178858915781</v>
      </c>
      <c r="F25" s="451">
        <f t="shared" si="6"/>
        <v>2115.3772907713515</v>
      </c>
      <c r="G25" s="451">
        <f t="shared" si="7"/>
        <v>0</v>
      </c>
      <c r="H25" s="451">
        <f t="shared" si="8"/>
        <v>0</v>
      </c>
      <c r="I25" s="451">
        <f t="shared" si="9"/>
        <v>0</v>
      </c>
      <c r="J25" s="451">
        <f t="shared" si="10"/>
        <v>97.537185849622546</v>
      </c>
      <c r="K25" s="451">
        <f t="shared" si="11"/>
        <v>0</v>
      </c>
      <c r="L25" s="451">
        <f t="shared" si="12"/>
        <v>0</v>
      </c>
      <c r="M25" s="451">
        <f t="shared" si="13"/>
        <v>0</v>
      </c>
      <c r="N25" s="451">
        <f t="shared" si="14"/>
        <v>0</v>
      </c>
      <c r="O25" s="451">
        <f t="shared" si="15"/>
        <v>0</v>
      </c>
      <c r="P25" s="452">
        <f t="shared" si="16"/>
        <v>0</v>
      </c>
      <c r="Q25" s="450">
        <f t="shared" ca="1" si="17"/>
        <v>2605.3646552439068</v>
      </c>
    </row>
    <row r="26" spans="1:17">
      <c r="A26" s="450" t="s">
        <v>634</v>
      </c>
      <c r="B26" s="451">
        <f t="shared" ca="1" si="2"/>
        <v>6461.3524787058068</v>
      </c>
      <c r="C26" s="451">
        <f t="shared" ca="1" si="3"/>
        <v>0</v>
      </c>
      <c r="D26" s="451">
        <f t="shared" si="4"/>
        <v>1979.2874044224106</v>
      </c>
      <c r="E26" s="451">
        <f t="shared" si="5"/>
        <v>504.11705331244019</v>
      </c>
      <c r="F26" s="451">
        <f t="shared" si="6"/>
        <v>2089.9683396872606</v>
      </c>
      <c r="G26" s="451">
        <f t="shared" si="7"/>
        <v>0</v>
      </c>
      <c r="H26" s="451">
        <f t="shared" si="8"/>
        <v>0</v>
      </c>
      <c r="I26" s="451">
        <f t="shared" si="9"/>
        <v>0</v>
      </c>
      <c r="J26" s="451">
        <f t="shared" si="10"/>
        <v>30.662646745607081</v>
      </c>
      <c r="K26" s="451">
        <f t="shared" si="11"/>
        <v>0</v>
      </c>
      <c r="L26" s="451">
        <f t="shared" si="12"/>
        <v>0</v>
      </c>
      <c r="M26" s="451">
        <f t="shared" si="13"/>
        <v>0</v>
      </c>
      <c r="N26" s="451">
        <f t="shared" si="14"/>
        <v>0</v>
      </c>
      <c r="O26" s="451">
        <f t="shared" si="15"/>
        <v>0</v>
      </c>
      <c r="P26" s="452">
        <f t="shared" si="16"/>
        <v>0</v>
      </c>
      <c r="Q26" s="450">
        <f t="shared" ca="1" si="17"/>
        <v>11065.387922873524</v>
      </c>
    </row>
    <row r="27" spans="1:17" s="456" customFormat="1">
      <c r="A27" s="454" t="s">
        <v>560</v>
      </c>
      <c r="B27" s="754">
        <f t="shared" ca="1" si="2"/>
        <v>4.6224128357955738</v>
      </c>
      <c r="C27" s="455">
        <f t="shared" ca="1" si="3"/>
        <v>0</v>
      </c>
      <c r="D27" s="455">
        <f t="shared" si="4"/>
        <v>13.771662918269202</v>
      </c>
      <c r="E27" s="455">
        <f t="shared" si="5"/>
        <v>26.16409290807696</v>
      </c>
      <c r="F27" s="455">
        <f t="shared" si="6"/>
        <v>0</v>
      </c>
      <c r="G27" s="455">
        <f t="shared" si="7"/>
        <v>14882.989683629441</v>
      </c>
      <c r="H27" s="455">
        <f t="shared" si="8"/>
        <v>2865.1940569750714</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17792.741909266653</v>
      </c>
    </row>
    <row r="28" spans="1:17">
      <c r="A28" s="450" t="s">
        <v>550</v>
      </c>
      <c r="B28" s="451">
        <f t="shared" ca="1" si="2"/>
        <v>0</v>
      </c>
      <c r="C28" s="451">
        <f t="shared" ca="1" si="3"/>
        <v>0</v>
      </c>
      <c r="D28" s="451">
        <f t="shared" si="4"/>
        <v>0</v>
      </c>
      <c r="E28" s="451">
        <f t="shared" si="5"/>
        <v>0</v>
      </c>
      <c r="F28" s="451">
        <f t="shared" si="6"/>
        <v>0</v>
      </c>
      <c r="G28" s="451">
        <f t="shared" si="7"/>
        <v>217.11522457734142</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217.11522457734142</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137.80200964715894</v>
      </c>
      <c r="C32" s="451">
        <f t="shared" ca="1" si="3"/>
        <v>0</v>
      </c>
      <c r="D32" s="451">
        <f t="shared" si="4"/>
        <v>192.51488136492478</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330.31689101208372</v>
      </c>
    </row>
    <row r="33" spans="1:17" s="460" customFormat="1">
      <c r="A33" s="1005" t="s">
        <v>554</v>
      </c>
      <c r="B33" s="953">
        <f ca="1">SUM(B22:B32)</f>
        <v>15101.258146256105</v>
      </c>
      <c r="C33" s="953">
        <f t="shared" ref="C33:Q33" ca="1" si="18">SUM(C22:C32)</f>
        <v>0</v>
      </c>
      <c r="D33" s="953">
        <f t="shared" ca="1" si="18"/>
        <v>10558.535318702723</v>
      </c>
      <c r="E33" s="953">
        <f t="shared" si="18"/>
        <v>2186.3878295523668</v>
      </c>
      <c r="F33" s="953">
        <f t="shared" ca="1" si="18"/>
        <v>15193.748900063549</v>
      </c>
      <c r="G33" s="953">
        <f t="shared" si="18"/>
        <v>15100.104908206782</v>
      </c>
      <c r="H33" s="953">
        <f t="shared" si="18"/>
        <v>2865.1940569750714</v>
      </c>
      <c r="I33" s="953">
        <f t="shared" si="18"/>
        <v>0</v>
      </c>
      <c r="J33" s="953">
        <f t="shared" si="18"/>
        <v>128.20514470451485</v>
      </c>
      <c r="K33" s="953">
        <f t="shared" si="18"/>
        <v>0</v>
      </c>
      <c r="L33" s="953">
        <f t="shared" ca="1" si="18"/>
        <v>0</v>
      </c>
      <c r="M33" s="953">
        <f t="shared" si="18"/>
        <v>0</v>
      </c>
      <c r="N33" s="953">
        <f t="shared" ca="1" si="18"/>
        <v>0</v>
      </c>
      <c r="O33" s="953">
        <f t="shared" si="18"/>
        <v>0</v>
      </c>
      <c r="P33" s="953">
        <f t="shared" si="18"/>
        <v>0</v>
      </c>
      <c r="Q33" s="953">
        <f t="shared" ca="1" si="18"/>
        <v>61133.434304461109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10444.550629166588</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0</v>
      </c>
      <c r="D8" s="1022">
        <f>'SEAP template'!D76</f>
        <v>0</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0</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10444.550629166588</v>
      </c>
      <c r="C10" s="1026">
        <f>SUM(C4:C9)</f>
        <v>0</v>
      </c>
      <c r="D10" s="1026">
        <f t="shared" ref="D10:H10" si="0">SUM(D8:D9)</f>
        <v>0</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0</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0.19169863092567113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0</v>
      </c>
      <c r="D17" s="1023">
        <f>'SEAP template'!D87</f>
        <v>0</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0</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0</v>
      </c>
      <c r="D20" s="1026">
        <f t="shared" ref="D20:H20" si="2">SUM(D17:D19)</f>
        <v>0</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0</v>
      </c>
    </row>
    <row r="22" spans="1:16">
      <c r="A22" s="461" t="s">
        <v>848</v>
      </c>
      <c r="B22" s="760" t="s">
        <v>842</v>
      </c>
      <c r="C22" s="760">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0.19169863092567113</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1</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1.5633333333333335</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0.19169863092567113</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0.19169863092567113</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5877</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2689.1</v>
      </c>
      <c r="C14" s="330"/>
      <c r="D14" s="330"/>
      <c r="E14" s="330"/>
      <c r="F14" s="330"/>
    </row>
    <row r="15" spans="1:6">
      <c r="A15" s="1293" t="s">
        <v>183</v>
      </c>
      <c r="B15" s="1294">
        <v>33</v>
      </c>
      <c r="C15" s="330"/>
      <c r="D15" s="330"/>
      <c r="E15" s="330"/>
      <c r="F15" s="330"/>
    </row>
    <row r="16" spans="1:6">
      <c r="A16" s="1293" t="s">
        <v>6</v>
      </c>
      <c r="B16" s="1294">
        <v>1045</v>
      </c>
      <c r="C16" s="330"/>
      <c r="D16" s="330"/>
      <c r="E16" s="330"/>
      <c r="F16" s="330"/>
    </row>
    <row r="17" spans="1:6">
      <c r="A17" s="1293" t="s">
        <v>7</v>
      </c>
      <c r="B17" s="1294">
        <v>834</v>
      </c>
      <c r="C17" s="330"/>
      <c r="D17" s="330"/>
      <c r="E17" s="330"/>
      <c r="F17" s="330"/>
    </row>
    <row r="18" spans="1:6">
      <c r="A18" s="1293" t="s">
        <v>8</v>
      </c>
      <c r="B18" s="1294">
        <v>1179</v>
      </c>
      <c r="C18" s="330"/>
      <c r="D18" s="330"/>
      <c r="E18" s="330"/>
      <c r="F18" s="330"/>
    </row>
    <row r="19" spans="1:6">
      <c r="A19" s="1293" t="s">
        <v>9</v>
      </c>
      <c r="B19" s="1294">
        <v>1196</v>
      </c>
      <c r="C19" s="330"/>
      <c r="D19" s="330"/>
      <c r="E19" s="330"/>
      <c r="F19" s="330"/>
    </row>
    <row r="20" spans="1:6">
      <c r="A20" s="1293" t="s">
        <v>10</v>
      </c>
      <c r="B20" s="1294">
        <v>661</v>
      </c>
      <c r="C20" s="330"/>
      <c r="D20" s="330"/>
      <c r="E20" s="330"/>
      <c r="F20" s="330"/>
    </row>
    <row r="21" spans="1:6">
      <c r="A21" s="1293" t="s">
        <v>11</v>
      </c>
      <c r="B21" s="1294">
        <v>2576</v>
      </c>
      <c r="C21" s="330"/>
      <c r="D21" s="330"/>
      <c r="E21" s="330"/>
      <c r="F21" s="330"/>
    </row>
    <row r="22" spans="1:6">
      <c r="A22" s="1293" t="s">
        <v>12</v>
      </c>
      <c r="B22" s="1294">
        <v>11278</v>
      </c>
      <c r="C22" s="330"/>
      <c r="D22" s="330"/>
      <c r="E22" s="330"/>
      <c r="F22" s="330"/>
    </row>
    <row r="23" spans="1:6">
      <c r="A23" s="1293" t="s">
        <v>13</v>
      </c>
      <c r="B23" s="1294">
        <v>104</v>
      </c>
      <c r="C23" s="330"/>
      <c r="D23" s="330"/>
      <c r="E23" s="330"/>
      <c r="F23" s="330"/>
    </row>
    <row r="24" spans="1:6">
      <c r="A24" s="1293" t="s">
        <v>14</v>
      </c>
      <c r="B24" s="1294">
        <v>4</v>
      </c>
      <c r="C24" s="330"/>
      <c r="D24" s="330"/>
      <c r="E24" s="330"/>
      <c r="F24" s="330"/>
    </row>
    <row r="25" spans="1:6">
      <c r="A25" s="1293" t="s">
        <v>15</v>
      </c>
      <c r="B25" s="1294">
        <v>706</v>
      </c>
      <c r="C25" s="330"/>
      <c r="D25" s="330"/>
      <c r="E25" s="330"/>
      <c r="F25" s="330"/>
    </row>
    <row r="26" spans="1:6">
      <c r="A26" s="1293" t="s">
        <v>16</v>
      </c>
      <c r="B26" s="1294">
        <v>300</v>
      </c>
      <c r="C26" s="330"/>
      <c r="D26" s="330"/>
      <c r="E26" s="330"/>
      <c r="F26" s="330"/>
    </row>
    <row r="27" spans="1:6">
      <c r="A27" s="1293" t="s">
        <v>17</v>
      </c>
      <c r="B27" s="1294">
        <v>0</v>
      </c>
      <c r="C27" s="330"/>
      <c r="D27" s="330"/>
      <c r="E27" s="330"/>
      <c r="F27" s="330"/>
    </row>
    <row r="28" spans="1:6" s="43" customFormat="1">
      <c r="A28" s="1295" t="s">
        <v>18</v>
      </c>
      <c r="B28" s="1296">
        <v>199546</v>
      </c>
      <c r="C28" s="336"/>
      <c r="D28" s="336"/>
      <c r="E28" s="336"/>
      <c r="F28" s="336"/>
    </row>
    <row r="29" spans="1:6">
      <c r="A29" s="1295" t="s">
        <v>734</v>
      </c>
      <c r="B29" s="1296">
        <v>61</v>
      </c>
      <c r="C29" s="336"/>
      <c r="D29" s="336"/>
      <c r="E29" s="336"/>
      <c r="F29" s="336"/>
    </row>
    <row r="30" spans="1:6">
      <c r="A30" s="1288" t="s">
        <v>735</v>
      </c>
      <c r="B30" s="1297">
        <v>24</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25</v>
      </c>
      <c r="D36" s="1294">
        <v>2190823.69601392</v>
      </c>
      <c r="E36" s="1294">
        <v>69</v>
      </c>
      <c r="F36" s="1294">
        <v>661153.31711217004</v>
      </c>
    </row>
    <row r="37" spans="1:6">
      <c r="A37" s="1293" t="s">
        <v>24</v>
      </c>
      <c r="B37" s="1293" t="s">
        <v>27</v>
      </c>
      <c r="C37" s="1294">
        <v>0</v>
      </c>
      <c r="D37" s="1294">
        <v>0</v>
      </c>
      <c r="E37" s="1294">
        <v>0</v>
      </c>
      <c r="F37" s="1294">
        <v>0</v>
      </c>
    </row>
    <row r="38" spans="1:6">
      <c r="A38" s="1293" t="s">
        <v>24</v>
      </c>
      <c r="B38" s="1293" t="s">
        <v>28</v>
      </c>
      <c r="C38" s="1294">
        <v>1</v>
      </c>
      <c r="D38" s="1294">
        <v>32339.988094199001</v>
      </c>
      <c r="E38" s="1294">
        <v>2</v>
      </c>
      <c r="F38" s="1294">
        <v>2288.6291055276001</v>
      </c>
    </row>
    <row r="39" spans="1:6">
      <c r="A39" s="1293" t="s">
        <v>29</v>
      </c>
      <c r="B39" s="1293" t="s">
        <v>30</v>
      </c>
      <c r="C39" s="1294">
        <v>2326</v>
      </c>
      <c r="D39" s="1294">
        <v>35259265.608085901</v>
      </c>
      <c r="E39" s="1294">
        <v>5549</v>
      </c>
      <c r="F39" s="1294">
        <v>24740480.353741299</v>
      </c>
    </row>
    <row r="40" spans="1:6">
      <c r="A40" s="1293" t="s">
        <v>29</v>
      </c>
      <c r="B40" s="1293" t="s">
        <v>28</v>
      </c>
      <c r="C40" s="1294">
        <v>0</v>
      </c>
      <c r="D40" s="1294">
        <v>0</v>
      </c>
      <c r="E40" s="1294">
        <v>0</v>
      </c>
      <c r="F40" s="1294">
        <v>0</v>
      </c>
    </row>
    <row r="41" spans="1:6">
      <c r="A41" s="1293" t="s">
        <v>31</v>
      </c>
      <c r="B41" s="1293" t="s">
        <v>32</v>
      </c>
      <c r="C41" s="1294">
        <v>51</v>
      </c>
      <c r="D41" s="1294">
        <v>1729939.31821797</v>
      </c>
      <c r="E41" s="1294">
        <v>179</v>
      </c>
      <c r="F41" s="1294">
        <v>2959246.0294578499</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15</v>
      </c>
      <c r="F44" s="1294">
        <v>269424.26537176297</v>
      </c>
    </row>
    <row r="45" spans="1:6">
      <c r="A45" s="1293" t="s">
        <v>31</v>
      </c>
      <c r="B45" s="1293" t="s">
        <v>36</v>
      </c>
      <c r="C45" s="1294">
        <v>0</v>
      </c>
      <c r="D45" s="1294">
        <v>0</v>
      </c>
      <c r="E45" s="1294">
        <v>3</v>
      </c>
      <c r="F45" s="1294">
        <v>474258.93768784398</v>
      </c>
    </row>
    <row r="46" spans="1:6">
      <c r="A46" s="1293" t="s">
        <v>31</v>
      </c>
      <c r="B46" s="1293" t="s">
        <v>37</v>
      </c>
      <c r="C46" s="1294">
        <v>0</v>
      </c>
      <c r="D46" s="1294">
        <v>0</v>
      </c>
      <c r="E46" s="1294">
        <v>0</v>
      </c>
      <c r="F46" s="1294">
        <v>0</v>
      </c>
    </row>
    <row r="47" spans="1:6">
      <c r="A47" s="1293" t="s">
        <v>31</v>
      </c>
      <c r="B47" s="1293" t="s">
        <v>38</v>
      </c>
      <c r="C47" s="1294">
        <v>3</v>
      </c>
      <c r="D47" s="1294">
        <v>185444.65656875301</v>
      </c>
      <c r="E47" s="1294">
        <v>3</v>
      </c>
      <c r="F47" s="1294">
        <v>55571.076503201002</v>
      </c>
    </row>
    <row r="48" spans="1:6">
      <c r="A48" s="1293" t="s">
        <v>31</v>
      </c>
      <c r="B48" s="1293" t="s">
        <v>28</v>
      </c>
      <c r="C48" s="1294">
        <v>50</v>
      </c>
      <c r="D48" s="1294">
        <v>8374761.75165122</v>
      </c>
      <c r="E48" s="1294">
        <v>71</v>
      </c>
      <c r="F48" s="1294">
        <v>23974904.227025501</v>
      </c>
    </row>
    <row r="49" spans="1:6">
      <c r="A49" s="1293" t="s">
        <v>31</v>
      </c>
      <c r="B49" s="1293" t="s">
        <v>39</v>
      </c>
      <c r="C49" s="1294">
        <v>3</v>
      </c>
      <c r="D49" s="1294">
        <v>73237.643792252304</v>
      </c>
      <c r="E49" s="1294">
        <v>27</v>
      </c>
      <c r="F49" s="1294">
        <v>3511747.4541915702</v>
      </c>
    </row>
    <row r="50" spans="1:6">
      <c r="A50" s="1293" t="s">
        <v>31</v>
      </c>
      <c r="B50" s="1293" t="s">
        <v>40</v>
      </c>
      <c r="C50" s="1294">
        <v>3</v>
      </c>
      <c r="D50" s="1294">
        <v>499646.00575721601</v>
      </c>
      <c r="E50" s="1294">
        <v>11</v>
      </c>
      <c r="F50" s="1294">
        <v>2460631.1314535202</v>
      </c>
    </row>
    <row r="51" spans="1:6">
      <c r="A51" s="1293" t="s">
        <v>41</v>
      </c>
      <c r="B51" s="1293" t="s">
        <v>42</v>
      </c>
      <c r="C51" s="1294">
        <v>0</v>
      </c>
      <c r="D51" s="1294">
        <v>0</v>
      </c>
      <c r="E51" s="1294">
        <v>106</v>
      </c>
      <c r="F51" s="1294">
        <v>1678779.7802088701</v>
      </c>
    </row>
    <row r="52" spans="1:6">
      <c r="A52" s="1293" t="s">
        <v>41</v>
      </c>
      <c r="B52" s="1293" t="s">
        <v>28</v>
      </c>
      <c r="C52" s="1294">
        <v>5</v>
      </c>
      <c r="D52" s="1294">
        <v>83368.848161846996</v>
      </c>
      <c r="E52" s="1294">
        <v>11</v>
      </c>
      <c r="F52" s="1294">
        <v>223011.903921071</v>
      </c>
    </row>
    <row r="53" spans="1:6">
      <c r="A53" s="1293" t="s">
        <v>43</v>
      </c>
      <c r="B53" s="1293" t="s">
        <v>44</v>
      </c>
      <c r="C53" s="1294">
        <v>62</v>
      </c>
      <c r="D53" s="1294">
        <v>953043.96715309296</v>
      </c>
      <c r="E53" s="1294">
        <v>208</v>
      </c>
      <c r="F53" s="1294">
        <v>718847.12468598702</v>
      </c>
    </row>
    <row r="54" spans="1:6">
      <c r="A54" s="1293" t="s">
        <v>45</v>
      </c>
      <c r="B54" s="1293" t="s">
        <v>46</v>
      </c>
      <c r="C54" s="1294">
        <v>0</v>
      </c>
      <c r="D54" s="1294">
        <v>0</v>
      </c>
      <c r="E54" s="1294">
        <v>1</v>
      </c>
      <c r="F54" s="1294">
        <v>1318102</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19</v>
      </c>
      <c r="D57" s="1294">
        <v>337078.15441648202</v>
      </c>
      <c r="E57" s="1294">
        <v>58</v>
      </c>
      <c r="F57" s="1294">
        <v>374461.68901092903</v>
      </c>
    </row>
    <row r="58" spans="1:6">
      <c r="A58" s="1293" t="s">
        <v>48</v>
      </c>
      <c r="B58" s="1293" t="s">
        <v>50</v>
      </c>
      <c r="C58" s="1294">
        <v>9</v>
      </c>
      <c r="D58" s="1294">
        <v>125751.581047473</v>
      </c>
      <c r="E58" s="1294">
        <v>23</v>
      </c>
      <c r="F58" s="1294">
        <v>137938.580482277</v>
      </c>
    </row>
    <row r="59" spans="1:6">
      <c r="A59" s="1293" t="s">
        <v>48</v>
      </c>
      <c r="B59" s="1293" t="s">
        <v>51</v>
      </c>
      <c r="C59" s="1294">
        <v>21</v>
      </c>
      <c r="D59" s="1294">
        <v>610062.26505599695</v>
      </c>
      <c r="E59" s="1294">
        <v>133</v>
      </c>
      <c r="F59" s="1294">
        <v>5173055.0983987404</v>
      </c>
    </row>
    <row r="60" spans="1:6">
      <c r="A60" s="1293" t="s">
        <v>48</v>
      </c>
      <c r="B60" s="1293" t="s">
        <v>52</v>
      </c>
      <c r="C60" s="1294">
        <v>24</v>
      </c>
      <c r="D60" s="1294">
        <v>787670.28294270404</v>
      </c>
      <c r="E60" s="1294">
        <v>55</v>
      </c>
      <c r="F60" s="1294">
        <v>985248.147377613</v>
      </c>
    </row>
    <row r="61" spans="1:6">
      <c r="A61" s="1293" t="s">
        <v>48</v>
      </c>
      <c r="B61" s="1293" t="s">
        <v>53</v>
      </c>
      <c r="C61" s="1294">
        <v>71</v>
      </c>
      <c r="D61" s="1294">
        <v>3629146.71390035</v>
      </c>
      <c r="E61" s="1294">
        <v>224</v>
      </c>
      <c r="F61" s="1294">
        <v>3004547.3697573701</v>
      </c>
    </row>
    <row r="62" spans="1:6">
      <c r="A62" s="1293" t="s">
        <v>48</v>
      </c>
      <c r="B62" s="1293" t="s">
        <v>54</v>
      </c>
      <c r="C62" s="1294">
        <v>6</v>
      </c>
      <c r="D62" s="1294">
        <v>1315397.8149089899</v>
      </c>
      <c r="E62" s="1294">
        <v>13</v>
      </c>
      <c r="F62" s="1294">
        <v>219615.88782511299</v>
      </c>
    </row>
    <row r="63" spans="1:6">
      <c r="A63" s="1293" t="s">
        <v>48</v>
      </c>
      <c r="B63" s="1293" t="s">
        <v>28</v>
      </c>
      <c r="C63" s="1294">
        <v>119</v>
      </c>
      <c r="D63" s="1294">
        <v>3806032.3588271802</v>
      </c>
      <c r="E63" s="1294">
        <v>166</v>
      </c>
      <c r="F63" s="1294">
        <v>2840302.01708839</v>
      </c>
    </row>
    <row r="64" spans="1:6">
      <c r="A64" s="1293" t="s">
        <v>55</v>
      </c>
      <c r="B64" s="1293" t="s">
        <v>56</v>
      </c>
      <c r="C64" s="1294">
        <v>0</v>
      </c>
      <c r="D64" s="1294">
        <v>0</v>
      </c>
      <c r="E64" s="1294">
        <v>0</v>
      </c>
      <c r="F64" s="1294">
        <v>0</v>
      </c>
    </row>
    <row r="65" spans="1:6">
      <c r="A65" s="1293" t="s">
        <v>55</v>
      </c>
      <c r="B65" s="1293" t="s">
        <v>28</v>
      </c>
      <c r="C65" s="1294">
        <v>1</v>
      </c>
      <c r="D65" s="1294">
        <v>168892.28907371699</v>
      </c>
      <c r="E65" s="1294">
        <v>5</v>
      </c>
      <c r="F65" s="1294">
        <v>16182.0778721141</v>
      </c>
    </row>
    <row r="66" spans="1:6">
      <c r="A66" s="1293" t="s">
        <v>55</v>
      </c>
      <c r="B66" s="1293" t="s">
        <v>57</v>
      </c>
      <c r="C66" s="1294">
        <v>0</v>
      </c>
      <c r="D66" s="1294">
        <v>0</v>
      </c>
      <c r="E66" s="1294">
        <v>8</v>
      </c>
      <c r="F66" s="1294">
        <v>18106.117985990801</v>
      </c>
    </row>
    <row r="67" spans="1:6">
      <c r="A67" s="1295" t="s">
        <v>55</v>
      </c>
      <c r="B67" s="1295" t="s">
        <v>58</v>
      </c>
      <c r="C67" s="1294">
        <v>0</v>
      </c>
      <c r="D67" s="1294">
        <v>0</v>
      </c>
      <c r="E67" s="1294">
        <v>0</v>
      </c>
      <c r="F67" s="1294">
        <v>0</v>
      </c>
    </row>
    <row r="68" spans="1:6">
      <c r="A68" s="1288" t="s">
        <v>55</v>
      </c>
      <c r="B68" s="1288" t="s">
        <v>59</v>
      </c>
      <c r="C68" s="1297">
        <v>0</v>
      </c>
      <c r="D68" s="1297">
        <v>0</v>
      </c>
      <c r="E68" s="1297">
        <v>6</v>
      </c>
      <c r="F68" s="1297">
        <v>135975.815398092</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57383572</v>
      </c>
      <c r="E73" s="449"/>
      <c r="F73" s="330"/>
    </row>
    <row r="74" spans="1:6">
      <c r="A74" s="1293" t="s">
        <v>63</v>
      </c>
      <c r="B74" s="1293" t="s">
        <v>656</v>
      </c>
      <c r="C74" s="1307" t="s">
        <v>658</v>
      </c>
      <c r="D74" s="1308">
        <v>6741217.5</v>
      </c>
      <c r="E74" s="449"/>
      <c r="F74" s="330"/>
    </row>
    <row r="75" spans="1:6">
      <c r="A75" s="1293" t="s">
        <v>64</v>
      </c>
      <c r="B75" s="1293" t="s">
        <v>655</v>
      </c>
      <c r="C75" s="1307" t="s">
        <v>659</v>
      </c>
      <c r="D75" s="1308">
        <v>14716708</v>
      </c>
      <c r="E75" s="449"/>
      <c r="F75" s="330"/>
    </row>
    <row r="76" spans="1:6">
      <c r="A76" s="1293" t="s">
        <v>64</v>
      </c>
      <c r="B76" s="1293" t="s">
        <v>656</v>
      </c>
      <c r="C76" s="1307" t="s">
        <v>660</v>
      </c>
      <c r="D76" s="1308">
        <v>1025454.5</v>
      </c>
      <c r="E76" s="449"/>
      <c r="F76" s="330"/>
    </row>
    <row r="77" spans="1:6">
      <c r="A77" s="1293" t="s">
        <v>65</v>
      </c>
      <c r="B77" s="1293" t="s">
        <v>655</v>
      </c>
      <c r="C77" s="1307" t="s">
        <v>661</v>
      </c>
      <c r="D77" s="1308">
        <v>0</v>
      </c>
      <c r="E77" s="449"/>
      <c r="F77" s="330"/>
    </row>
    <row r="78" spans="1:6">
      <c r="A78" s="1288" t="s">
        <v>65</v>
      </c>
      <c r="B78" s="1288" t="s">
        <v>656</v>
      </c>
      <c r="C78" s="1288" t="s">
        <v>662</v>
      </c>
      <c r="D78" s="1309">
        <v>0</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234371</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3631.7494644433536</v>
      </c>
      <c r="C91" s="330"/>
      <c r="D91" s="330"/>
      <c r="E91" s="330"/>
      <c r="F91" s="330"/>
    </row>
    <row r="92" spans="1:6">
      <c r="A92" s="1288" t="s">
        <v>68</v>
      </c>
      <c r="B92" s="1289">
        <v>6812.8011647232352</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611</v>
      </c>
      <c r="C97" s="330"/>
      <c r="D97" s="330"/>
      <c r="E97" s="330"/>
      <c r="F97" s="330"/>
    </row>
    <row r="98" spans="1:6">
      <c r="A98" s="1293" t="s">
        <v>71</v>
      </c>
      <c r="B98" s="1294">
        <v>0</v>
      </c>
      <c r="C98" s="330"/>
      <c r="D98" s="330"/>
      <c r="E98" s="330"/>
      <c r="F98" s="330"/>
    </row>
    <row r="99" spans="1:6">
      <c r="A99" s="1293" t="s">
        <v>72</v>
      </c>
      <c r="B99" s="1294">
        <v>66</v>
      </c>
      <c r="C99" s="330"/>
      <c r="D99" s="330"/>
      <c r="E99" s="330"/>
      <c r="F99" s="330"/>
    </row>
    <row r="100" spans="1:6">
      <c r="A100" s="1293" t="s">
        <v>73</v>
      </c>
      <c r="B100" s="1294">
        <v>660</v>
      </c>
      <c r="C100" s="330"/>
      <c r="D100" s="330"/>
      <c r="E100" s="330"/>
      <c r="F100" s="330"/>
    </row>
    <row r="101" spans="1:6">
      <c r="A101" s="1293" t="s">
        <v>74</v>
      </c>
      <c r="B101" s="1294">
        <v>91</v>
      </c>
      <c r="C101" s="330"/>
      <c r="D101" s="330"/>
      <c r="E101" s="330"/>
      <c r="F101" s="330"/>
    </row>
    <row r="102" spans="1:6">
      <c r="A102" s="1293" t="s">
        <v>75</v>
      </c>
      <c r="B102" s="1294">
        <v>103</v>
      </c>
      <c r="C102" s="330"/>
      <c r="D102" s="330"/>
      <c r="E102" s="330"/>
      <c r="F102" s="330"/>
    </row>
    <row r="103" spans="1:6">
      <c r="A103" s="1293" t="s">
        <v>76</v>
      </c>
      <c r="B103" s="1294">
        <v>169</v>
      </c>
      <c r="C103" s="330"/>
      <c r="D103" s="330"/>
      <c r="E103" s="330"/>
      <c r="F103" s="330"/>
    </row>
    <row r="104" spans="1:6">
      <c r="A104" s="1293" t="s">
        <v>77</v>
      </c>
      <c r="B104" s="1294">
        <v>3410</v>
      </c>
      <c r="C104" s="330"/>
      <c r="D104" s="330"/>
      <c r="E104" s="330"/>
      <c r="F104" s="330"/>
    </row>
    <row r="105" spans="1:6">
      <c r="A105" s="1288" t="s">
        <v>78</v>
      </c>
      <c r="B105" s="1297">
        <v>3</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1</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21</v>
      </c>
      <c r="C123" s="1294">
        <v>26</v>
      </c>
      <c r="D123" s="330"/>
      <c r="E123" s="330"/>
      <c r="F123" s="330"/>
    </row>
    <row r="124" spans="1:6" s="43" customFormat="1">
      <c r="A124" s="1295" t="s">
        <v>88</v>
      </c>
      <c r="B124" s="1316">
        <v>0</v>
      </c>
      <c r="C124" s="1316">
        <v>0</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164</v>
      </c>
      <c r="C129" s="330"/>
      <c r="D129" s="330"/>
      <c r="E129" s="330"/>
      <c r="F129" s="330"/>
    </row>
    <row r="130" spans="1:6">
      <c r="A130" s="1293" t="s">
        <v>294</v>
      </c>
      <c r="B130" s="1294">
        <v>1</v>
      </c>
      <c r="C130" s="330"/>
      <c r="D130" s="330"/>
      <c r="E130" s="330"/>
      <c r="F130" s="330"/>
    </row>
    <row r="131" spans="1:6">
      <c r="A131" s="1293" t="s">
        <v>295</v>
      </c>
      <c r="B131" s="1294">
        <v>2</v>
      </c>
      <c r="C131" s="330"/>
      <c r="D131" s="330"/>
      <c r="E131" s="330"/>
      <c r="F131" s="330"/>
    </row>
    <row r="132" spans="1:6">
      <c r="A132" s="1288" t="s">
        <v>296</v>
      </c>
      <c r="B132" s="1289">
        <v>25</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78776.035453854856</v>
      </c>
      <c r="C3" s="43" t="s">
        <v>169</v>
      </c>
      <c r="D3" s="43"/>
      <c r="E3" s="154"/>
      <c r="F3" s="43"/>
      <c r="G3" s="43"/>
      <c r="H3" s="43"/>
      <c r="I3" s="43"/>
      <c r="J3" s="43"/>
      <c r="K3" s="96"/>
    </row>
    <row r="4" spans="1:11">
      <c r="A4" s="358" t="s">
        <v>170</v>
      </c>
      <c r="B4" s="49">
        <f>IF(ISERROR('SEAP template'!B78+'SEAP template'!C78),0,'SEAP template'!B78+'SEAP template'!C78)</f>
        <v>10444.550629166588</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0</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0.19169863092567113</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1318.1020000000001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1318.1020000000001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0.19169863092567113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252.67834882038898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24740.480353741299</v>
      </c>
      <c r="C5" s="17">
        <f>IF(ISERROR('Eigen informatie GS &amp; warmtenet'!B57),0,'Eigen informatie GS &amp; warmtenet'!B57)</f>
        <v>0</v>
      </c>
      <c r="D5" s="30">
        <f>(SUM(HH_hh_gas_kWh,HH_rest_gas_kWh)/1000)*0.902</f>
        <v>31803.857578493484</v>
      </c>
      <c r="E5" s="17">
        <f>B46*B57</f>
        <v>6998.9317462926992</v>
      </c>
      <c r="F5" s="17">
        <f>B51*B62</f>
        <v>38934.315608494071</v>
      </c>
      <c r="G5" s="18"/>
      <c r="H5" s="17"/>
      <c r="I5" s="17"/>
      <c r="J5" s="17">
        <f>B50*B61+C50*C61</f>
        <v>0</v>
      </c>
      <c r="K5" s="17"/>
      <c r="L5" s="17"/>
      <c r="M5" s="17"/>
      <c r="N5" s="17">
        <f>B48*B59+C48*C59</f>
        <v>13300.421452298673</v>
      </c>
      <c r="O5" s="17">
        <f>B69*B70*B71</f>
        <v>297.03333333333336</v>
      </c>
      <c r="P5" s="17">
        <f>B77*B78*B79/1000-B77*B78*B79/1000/B80</f>
        <v>877.06666666666661</v>
      </c>
    </row>
    <row r="6" spans="1:16">
      <c r="A6" s="16" t="s">
        <v>620</v>
      </c>
      <c r="B6" s="762">
        <f>kWh_PV_kleiner_dan_10kW</f>
        <v>3631.7494644433536</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28372.229818184653</v>
      </c>
      <c r="C8" s="21">
        <f>C5</f>
        <v>0</v>
      </c>
      <c r="D8" s="21">
        <f>D5</f>
        <v>31803.857578493484</v>
      </c>
      <c r="E8" s="21">
        <f>E5</f>
        <v>6998.9317462926992</v>
      </c>
      <c r="F8" s="21">
        <f>F5</f>
        <v>38934.315608494071</v>
      </c>
      <c r="G8" s="21"/>
      <c r="H8" s="21"/>
      <c r="I8" s="21"/>
      <c r="J8" s="21">
        <f>J5</f>
        <v>0</v>
      </c>
      <c r="K8" s="21"/>
      <c r="L8" s="21">
        <f>L5</f>
        <v>0</v>
      </c>
      <c r="M8" s="21">
        <f>M5</f>
        <v>0</v>
      </c>
      <c r="N8" s="21">
        <f>N5</f>
        <v>13300.421452298673</v>
      </c>
      <c r="O8" s="21">
        <f>O5</f>
        <v>297.03333333333336</v>
      </c>
      <c r="P8" s="21">
        <f>P5</f>
        <v>877.06666666666661</v>
      </c>
    </row>
    <row r="9" spans="1:16">
      <c r="B9" s="19"/>
      <c r="C9" s="19"/>
      <c r="D9" s="258"/>
      <c r="E9" s="19"/>
      <c r="F9" s="19"/>
      <c r="G9" s="19"/>
      <c r="H9" s="19"/>
      <c r="I9" s="19"/>
      <c r="J9" s="19"/>
      <c r="K9" s="19"/>
      <c r="L9" s="19"/>
      <c r="M9" s="19"/>
      <c r="N9" s="19"/>
      <c r="O9" s="19"/>
      <c r="P9" s="19"/>
    </row>
    <row r="10" spans="1:16">
      <c r="A10" s="24" t="s">
        <v>213</v>
      </c>
      <c r="B10" s="25">
        <f ca="1">'EF ele_warmte'!B12</f>
        <v>0.19169863092567113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5438.9176124545011</v>
      </c>
      <c r="C12" s="23">
        <f ca="1">C10*C8</f>
        <v>0</v>
      </c>
      <c r="D12" s="23">
        <f>D8*D10</f>
        <v>6424.379230855684</v>
      </c>
      <c r="E12" s="23">
        <f>E10*E8</f>
        <v>1588.7575064084429</v>
      </c>
      <c r="F12" s="23">
        <f>F10*F8</f>
        <v>10395.462267467918</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611</v>
      </c>
      <c r="C18" s="166" t="s">
        <v>110</v>
      </c>
      <c r="D18" s="228"/>
      <c r="E18" s="15"/>
    </row>
    <row r="19" spans="1:7">
      <c r="A19" s="171" t="s">
        <v>71</v>
      </c>
      <c r="B19" s="37">
        <f>aantalw2001_ander</f>
        <v>0</v>
      </c>
      <c r="C19" s="166" t="s">
        <v>110</v>
      </c>
      <c r="D19" s="229"/>
      <c r="E19" s="15"/>
    </row>
    <row r="20" spans="1:7">
      <c r="A20" s="171" t="s">
        <v>72</v>
      </c>
      <c r="B20" s="37">
        <f>aantalw2001_propaan</f>
        <v>66</v>
      </c>
      <c r="C20" s="167">
        <f>IF(ISERROR(B20/SUM($B$20,$B$21,$B$22)*100),0,B20/SUM($B$20,$B$21,$B$22)*100)</f>
        <v>8.0783353733170138</v>
      </c>
      <c r="D20" s="229"/>
      <c r="E20" s="15"/>
    </row>
    <row r="21" spans="1:7">
      <c r="A21" s="171" t="s">
        <v>73</v>
      </c>
      <c r="B21" s="37">
        <f>aantalw2001_elektriciteit</f>
        <v>660</v>
      </c>
      <c r="C21" s="167">
        <f>IF(ISERROR(B21/SUM($B$20,$B$21,$B$22)*100),0,B21/SUM($B$20,$B$21,$B$22)*100)</f>
        <v>80.783353733170145</v>
      </c>
      <c r="D21" s="229"/>
      <c r="E21" s="15"/>
    </row>
    <row r="22" spans="1:7">
      <c r="A22" s="171" t="s">
        <v>74</v>
      </c>
      <c r="B22" s="37">
        <f>aantalw2001_hout</f>
        <v>91</v>
      </c>
      <c r="C22" s="167">
        <f>IF(ISERROR(B22/SUM($B$20,$B$21,$B$22)*100),0,B22/SUM($B$20,$B$21,$B$22)*100)</f>
        <v>11.138310893512852</v>
      </c>
      <c r="D22" s="229"/>
      <c r="E22" s="15"/>
    </row>
    <row r="23" spans="1:7">
      <c r="A23" s="171" t="s">
        <v>75</v>
      </c>
      <c r="B23" s="37">
        <f>aantalw2001_niet_gespec</f>
        <v>103</v>
      </c>
      <c r="C23" s="166" t="s">
        <v>110</v>
      </c>
      <c r="D23" s="228"/>
      <c r="E23" s="15"/>
    </row>
    <row r="24" spans="1:7">
      <c r="A24" s="171" t="s">
        <v>76</v>
      </c>
      <c r="B24" s="37">
        <f>aantalw2001_steenkool</f>
        <v>169</v>
      </c>
      <c r="C24" s="166" t="s">
        <v>110</v>
      </c>
      <c r="D24" s="229"/>
      <c r="E24" s="15"/>
    </row>
    <row r="25" spans="1:7">
      <c r="A25" s="171" t="s">
        <v>77</v>
      </c>
      <c r="B25" s="37">
        <f>aantalw2001_stookolie</f>
        <v>3410</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780</v>
      </c>
      <c r="B28" s="37">
        <f>aantalHuishoudens</f>
        <v>5877</v>
      </c>
      <c r="C28" s="36"/>
      <c r="D28" s="228"/>
    </row>
    <row r="29" spans="1:7" s="15" customFormat="1">
      <c r="A29" s="230" t="s">
        <v>781</v>
      </c>
      <c r="B29" s="37">
        <f>SUM(HH_hh_gas_aantal,HH_rest_gas_aantal)</f>
        <v>2326</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2326</v>
      </c>
      <c r="C32" s="167">
        <f>IF(ISERROR(B32/SUM($B$32,$B$34,$B$35,$B$36,$B$38,$B$39)*100),0,B32/SUM($B$32,$B$34,$B$35,$B$36,$B$38,$B$39)*100)</f>
        <v>39.890241811010121</v>
      </c>
      <c r="D32" s="233"/>
      <c r="G32" s="15"/>
    </row>
    <row r="33" spans="1:7">
      <c r="A33" s="171" t="s">
        <v>71</v>
      </c>
      <c r="B33" s="34" t="s">
        <v>110</v>
      </c>
      <c r="C33" s="167"/>
      <c r="D33" s="233"/>
      <c r="G33" s="15"/>
    </row>
    <row r="34" spans="1:7">
      <c r="A34" s="171" t="s">
        <v>72</v>
      </c>
      <c r="B34" s="33">
        <f>IF((($B$28-$B$32-$B$39-$B$77-$B$38)*C20/100)&lt;0,0,($B$28-$B$32-$B$39-$B$77-$B$38)*C20/100)</f>
        <v>132.36352509179926</v>
      </c>
      <c r="C34" s="167">
        <f>IF(ISERROR(B34/SUM($B$32,$B$34,$B$35,$B$36,$B$38,$B$39)*100),0,B34/SUM($B$32,$B$34,$B$35,$B$36,$B$38,$B$39)*100)</f>
        <v>2.2699970003738512</v>
      </c>
      <c r="D34" s="233"/>
      <c r="G34" s="15"/>
    </row>
    <row r="35" spans="1:7">
      <c r="A35" s="171" t="s">
        <v>73</v>
      </c>
      <c r="B35" s="33">
        <f>IF((($B$28-$B$32-$B$39-$B$77-$B$38)*C21/100)&lt;0,0,($B$28-$B$32-$B$39-$B$77-$B$38)*C21/100)</f>
        <v>1323.6352509179931</v>
      </c>
      <c r="C35" s="167">
        <f>IF(ISERROR(B35/SUM($B$32,$B$34,$B$35,$B$36,$B$38,$B$39)*100),0,B35/SUM($B$32,$B$34,$B$35,$B$36,$B$38,$B$39)*100)</f>
        <v>22.699970003738521</v>
      </c>
      <c r="D35" s="233"/>
      <c r="G35" s="15"/>
    </row>
    <row r="36" spans="1:7">
      <c r="A36" s="171" t="s">
        <v>74</v>
      </c>
      <c r="B36" s="33">
        <f>IF((($B$28-$B$32-$B$39-$B$77-$B$38)*C22/100)&lt;0,0,($B$28-$B$32-$B$39-$B$77-$B$38)*C22/100)</f>
        <v>182.5012239902081</v>
      </c>
      <c r="C36" s="167">
        <f>IF(ISERROR(B36/SUM($B$32,$B$34,$B$35,$B$36,$B$38,$B$39)*100),0,B36/SUM($B$32,$B$34,$B$35,$B$36,$B$38,$B$39)*100)</f>
        <v>3.1298443490003103</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1866.5</v>
      </c>
      <c r="C39" s="167">
        <f>IF(ISERROR(B39/SUM($B$32,$B$34,$B$35,$B$36,$B$38,$B$39)*100),0,B39/SUM($B$32,$B$34,$B$35,$B$36,$B$38,$B$39)*100)</f>
        <v>32.009946835877209</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2326</v>
      </c>
      <c r="C44" s="34" t="s">
        <v>110</v>
      </c>
      <c r="D44" s="174"/>
    </row>
    <row r="45" spans="1:7">
      <c r="A45" s="171" t="s">
        <v>71</v>
      </c>
      <c r="B45" s="33" t="str">
        <f t="shared" si="0"/>
        <v>-</v>
      </c>
      <c r="C45" s="34" t="s">
        <v>110</v>
      </c>
      <c r="D45" s="174"/>
    </row>
    <row r="46" spans="1:7">
      <c r="A46" s="171" t="s">
        <v>72</v>
      </c>
      <c r="B46" s="33">
        <f t="shared" si="0"/>
        <v>132.36352509179926</v>
      </c>
      <c r="C46" s="34" t="s">
        <v>110</v>
      </c>
      <c r="D46" s="174"/>
    </row>
    <row r="47" spans="1:7">
      <c r="A47" s="171" t="s">
        <v>73</v>
      </c>
      <c r="B47" s="33">
        <f t="shared" si="0"/>
        <v>1323.6352509179931</v>
      </c>
      <c r="C47" s="34" t="s">
        <v>110</v>
      </c>
      <c r="D47" s="174"/>
    </row>
    <row r="48" spans="1:7">
      <c r="A48" s="171" t="s">
        <v>74</v>
      </c>
      <c r="B48" s="33">
        <f t="shared" si="0"/>
        <v>182.5012239902081</v>
      </c>
      <c r="C48" s="33">
        <f>B48*10</f>
        <v>1825.0122399020811</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1866.5</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190</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46</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12735.168789940433</v>
      </c>
      <c r="C5" s="17">
        <f>IF(ISERROR('Eigen informatie GS &amp; warmtenet'!B58),0,'Eigen informatie GS &amp; warmtenet'!B58)</f>
        <v>0</v>
      </c>
      <c r="D5" s="30">
        <f>SUM(D6:D12)</f>
        <v>9571.2475323314557</v>
      </c>
      <c r="E5" s="17">
        <f>SUM(E6:E12)</f>
        <v>240.79294301538096</v>
      </c>
      <c r="F5" s="17">
        <f>SUM(F6:F12)</f>
        <v>2220.7528169925777</v>
      </c>
      <c r="G5" s="18"/>
      <c r="H5" s="17"/>
      <c r="I5" s="17"/>
      <c r="J5" s="17">
        <f>SUM(J6:J12)</f>
        <v>1.5005958432849437E-2</v>
      </c>
      <c r="K5" s="17"/>
      <c r="L5" s="17"/>
      <c r="M5" s="17"/>
      <c r="N5" s="17">
        <f>SUM(N6:N12)</f>
        <v>606.08618280296366</v>
      </c>
      <c r="O5" s="17">
        <f>B38*B39*B40</f>
        <v>1.5633333333333335</v>
      </c>
      <c r="P5" s="17">
        <f>B46*B47*B48/1000-B46*B47*B48/1000/B49</f>
        <v>38.133333333333333</v>
      </c>
      <c r="R5" s="32"/>
    </row>
    <row r="6" spans="1:18">
      <c r="A6" s="32" t="s">
        <v>53</v>
      </c>
      <c r="B6" s="37">
        <f>B26</f>
        <v>3004.5473697573702</v>
      </c>
      <c r="C6" s="33"/>
      <c r="D6" s="37">
        <f>IF(ISERROR(TER_kantoor_gas_kWh/1000),0,TER_kantoor_gas_kWh/1000)*0.902</f>
        <v>3273.4903359381155</v>
      </c>
      <c r="E6" s="33">
        <f>$C$26*'E Balans VL '!I12/100/3.6*1000000</f>
        <v>1.8831503616839412E-2</v>
      </c>
      <c r="F6" s="33">
        <f>$C$26*('E Balans VL '!L12+'E Balans VL '!N12)/100/3.6*1000000</f>
        <v>451.49951461391174</v>
      </c>
      <c r="G6" s="34"/>
      <c r="H6" s="33"/>
      <c r="I6" s="33"/>
      <c r="J6" s="33">
        <f>$C$26*('E Balans VL '!D12+'E Balans VL '!E12)/100/3.6*1000000</f>
        <v>0</v>
      </c>
      <c r="K6" s="33"/>
      <c r="L6" s="33"/>
      <c r="M6" s="33"/>
      <c r="N6" s="33">
        <f>$C$26*'E Balans VL '!Y12/100/3.6*1000000</f>
        <v>2.8734040861372918</v>
      </c>
      <c r="O6" s="33"/>
      <c r="P6" s="33"/>
      <c r="R6" s="32"/>
    </row>
    <row r="7" spans="1:18">
      <c r="A7" s="32" t="s">
        <v>52</v>
      </c>
      <c r="B7" s="37">
        <f t="shared" ref="B7:B12" si="0">B27</f>
        <v>985.24814737761301</v>
      </c>
      <c r="C7" s="33"/>
      <c r="D7" s="37">
        <f>IF(ISERROR(TER_horeca_gas_kWh/1000),0,TER_horeca_gas_kWh/1000)*0.902</f>
        <v>710.47859521431906</v>
      </c>
      <c r="E7" s="33">
        <f>$C$27*'E Balans VL '!I9/100/3.6*1000000</f>
        <v>14.108589359434545</v>
      </c>
      <c r="F7" s="33">
        <f>$C$27*('E Balans VL '!L9+'E Balans VL '!N9)/100/3.6*1000000</f>
        <v>124.76491019379409</v>
      </c>
      <c r="G7" s="34"/>
      <c r="H7" s="33"/>
      <c r="I7" s="33"/>
      <c r="J7" s="33">
        <f>$C$27*('E Balans VL '!D9+'E Balans VL '!E9)/100/3.6*1000000</f>
        <v>0</v>
      </c>
      <c r="K7" s="33"/>
      <c r="L7" s="33"/>
      <c r="M7" s="33"/>
      <c r="N7" s="33">
        <f>$C$27*'E Balans VL '!Y9/100/3.6*1000000</f>
        <v>0.2832371195140968</v>
      </c>
      <c r="O7" s="33"/>
      <c r="P7" s="33"/>
      <c r="R7" s="32"/>
    </row>
    <row r="8" spans="1:18">
      <c r="A8" s="6" t="s">
        <v>51</v>
      </c>
      <c r="B8" s="37">
        <f t="shared" si="0"/>
        <v>5173.0550983987405</v>
      </c>
      <c r="C8" s="33"/>
      <c r="D8" s="37">
        <f>IF(ISERROR(TER_handel_gas_kWh/1000),0,TER_handel_gas_kWh/1000)*0.902</f>
        <v>550.27616308050926</v>
      </c>
      <c r="E8" s="33">
        <f>$C$28*'E Balans VL '!I13/100/3.6*1000000</f>
        <v>187.62607050634713</v>
      </c>
      <c r="F8" s="33">
        <f>$C$28*('E Balans VL '!L13+'E Balans VL '!N13)/100/3.6*1000000</f>
        <v>996.38279246471802</v>
      </c>
      <c r="G8" s="34"/>
      <c r="H8" s="33"/>
      <c r="I8" s="33"/>
      <c r="J8" s="33">
        <f>$C$28*('E Balans VL '!D13+'E Balans VL '!E13)/100/3.6*1000000</f>
        <v>0</v>
      </c>
      <c r="K8" s="33"/>
      <c r="L8" s="33"/>
      <c r="M8" s="33"/>
      <c r="N8" s="33">
        <f>$C$28*'E Balans VL '!Y13/100/3.6*1000000</f>
        <v>7.1658715781760867</v>
      </c>
      <c r="O8" s="33"/>
      <c r="P8" s="33"/>
      <c r="R8" s="32"/>
    </row>
    <row r="9" spans="1:18">
      <c r="A9" s="32" t="s">
        <v>50</v>
      </c>
      <c r="B9" s="37">
        <f t="shared" si="0"/>
        <v>137.93858048227699</v>
      </c>
      <c r="C9" s="33"/>
      <c r="D9" s="37">
        <f>IF(ISERROR(TER_gezond_gas_kWh/1000),0,TER_gezond_gas_kWh/1000)*0.902</f>
        <v>113.42792610482064</v>
      </c>
      <c r="E9" s="33">
        <f>$C$29*'E Balans VL '!I10/100/3.6*1000000</f>
        <v>8.6363170356318023E-3</v>
      </c>
      <c r="F9" s="33">
        <f>$C$29*('E Balans VL '!L10+'E Balans VL '!N10)/100/3.6*1000000</f>
        <v>20.491196113622753</v>
      </c>
      <c r="G9" s="34"/>
      <c r="H9" s="33"/>
      <c r="I9" s="33"/>
      <c r="J9" s="33">
        <f>$C$29*('E Balans VL '!D10+'E Balans VL '!E10)/100/3.6*1000000</f>
        <v>0</v>
      </c>
      <c r="K9" s="33"/>
      <c r="L9" s="33"/>
      <c r="M9" s="33"/>
      <c r="N9" s="33">
        <f>$C$29*'E Balans VL '!Y10/100/3.6*1000000</f>
        <v>2.1336472728351414</v>
      </c>
      <c r="O9" s="33"/>
      <c r="P9" s="33"/>
      <c r="R9" s="32"/>
    </row>
    <row r="10" spans="1:18">
      <c r="A10" s="32" t="s">
        <v>49</v>
      </c>
      <c r="B10" s="37">
        <f t="shared" si="0"/>
        <v>374.46168901092904</v>
      </c>
      <c r="C10" s="33"/>
      <c r="D10" s="37">
        <f>IF(ISERROR(TER_ander_gas_kWh/1000),0,TER_ander_gas_kWh/1000)*0.902</f>
        <v>304.04449528366683</v>
      </c>
      <c r="E10" s="33">
        <f>$C$30*'E Balans VL '!I14/100/3.6*1000000</f>
        <v>0.44634495230125382</v>
      </c>
      <c r="F10" s="33">
        <f>$C$30*('E Balans VL '!L14+'E Balans VL '!N14)/100/3.6*1000000</f>
        <v>97.97582510442443</v>
      </c>
      <c r="G10" s="34"/>
      <c r="H10" s="33"/>
      <c r="I10" s="33"/>
      <c r="J10" s="33">
        <f>$C$30*('E Balans VL '!D14+'E Balans VL '!E14)/100/3.6*1000000</f>
        <v>8.1280954191365416E-3</v>
      </c>
      <c r="K10" s="33"/>
      <c r="L10" s="33"/>
      <c r="M10" s="33"/>
      <c r="N10" s="33">
        <f>$C$30*'E Balans VL '!Y14/100/3.6*1000000</f>
        <v>317.98370335952853</v>
      </c>
      <c r="O10" s="33"/>
      <c r="P10" s="33"/>
      <c r="R10" s="32"/>
    </row>
    <row r="11" spans="1:18">
      <c r="A11" s="32" t="s">
        <v>54</v>
      </c>
      <c r="B11" s="37">
        <f t="shared" si="0"/>
        <v>219.61588782511299</v>
      </c>
      <c r="C11" s="33"/>
      <c r="D11" s="37">
        <f>IF(ISERROR(TER_onderwijs_gas_kWh/1000),0,TER_onderwijs_gas_kWh/1000)*0.902</f>
        <v>1186.4888290479089</v>
      </c>
      <c r="E11" s="33">
        <f>$C$31*'E Balans VL '!I11/100/3.6*1000000</f>
        <v>3.3136500222580079</v>
      </c>
      <c r="F11" s="33">
        <f>$C$31*('E Balans VL '!L11+'E Balans VL '!N11)/100/3.6*1000000</f>
        <v>38.480212015143557</v>
      </c>
      <c r="G11" s="34"/>
      <c r="H11" s="33"/>
      <c r="I11" s="33"/>
      <c r="J11" s="33">
        <f>$C$31*('E Balans VL '!D11+'E Balans VL '!E11)/100/3.6*1000000</f>
        <v>0</v>
      </c>
      <c r="K11" s="33"/>
      <c r="L11" s="33"/>
      <c r="M11" s="33"/>
      <c r="N11" s="33">
        <f>$C$31*'E Balans VL '!Y11/100/3.6*1000000</f>
        <v>0.61801580417546909</v>
      </c>
      <c r="O11" s="33"/>
      <c r="P11" s="33"/>
      <c r="R11" s="32"/>
    </row>
    <row r="12" spans="1:18">
      <c r="A12" s="32" t="s">
        <v>259</v>
      </c>
      <c r="B12" s="37">
        <f t="shared" si="0"/>
        <v>2840.3020170883901</v>
      </c>
      <c r="C12" s="33"/>
      <c r="D12" s="37">
        <f>IF(ISERROR(TER_rest_gas_kWh/1000),0,TER_rest_gas_kWh/1000)*0.902</f>
        <v>3433.041187662117</v>
      </c>
      <c r="E12" s="33">
        <f>$C$32*'E Balans VL '!I8/100/3.6*1000000</f>
        <v>35.270820354387567</v>
      </c>
      <c r="F12" s="33">
        <f>$C$32*('E Balans VL '!L8+'E Balans VL '!N8)/100/3.6*1000000</f>
        <v>491.1583664869633</v>
      </c>
      <c r="G12" s="34"/>
      <c r="H12" s="33"/>
      <c r="I12" s="33"/>
      <c r="J12" s="33">
        <f>$C$32*('E Balans VL '!D8+'E Balans VL '!E8)/100/3.6*1000000</f>
        <v>6.877863013712896E-3</v>
      </c>
      <c r="K12" s="33"/>
      <c r="L12" s="33"/>
      <c r="M12" s="33"/>
      <c r="N12" s="33">
        <f>$C$32*'E Balans VL '!Y8/100/3.6*1000000</f>
        <v>275.02830358259706</v>
      </c>
      <c r="O12" s="33"/>
      <c r="P12" s="33"/>
      <c r="R12" s="32"/>
    </row>
    <row r="13" spans="1:18">
      <c r="A13" s="16" t="s">
        <v>487</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12735.168789940433</v>
      </c>
      <c r="C16" s="21">
        <f t="shared" ca="1" si="1"/>
        <v>0</v>
      </c>
      <c r="D16" s="21">
        <f t="shared" ca="1" si="1"/>
        <v>9571.2475323314557</v>
      </c>
      <c r="E16" s="21">
        <f t="shared" si="1"/>
        <v>240.79294301538096</v>
      </c>
      <c r="F16" s="21">
        <f t="shared" ca="1" si="1"/>
        <v>2220.7528169925777</v>
      </c>
      <c r="G16" s="21">
        <f t="shared" si="1"/>
        <v>0</v>
      </c>
      <c r="H16" s="21">
        <f t="shared" si="1"/>
        <v>0</v>
      </c>
      <c r="I16" s="21">
        <f t="shared" si="1"/>
        <v>0</v>
      </c>
      <c r="J16" s="21">
        <f t="shared" si="1"/>
        <v>1.5005958432849437E-2</v>
      </c>
      <c r="K16" s="21">
        <f t="shared" si="1"/>
        <v>0</v>
      </c>
      <c r="L16" s="21">
        <f t="shared" ca="1" si="1"/>
        <v>0</v>
      </c>
      <c r="M16" s="21">
        <f t="shared" si="1"/>
        <v>0</v>
      </c>
      <c r="N16" s="21">
        <f t="shared" ca="1" si="1"/>
        <v>606.08618280296366</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0.19169863092567113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2441.3144216389169</v>
      </c>
      <c r="C20" s="23">
        <f t="shared" ref="C20:P20" ca="1" si="2">C16*C18</f>
        <v>0</v>
      </c>
      <c r="D20" s="23">
        <f t="shared" ca="1" si="2"/>
        <v>1933.3920015309541</v>
      </c>
      <c r="E20" s="23">
        <f t="shared" si="2"/>
        <v>54.659998064491482</v>
      </c>
      <c r="F20" s="23">
        <f t="shared" ca="1" si="2"/>
        <v>592.94100213701824</v>
      </c>
      <c r="G20" s="23">
        <f t="shared" si="2"/>
        <v>0</v>
      </c>
      <c r="H20" s="23">
        <f t="shared" si="2"/>
        <v>0</v>
      </c>
      <c r="I20" s="23">
        <f t="shared" si="2"/>
        <v>0</v>
      </c>
      <c r="J20" s="23">
        <f t="shared" si="2"/>
        <v>5.3121092852287007E-3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3004.5473697573702</v>
      </c>
      <c r="C26" s="39">
        <f>IF(ISERROR(B26*3.6/1000000/'E Balans VL '!Z12*100),0,B26*3.6/1000000/'E Balans VL '!Z12*100)</f>
        <v>6.3511371809181108E-2</v>
      </c>
      <c r="D26" s="237" t="s">
        <v>744</v>
      </c>
      <c r="F26" s="6"/>
    </row>
    <row r="27" spans="1:18">
      <c r="A27" s="231" t="s">
        <v>52</v>
      </c>
      <c r="B27" s="33">
        <f>IF(ISERROR(TER_horeca_ele_kWh/1000),0,TER_horeca_ele_kWh/1000)</f>
        <v>985.24814737761301</v>
      </c>
      <c r="C27" s="39">
        <f>IF(ISERROR(B27*3.6/1000000/'E Balans VL '!Z9*100),0,B27*3.6/1000000/'E Balans VL '!Z9*100)</f>
        <v>7.7666744237045407E-2</v>
      </c>
      <c r="D27" s="237" t="s">
        <v>744</v>
      </c>
      <c r="F27" s="6"/>
    </row>
    <row r="28" spans="1:18">
      <c r="A28" s="171" t="s">
        <v>51</v>
      </c>
      <c r="B28" s="33">
        <f>IF(ISERROR(TER_handel_ele_kWh/1000),0,TER_handel_ele_kWh/1000)</f>
        <v>5173.0550983987405</v>
      </c>
      <c r="C28" s="39">
        <f>IF(ISERROR(B28*3.6/1000000/'E Balans VL '!Z13*100),0,B28*3.6/1000000/'E Balans VL '!Z13*100)</f>
        <v>0.15014296044026798</v>
      </c>
      <c r="D28" s="237" t="s">
        <v>744</v>
      </c>
      <c r="F28" s="6"/>
    </row>
    <row r="29" spans="1:18">
      <c r="A29" s="231" t="s">
        <v>50</v>
      </c>
      <c r="B29" s="33">
        <f>IF(ISERROR(TER_gezond_ele_kWh/1000),0,TER_gezond_ele_kWh/1000)</f>
        <v>137.93858048227699</v>
      </c>
      <c r="C29" s="39">
        <f>IF(ISERROR(B29*3.6/1000000/'E Balans VL '!Z10*100),0,B29*3.6/1000000/'E Balans VL '!Z10*100)</f>
        <v>1.452719753606283E-2</v>
      </c>
      <c r="D29" s="237" t="s">
        <v>744</v>
      </c>
      <c r="F29" s="6"/>
    </row>
    <row r="30" spans="1:18">
      <c r="A30" s="231" t="s">
        <v>49</v>
      </c>
      <c r="B30" s="33">
        <f>IF(ISERROR(TER_ander_ele_kWh/1000),0,TER_ander_ele_kWh/1000)</f>
        <v>374.46168901092904</v>
      </c>
      <c r="C30" s="39">
        <f>IF(ISERROR(B30*3.6/1000000/'E Balans VL '!Z14*100),0,B30*3.6/1000000/'E Balans VL '!Z14*100)</f>
        <v>2.7620375514120402E-2</v>
      </c>
      <c r="D30" s="237" t="s">
        <v>744</v>
      </c>
      <c r="F30" s="6"/>
    </row>
    <row r="31" spans="1:18">
      <c r="A31" s="231" t="s">
        <v>54</v>
      </c>
      <c r="B31" s="33">
        <f>IF(ISERROR(TER_onderwijs_ele_kWh/1000),0,TER_onderwijs_ele_kWh/1000)</f>
        <v>219.61588782511299</v>
      </c>
      <c r="C31" s="39">
        <f>IF(ISERROR(B31*3.6/1000000/'E Balans VL '!Z11*100),0,B31*3.6/1000000/'E Balans VL '!Z11*100)</f>
        <v>5.4540912361008283E-2</v>
      </c>
      <c r="D31" s="237" t="s">
        <v>744</v>
      </c>
    </row>
    <row r="32" spans="1:18">
      <c r="A32" s="231" t="s">
        <v>259</v>
      </c>
      <c r="B32" s="33">
        <f>IF(ISERROR(TER_rest_ele_kWh/1000),0,TER_rest_ele_kWh/1000)</f>
        <v>2840.3020170883901</v>
      </c>
      <c r="C32" s="39">
        <f>IF(ISERROR(B32*3.6/1000000/'E Balans VL '!Z8*100),0,B32*3.6/1000000/'E Balans VL '!Z8*100)</f>
        <v>2.3371915482952178E-2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2</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33705.783121691253</v>
      </c>
      <c r="C5" s="17">
        <f>IF(ISERROR('Eigen informatie GS &amp; warmtenet'!B59),0,'Eigen informatie GS &amp; warmtenet'!B59)</f>
        <v>0</v>
      </c>
      <c r="D5" s="30">
        <f>SUM(D6:D15)</f>
        <v>9798.4524971406463</v>
      </c>
      <c r="E5" s="17">
        <f>SUM(E6:E15)</f>
        <v>2220.7799705393841</v>
      </c>
      <c r="F5" s="17">
        <f>SUM(F6:F15)</f>
        <v>7827.5967778549084</v>
      </c>
      <c r="G5" s="18"/>
      <c r="H5" s="17"/>
      <c r="I5" s="17"/>
      <c r="J5" s="17">
        <f>SUM(J6:J15)</f>
        <v>86.617646174031307</v>
      </c>
      <c r="K5" s="17"/>
      <c r="L5" s="17"/>
      <c r="M5" s="17"/>
      <c r="N5" s="17">
        <f>SUM(N6:N15)</f>
        <v>2408.8922186287068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269.424265371763</v>
      </c>
      <c r="C8" s="33"/>
      <c r="D8" s="37">
        <f>IF( ISERROR(IND_metaal_Gas_kWH/1000),0,IND_metaal_Gas_kWH/1000)*0.902</f>
        <v>0</v>
      </c>
      <c r="E8" s="33">
        <f>C30*'E Balans VL '!I18/100/3.6*1000000</f>
        <v>2.4770959076632364</v>
      </c>
      <c r="F8" s="33">
        <f>C30*'E Balans VL '!L18/100/3.6*1000000+C30*'E Balans VL '!N18/100/3.6*1000000</f>
        <v>25.263026050088392</v>
      </c>
      <c r="G8" s="34"/>
      <c r="H8" s="33"/>
      <c r="I8" s="33"/>
      <c r="J8" s="40">
        <f>C30*'E Balans VL '!D18/100/3.6*1000000+C30*'E Balans VL '!E18/100/3.6*1000000</f>
        <v>0</v>
      </c>
      <c r="K8" s="33"/>
      <c r="L8" s="33"/>
      <c r="M8" s="33"/>
      <c r="N8" s="33">
        <f>C30*'E Balans VL '!Y18/100/3.6*1000000</f>
        <v>3.843782387876348</v>
      </c>
      <c r="O8" s="33"/>
      <c r="P8" s="33"/>
      <c r="R8" s="32"/>
    </row>
    <row r="9" spans="1:18">
      <c r="A9" s="6" t="s">
        <v>32</v>
      </c>
      <c r="B9" s="37">
        <f t="shared" si="0"/>
        <v>2959.24602945785</v>
      </c>
      <c r="C9" s="33"/>
      <c r="D9" s="37">
        <f>IF( ISERROR(IND_andere_gas_kWh/1000),0,IND_andere_gas_kWh/1000)*0.902</f>
        <v>1560.4052650326089</v>
      </c>
      <c r="E9" s="33">
        <f>C31*'E Balans VL '!I19/100/3.6*1000000</f>
        <v>865.04522413569543</v>
      </c>
      <c r="F9" s="33">
        <f>C31*'E Balans VL '!L19/100/3.6*1000000+C31*'E Balans VL '!N19/100/3.6*1000000</f>
        <v>2377.9781790118864</v>
      </c>
      <c r="G9" s="34"/>
      <c r="H9" s="33"/>
      <c r="I9" s="33"/>
      <c r="J9" s="40">
        <f>C31*'E Balans VL '!D19/100/3.6*1000000+C31*'E Balans VL '!E19/100/3.6*1000000</f>
        <v>0</v>
      </c>
      <c r="K9" s="33"/>
      <c r="L9" s="33"/>
      <c r="M9" s="33"/>
      <c r="N9" s="33">
        <f>C31*'E Balans VL '!Y19/100/3.6*1000000</f>
        <v>232.11923939483742</v>
      </c>
      <c r="O9" s="33"/>
      <c r="P9" s="33"/>
      <c r="R9" s="32"/>
    </row>
    <row r="10" spans="1:18">
      <c r="A10" s="6" t="s">
        <v>40</v>
      </c>
      <c r="B10" s="37">
        <f t="shared" si="0"/>
        <v>2460.6311314535201</v>
      </c>
      <c r="C10" s="33"/>
      <c r="D10" s="37">
        <f>IF( ISERROR(IND_voed_gas_kWh/1000),0,IND_voed_gas_kWh/1000)*0.902</f>
        <v>450.68069719300888</v>
      </c>
      <c r="E10" s="33">
        <f>C32*'E Balans VL '!I20/100/3.6*1000000</f>
        <v>5.2055033111274884</v>
      </c>
      <c r="F10" s="33">
        <f>C32*'E Balans VL '!L20/100/3.6*1000000+C32*'E Balans VL '!N20/100/3.6*1000000</f>
        <v>156.44944079880946</v>
      </c>
      <c r="G10" s="34"/>
      <c r="H10" s="33"/>
      <c r="I10" s="33"/>
      <c r="J10" s="40">
        <f>C32*'E Balans VL '!D20/100/3.6*1000000+C32*'E Balans VL '!E20/100/3.6*1000000</f>
        <v>0</v>
      </c>
      <c r="K10" s="33"/>
      <c r="L10" s="33"/>
      <c r="M10" s="33"/>
      <c r="N10" s="33">
        <f>C32*'E Balans VL '!Y20/100/3.6*1000000</f>
        <v>169.80783017162108</v>
      </c>
      <c r="O10" s="33"/>
      <c r="P10" s="33"/>
      <c r="R10" s="32"/>
    </row>
    <row r="11" spans="1:18">
      <c r="A11" s="6" t="s">
        <v>39</v>
      </c>
      <c r="B11" s="37">
        <f t="shared" si="0"/>
        <v>3511.7474541915703</v>
      </c>
      <c r="C11" s="33"/>
      <c r="D11" s="37">
        <f>IF( ISERROR(IND_textiel_gas_kWh/1000),0,IND_textiel_gas_kWh/1000)*0.902</f>
        <v>66.060354700611569</v>
      </c>
      <c r="E11" s="33">
        <f>C33*'E Balans VL '!I21/100/3.6*1000000</f>
        <v>10.429587168112969</v>
      </c>
      <c r="F11" s="33">
        <f>C33*'E Balans VL '!L21/100/3.6*1000000+C33*'E Balans VL '!N21/100/3.6*1000000</f>
        <v>354.78290479747113</v>
      </c>
      <c r="G11" s="34"/>
      <c r="H11" s="33"/>
      <c r="I11" s="33"/>
      <c r="J11" s="40">
        <f>C33*'E Balans VL '!D21/100/3.6*1000000+C33*'E Balans VL '!E21/100/3.6*1000000</f>
        <v>0</v>
      </c>
      <c r="K11" s="33"/>
      <c r="L11" s="33"/>
      <c r="M11" s="33"/>
      <c r="N11" s="33">
        <f>C33*'E Balans VL '!Y21/100/3.6*1000000</f>
        <v>193.68407932883244</v>
      </c>
      <c r="O11" s="33"/>
      <c r="P11" s="33"/>
      <c r="R11" s="32"/>
    </row>
    <row r="12" spans="1:18">
      <c r="A12" s="6" t="s">
        <v>36</v>
      </c>
      <c r="B12" s="37">
        <f t="shared" si="0"/>
        <v>474.25893768784397</v>
      </c>
      <c r="C12" s="33"/>
      <c r="D12" s="37">
        <f>IF( ISERROR(IND_min_gas_kWh/1000),0,IND_min_gas_kWh/1000)*0.902</f>
        <v>0</v>
      </c>
      <c r="E12" s="33">
        <f>C34*'E Balans VL '!I22/100/3.6*1000000</f>
        <v>13.746813764554062</v>
      </c>
      <c r="F12" s="33">
        <f>C34*'E Balans VL '!L22/100/3.6*1000000+C34*'E Balans VL '!N22/100/3.6*1000000</f>
        <v>163.05558202251871</v>
      </c>
      <c r="G12" s="34"/>
      <c r="H12" s="33"/>
      <c r="I12" s="33"/>
      <c r="J12" s="40">
        <f>C34*'E Balans VL '!D22/100/3.6*1000000+C34*'E Balans VL '!E22/100/3.6*1000000</f>
        <v>0.77935035042022316</v>
      </c>
      <c r="K12" s="33"/>
      <c r="L12" s="33"/>
      <c r="M12" s="33"/>
      <c r="N12" s="33">
        <f>C34*'E Balans VL '!Y22/100/3.6*1000000</f>
        <v>103.82307509513642</v>
      </c>
      <c r="O12" s="33"/>
      <c r="P12" s="33"/>
      <c r="R12" s="32"/>
    </row>
    <row r="13" spans="1:18">
      <c r="A13" s="6" t="s">
        <v>38</v>
      </c>
      <c r="B13" s="37">
        <f t="shared" si="0"/>
        <v>55.571076503200999</v>
      </c>
      <c r="C13" s="33"/>
      <c r="D13" s="37">
        <f>IF( ISERROR(IND_papier_gas_kWh/1000),0,IND_papier_gas_kWh/1000)*0.902</f>
        <v>167.27108022501523</v>
      </c>
      <c r="E13" s="33">
        <f>C35*'E Balans VL '!I23/100/3.6*1000000</f>
        <v>7.8842648551505704E-2</v>
      </c>
      <c r="F13" s="33">
        <f>C35*'E Balans VL '!L23/100/3.6*1000000+C35*'E Balans VL '!N23/100/3.6*1000000</f>
        <v>1.3566989381634074</v>
      </c>
      <c r="G13" s="34"/>
      <c r="H13" s="33"/>
      <c r="I13" s="33"/>
      <c r="J13" s="40">
        <f>C35*'E Balans VL '!D23/100/3.6*1000000+C35*'E Balans VL '!E23/100/3.6*1000000</f>
        <v>8.5945887142793304E-3</v>
      </c>
      <c r="K13" s="33"/>
      <c r="L13" s="33"/>
      <c r="M13" s="33"/>
      <c r="N13" s="33">
        <f>C35*'E Balans VL '!Y23/100/3.6*1000000</f>
        <v>22.705536132635515</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23974.904227025501</v>
      </c>
      <c r="C15" s="33"/>
      <c r="D15" s="37">
        <f>IF( ISERROR(IND_rest_gas_kWh/1000),0,IND_rest_gas_kWh/1000)*0.902</f>
        <v>7554.0350999894008</v>
      </c>
      <c r="E15" s="33">
        <f>C37*'E Balans VL '!I15/100/3.6*1000000</f>
        <v>1323.7969036036793</v>
      </c>
      <c r="F15" s="33">
        <f>C37*'E Balans VL '!L15/100/3.6*1000000+C37*'E Balans VL '!N15/100/3.6*1000000</f>
        <v>4748.7109462359713</v>
      </c>
      <c r="G15" s="34"/>
      <c r="H15" s="33"/>
      <c r="I15" s="33"/>
      <c r="J15" s="40">
        <f>C37*'E Balans VL '!D15/100/3.6*1000000+C37*'E Balans VL '!E15/100/3.6*1000000</f>
        <v>85.829701234896802</v>
      </c>
      <c r="K15" s="33"/>
      <c r="L15" s="33"/>
      <c r="M15" s="33"/>
      <c r="N15" s="33">
        <f>C37*'E Balans VL '!Y15/100/3.6*1000000</f>
        <v>1682.9086761177675</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33705.783121691253</v>
      </c>
      <c r="C18" s="21">
        <f>C5+C16</f>
        <v>0</v>
      </c>
      <c r="D18" s="21">
        <f>MAX((D5+D16),0)</f>
        <v>9798.4524971406463</v>
      </c>
      <c r="E18" s="21">
        <f>MAX((E5+E16),0)</f>
        <v>2220.7799705393841</v>
      </c>
      <c r="F18" s="21">
        <f>MAX((F5+F16),0)</f>
        <v>7827.5967778549084</v>
      </c>
      <c r="G18" s="21"/>
      <c r="H18" s="21"/>
      <c r="I18" s="21"/>
      <c r="J18" s="21">
        <f>MAX((J5+J16),0)</f>
        <v>86.617646174031307</v>
      </c>
      <c r="K18" s="21"/>
      <c r="L18" s="21">
        <f>MAX((L5+L16),0)</f>
        <v>0</v>
      </c>
      <c r="M18" s="21"/>
      <c r="N18" s="21">
        <f>MAX((N5+N16),0)</f>
        <v>2408.8922186287068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0.19169863092567113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6461.3524787058068</v>
      </c>
      <c r="C22" s="23">
        <f ca="1">C18*C20</f>
        <v>0</v>
      </c>
      <c r="D22" s="23">
        <f>D18*D20</f>
        <v>1979.2874044224106</v>
      </c>
      <c r="E22" s="23">
        <f>E18*E20</f>
        <v>504.11705331244019</v>
      </c>
      <c r="F22" s="23">
        <f>F18*F20</f>
        <v>2089.9683396872606</v>
      </c>
      <c r="G22" s="23"/>
      <c r="H22" s="23"/>
      <c r="I22" s="23"/>
      <c r="J22" s="23">
        <f>J18*J20</f>
        <v>30.662646745607081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269.424265371763</v>
      </c>
      <c r="C30" s="39">
        <f>IF(ISERROR(B30*3.6/1000000/'E Balans VL '!Z18*100),0,B30*3.6/1000000/'E Balans VL '!Z18*100)</f>
        <v>1.5268963967619091E-2</v>
      </c>
      <c r="D30" s="237" t="s">
        <v>744</v>
      </c>
    </row>
    <row r="31" spans="1:18">
      <c r="A31" s="6" t="s">
        <v>32</v>
      </c>
      <c r="B31" s="37">
        <f>IF( ISERROR(IND_ander_ele_kWh/1000),0,IND_ander_ele_kWh/1000)</f>
        <v>2959.24602945785</v>
      </c>
      <c r="C31" s="39">
        <f>IF(ISERROR(B31*3.6/1000000/'E Balans VL '!Z19*100),0,B31*3.6/1000000/'E Balans VL '!Z19*100)</f>
        <v>0.13421907781020356</v>
      </c>
      <c r="D31" s="237" t="s">
        <v>744</v>
      </c>
    </row>
    <row r="32" spans="1:18">
      <c r="A32" s="171" t="s">
        <v>40</v>
      </c>
      <c r="B32" s="37">
        <f>IF( ISERROR(IND_voed_ele_kWh/1000),0,IND_voed_ele_kWh/1000)</f>
        <v>2460.6311314535201</v>
      </c>
      <c r="C32" s="39">
        <f>IF(ISERROR(B32*3.6/1000000/'E Balans VL '!Z20*100),0,B32*3.6/1000000/'E Balans VL '!Z20*100)</f>
        <v>7.6118491218022499E-2</v>
      </c>
      <c r="D32" s="237" t="s">
        <v>744</v>
      </c>
    </row>
    <row r="33" spans="1:5">
      <c r="A33" s="171" t="s">
        <v>39</v>
      </c>
      <c r="B33" s="37">
        <f>IF( ISERROR(IND_textiel_ele_kWh/1000),0,IND_textiel_ele_kWh/1000)</f>
        <v>3511.7474541915703</v>
      </c>
      <c r="C33" s="39">
        <f>IF(ISERROR(B33*3.6/1000000/'E Balans VL '!Z21*100),0,B33*3.6/1000000/'E Balans VL '!Z21*100)</f>
        <v>0.45789283296595684</v>
      </c>
      <c r="D33" s="237" t="s">
        <v>744</v>
      </c>
    </row>
    <row r="34" spans="1:5">
      <c r="A34" s="171" t="s">
        <v>36</v>
      </c>
      <c r="B34" s="37">
        <f>IF( ISERROR(IND_min_ele_kWh/1000),0,IND_min_ele_kWh/1000)</f>
        <v>474.25893768784397</v>
      </c>
      <c r="C34" s="39">
        <f>IF(ISERROR(B34*3.6/1000000/'E Balans VL '!Z22*100),0,B34*3.6/1000000/'E Balans VL '!Z22*100)</f>
        <v>8.5304386181599731E-2</v>
      </c>
      <c r="D34" s="237" t="s">
        <v>744</v>
      </c>
    </row>
    <row r="35" spans="1:5">
      <c r="A35" s="171" t="s">
        <v>38</v>
      </c>
      <c r="B35" s="37">
        <f>IF( ISERROR(IND_papier_ele_kWh/1000),0,IND_papier_ele_kWh/1000)</f>
        <v>55.571076503200999</v>
      </c>
      <c r="C35" s="39">
        <f>IF(ISERROR(B35*3.6/1000000/'E Balans VL '!Z22*100),0,B35*3.6/1000000/'E Balans VL '!Z22*100)</f>
        <v>9.9955028653069614E-3</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23974.904227025501</v>
      </c>
      <c r="C37" s="39">
        <f>IF(ISERROR(B37*3.6/1000000/'E Balans VL '!Z15*100),0,B37*3.6/1000000/'E Balans VL '!Z15*100)</f>
        <v>0.19003055998183235</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1901.7916841299411</v>
      </c>
      <c r="C5" s="17">
        <f>'Eigen informatie GS &amp; warmtenet'!B60</f>
        <v>0</v>
      </c>
      <c r="D5" s="30">
        <f>IF(ISERROR(SUM(LB_lb_gas_kWh,LB_rest_gas_kWh)/1000),0,SUM(LB_lb_gas_kWh,LB_rest_gas_kWh)/1000)*0.902</f>
        <v>75.198701041985998</v>
      </c>
      <c r="E5" s="17">
        <f>B17*'E Balans VL '!I25/3.6*1000000/100</f>
        <v>55.899466338836035</v>
      </c>
      <c r="F5" s="17">
        <f>B17*('E Balans VL '!L25/3.6*1000000+'E Balans VL '!N25/3.6*1000000)/100</f>
        <v>7922.7613886567469</v>
      </c>
      <c r="G5" s="18"/>
      <c r="H5" s="17"/>
      <c r="I5" s="17"/>
      <c r="J5" s="17">
        <f>('E Balans VL '!D25+'E Balans VL '!E25)/3.6*1000000*landbouw!B17/100</f>
        <v>275.52877358650437</v>
      </c>
      <c r="K5" s="17"/>
      <c r="L5" s="17">
        <f>L6*(-1)</f>
        <v>0</v>
      </c>
      <c r="M5" s="17"/>
      <c r="N5" s="17">
        <f>N6*(-1)</f>
        <v>0</v>
      </c>
      <c r="O5" s="17"/>
      <c r="P5" s="17"/>
      <c r="R5" s="32"/>
    </row>
    <row r="6" spans="1:18">
      <c r="A6" s="16" t="s">
        <v>487</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1901.7916841299411</v>
      </c>
      <c r="C8" s="21">
        <f>C5+C6</f>
        <v>0</v>
      </c>
      <c r="D8" s="21">
        <f>MAX((D5+D6),0)</f>
        <v>75.198701041985998</v>
      </c>
      <c r="E8" s="21">
        <f>MAX((E5+E6),0)</f>
        <v>55.899466338836035</v>
      </c>
      <c r="F8" s="21">
        <f>MAX((F5+F6),0)</f>
        <v>7922.7613886567469</v>
      </c>
      <c r="G8" s="21"/>
      <c r="H8" s="21"/>
      <c r="I8" s="21"/>
      <c r="J8" s="21">
        <f>MAX((J5+J6),0)</f>
        <v>275.52877358650437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0.19169863092567113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364.5708621535361</v>
      </c>
      <c r="C12" s="23">
        <f ca="1">C8*C10</f>
        <v>0</v>
      </c>
      <c r="D12" s="23">
        <f>D8*D10</f>
        <v>15.190137610481173</v>
      </c>
      <c r="E12" s="23">
        <f>E8*E10</f>
        <v>12.689178858915781</v>
      </c>
      <c r="F12" s="23">
        <f>F8*F10</f>
        <v>2115.3772907713515</v>
      </c>
      <c r="G12" s="23"/>
      <c r="H12" s="23"/>
      <c r="I12" s="23"/>
      <c r="J12" s="23">
        <f>J8*J10</f>
        <v>97.537185849622546</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0.26987020666748213</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386.66011857903806</v>
      </c>
      <c r="C26" s="247">
        <f>B26*'GWP N2O_CH4'!B5</f>
        <v>8119.8624901597996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123.87674611385845</v>
      </c>
      <c r="C27" s="247">
        <f>B27*'GWP N2O_CH4'!B5</f>
        <v>2601.4116683910274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5.0788381333503976</v>
      </c>
      <c r="C28" s="247">
        <f>B28*'GWP N2O_CH4'!B4</f>
        <v>1574.4398213386232</v>
      </c>
      <c r="D28" s="50"/>
    </row>
    <row r="29" spans="1:4">
      <c r="A29" s="41" t="s">
        <v>276</v>
      </c>
      <c r="B29" s="247">
        <f>B34*'ha_N2O bodem landbouw'!B4</f>
        <v>17.495931019355268</v>
      </c>
      <c r="C29" s="247">
        <f>B29*'GWP N2O_CH4'!B4</f>
        <v>5423.7386160001333</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3.9925111649562906E-3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8.6806494801292003E-5</v>
      </c>
      <c r="C5" s="437" t="s">
        <v>210</v>
      </c>
      <c r="D5" s="422">
        <f>SUM(D6:D11)</f>
        <v>2.4543557676123329E-4</v>
      </c>
      <c r="E5" s="422">
        <f>SUM(E6:E11)</f>
        <v>4.1493715625144076E-4</v>
      </c>
      <c r="F5" s="435" t="s">
        <v>210</v>
      </c>
      <c r="G5" s="422">
        <f>SUM(G6:G11)</f>
        <v>0.20066952382421718</v>
      </c>
      <c r="H5" s="422">
        <f>SUM(H6:H11)</f>
        <v>4.1424492390001032E-2</v>
      </c>
      <c r="I5" s="437" t="s">
        <v>210</v>
      </c>
      <c r="J5" s="437" t="s">
        <v>210</v>
      </c>
      <c r="K5" s="437" t="s">
        <v>210</v>
      </c>
      <c r="L5" s="437" t="s">
        <v>210</v>
      </c>
      <c r="M5" s="422">
        <f>SUM(M6:M11)</f>
        <v>1.2943751334933008E-2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6.9088036058910808E-5</v>
      </c>
      <c r="C6" s="423"/>
      <c r="D6" s="865">
        <f>vkm_GW_PW*SUMIFS(TableVerdeelsleutelVkm[CNG],TableVerdeelsleutelVkm[Voertuigtype],"Lichte voertuigen")*SUMIFS(TableECFTransport[EnergieConsumptieFactor (PJ per km)],TableECFTransport[Index],CONCATENATE($A6,"_CNG_CNG"))</f>
        <v>1.712170224742952E-4</v>
      </c>
      <c r="E6" s="865">
        <f>vkm_GW_PW*SUMIFS(TableVerdeelsleutelVkm[LPG],TableVerdeelsleutelVkm[Voertuigtype],"Lichte voertuigen")*SUMIFS(TableECFTransport[EnergieConsumptieFactor (PJ per km)],TableECFTransport[Index],CONCATENATE($A6,"_LPG_LPG"))</f>
        <v>2.9393687233232889E-4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9.0066526221574406E-2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2.909048736383581E-2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6.1186258769968561E-3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6.3332915107116375E-2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1.0594444686964558E-6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3.7002607793309378E-3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1.7718458742381198E-5</v>
      </c>
      <c r="C8" s="423"/>
      <c r="D8" s="425">
        <f>vkm_NGW_PW*SUMIFS(TableVerdeelsleutelVkm[CNG],TableVerdeelsleutelVkm[Voertuigtype],"Lichte voertuigen")*SUMIFS(TableECFTransport[EnergieConsumptieFactor (PJ per km)],TableECFTransport[Index],CONCATENATE($A8,"_CNG_CNG"))</f>
        <v>7.4218554286938085E-5</v>
      </c>
      <c r="E8" s="425">
        <f>vkm_NGW_PW*SUMIFS(TableVerdeelsleutelVkm[LPG],TableVerdeelsleutelVkm[Voertuigtype],"Lichte voertuigen")*SUMIFS(TableECFTransport[EnergieConsumptieFactor (PJ per km)],TableECFTransport[Index],CONCATENATE($A8,"_LPG_LPG"))</f>
        <v>1.2100028391911187E-4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3.4875153644362368E-2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1.2332690160118839E-2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2.4006826531968303E-3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1.2394928851164045E-2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2.5542157768866092E-7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7.2418202540838424E-4</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24.112915222581112</v>
      </c>
      <c r="C14" s="21"/>
      <c r="D14" s="21">
        <f t="shared" ref="D14:M14" si="0">((D5)*10^9/3600)+D12</f>
        <v>68.176549100342584</v>
      </c>
      <c r="E14" s="21">
        <f t="shared" si="0"/>
        <v>115.26032118095577</v>
      </c>
      <c r="F14" s="21"/>
      <c r="G14" s="21">
        <f t="shared" si="0"/>
        <v>55741.534395615883</v>
      </c>
      <c r="H14" s="21">
        <f t="shared" si="0"/>
        <v>11506.803441666952</v>
      </c>
      <c r="I14" s="21"/>
      <c r="J14" s="21"/>
      <c r="K14" s="21"/>
      <c r="L14" s="21"/>
      <c r="M14" s="21">
        <f t="shared" si="0"/>
        <v>3595.486481925836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0.19169863092567113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4.6224128357955738</v>
      </c>
      <c r="C18" s="23"/>
      <c r="D18" s="23">
        <f t="shared" ref="D18:M18" si="1">D14*D16</f>
        <v>13.771662918269202</v>
      </c>
      <c r="E18" s="23">
        <f t="shared" si="1"/>
        <v>26.16409290807696</v>
      </c>
      <c r="F18" s="23"/>
      <c r="G18" s="23">
        <f t="shared" si="1"/>
        <v>14882.989683629441</v>
      </c>
      <c r="H18" s="23">
        <f t="shared" si="1"/>
        <v>2865.1940569750714</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2.9273962864360637E-3</v>
      </c>
      <c r="H50" s="319">
        <f t="shared" si="2"/>
        <v>0</v>
      </c>
      <c r="I50" s="319">
        <f t="shared" si="2"/>
        <v>0</v>
      </c>
      <c r="J50" s="319">
        <f t="shared" si="2"/>
        <v>0</v>
      </c>
      <c r="K50" s="319">
        <f t="shared" si="2"/>
        <v>0</v>
      </c>
      <c r="L50" s="319">
        <f t="shared" si="2"/>
        <v>0</v>
      </c>
      <c r="M50" s="319">
        <f t="shared" si="2"/>
        <v>1.6625062647608753E-4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2.9273962864360637E-3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1.6625062647608753E-4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813.16563512112884</v>
      </c>
      <c r="H54" s="21">
        <f t="shared" si="3"/>
        <v>0</v>
      </c>
      <c r="I54" s="21">
        <f t="shared" si="3"/>
        <v>0</v>
      </c>
      <c r="J54" s="21">
        <f t="shared" si="3"/>
        <v>0</v>
      </c>
      <c r="K54" s="21">
        <f t="shared" si="3"/>
        <v>0</v>
      </c>
      <c r="L54" s="21">
        <f t="shared" si="3"/>
        <v>0</v>
      </c>
      <c r="M54" s="21">
        <f t="shared" si="3"/>
        <v>46.180729576690979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0.19169863092567113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217.11522457734142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10444.550629166588</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0</v>
      </c>
      <c r="C8" s="544">
        <f>B48</f>
        <v>0</v>
      </c>
      <c r="D8" s="1010"/>
      <c r="E8" s="1010">
        <f>E48</f>
        <v>0</v>
      </c>
      <c r="F8" s="1011"/>
      <c r="G8" s="545"/>
      <c r="H8" s="1010">
        <f>I48</f>
        <v>0</v>
      </c>
      <c r="I8" s="1010">
        <f>G48+F48</f>
        <v>0</v>
      </c>
      <c r="J8" s="1010">
        <f>H48+D48+C48</f>
        <v>0</v>
      </c>
      <c r="K8" s="1010"/>
      <c r="L8" s="1010"/>
      <c r="M8" s="1010"/>
      <c r="N8" s="546"/>
      <c r="O8" s="547">
        <f>C8*$C$12+D8*$D$12+E8*$E$12+F8*$F$12+G8*$G$12+H8*$H$12+I8*$I$12+J8*$J$12</f>
        <v>0</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10444.550629166588</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0</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0</v>
      </c>
      <c r="C17" s="569">
        <f>B49</f>
        <v>0</v>
      </c>
      <c r="D17" s="570"/>
      <c r="E17" s="570">
        <f>E49</f>
        <v>0</v>
      </c>
      <c r="F17" s="1016"/>
      <c r="G17" s="571"/>
      <c r="H17" s="569">
        <f>I49</f>
        <v>0</v>
      </c>
      <c r="I17" s="570">
        <f>G49+F49</f>
        <v>0</v>
      </c>
      <c r="J17" s="570">
        <f>H49+D49+C49</f>
        <v>0</v>
      </c>
      <c r="K17" s="570"/>
      <c r="L17" s="570"/>
      <c r="M17" s="570"/>
      <c r="N17" s="1017"/>
      <c r="O17" s="572">
        <f>C17*$C$22+E17*$E$22+H17*$H$22+I17*$I$22+J17*$J$22+D17*$D$22+F17*$F$22+G17*$G$22+K17*$K$22+L17*$L$22</f>
        <v>0</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2020-06-20T15:44:09Z</dcterms:modified>
</cp:coreProperties>
</file>