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E7" i="48"/>
  <c r="E25" i="48" s="1"/>
  <c r="F24" i="14"/>
  <c r="F26" i="14"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<sst xmlns="http://schemas.openxmlformats.org/spreadsheetml/2006/main" count="2407" uniqueCount="893">
  <si>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</si>
  <si>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</si>
  <si>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</si>
  <si>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</si>
  <si>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</si>
  <si>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</si>
  <si>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</si>
  <si>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</si>
  <si>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</si>
  <si>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</si>
  <si>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</si>
  <si>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</si>
  <si>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</si>
  <si>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</si>
  <si>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</si>
  <si>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</si>
  <si>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</si>
  <si>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</si>
  <si>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</si>
  <si>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</si>
  <si>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</si>
  <si>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</si>
  <si>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</si>
  <si>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</si>
  <si>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</si>
  <si>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</si>
  <si>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</si>
  <si>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</si>
  <si>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</si>
  <si>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</si>
  <si>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</si>
  <si>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</si>
  <si>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</si>
  <si>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</si>
  <si>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</si>
  <si>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</si>
  <si>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</si>
  <si>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</si>
  <si>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</si>
  <si>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</si>
  <si>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</si>
  <si>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</si>
  <si>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</si>
  <si>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</si>
  <si>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</si>
  <si>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</si>
  <si>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</si>
  <si>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</si>
  <si>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</si>
  <si>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</si>
  <si>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</si>
  <si>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</si>
  <si>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</si>
  <si>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</si>
  <si>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</si>
  <si>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</si>
  <si>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</si>
  <si>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</si>
  <si>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</si>
  <si>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</si>
  <si>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</si>
  <si>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</si>
  <si>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</si>
  <si>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</si>
  <si>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</si>
  <si>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</si>
  <si>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</si>
  <si>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</si>
  <si>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</si>
  <si>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</si>
  <si>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</si>
  <si>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</si>
  <si>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</si>
  <si>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</si>
  <si>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</si>
  <si>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</si>
  <si>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</si>
  <si>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</si>
  <si>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</si>
  <si>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</si>
  <si>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</si>
  <si>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</si>
  <si>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</si>
  <si>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</si>
  <si>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</si>
  <si>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</si>
  <si>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</si>
  <si>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</si>
  <si>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</si>
  <si>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</si>
  <si>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</si>
  <si>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</si>
  <si>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</si>
  <si>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</si>
  <si>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</si>
  <si>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</si>
  <si>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</si>
  <si>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</si>
  <si>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</si>
  <si>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</si>
  <si>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</si>
  <si>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</si>
  <si>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</si>
  <si>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</si>
  <si>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</si>
  <si>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</si>
  <si>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</si>
  <si>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</si>
  <si>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</si>
  <si>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</si>
  <si>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</si>
  <si>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</si>
  <si>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</si>
  <si>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</si>
  <si>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</si>
  <si>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</si>
  <si>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</si>
  <si>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</si>
  <si>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</si>
  <si>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</si>
  <si>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</si>
  <si>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</si>
  <si>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</si>
  <si>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</si>
  <si>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</si>
  <si>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</si>
  <si>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</si>
  <si>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</si>
  <si>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</si>
  <si>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</si>
  <si>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</si>
  <si>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</si>
  <si>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</si>
  <si>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</si>
  <si>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</si>
  <si>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</si>
  <si>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</si>
  <si>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</si>
  <si>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</si>
  <si>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</si>
  <si>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</si>
  <si>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</si>
  <si>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</si>
  <si>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</si>
  <si>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</si>
  <si>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</si>
  <si>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</si>
  <si>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</si>
  <si>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</si>
  <si>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</si>
  <si>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</si>
  <si>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</si>
  <si>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</si>
  <si>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</si>
  <si>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</si>
  <si>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</si>
  <si>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</si>
  <si>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</si>
  <si>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</si>
  <si>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</si>
  <si>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</si>
  <si>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</si>
  <si>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</si>
  <si>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</si>
  <si>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</si>
  <si>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</si>
  <si>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</si>
  <si>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</si>
  <si>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</si>
  <si>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</si>
  <si>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</si>
  <si>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</si>
  <si>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</si>
  <si>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</si>
  <si>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</si>
  <si>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</si>
  <si>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</si>
  <si>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</si>
  <si>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</si>
  <si>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</si>
  <si>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</si>
  <si>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</si>
  <si>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</si>
  <si>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</si>
  <si>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</si>
  <si>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</si>
  <si>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</si>
  <si>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</si>
  <si>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</si>
  <si>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</si>
  <si>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</si>
  <si>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</si>
  <si>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</si>
  <si>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</si>
  <si>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</si>
  <si>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</si>
  <si>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</si>
  <si>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</si>
  <si>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</si>
  <si>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</si>
  <si>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</si>
  <si>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</si>
  <si>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</si>
  <si>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</si>
  <si>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</si>
  <si>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</si>
  <si>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</si>
  <si>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</si>
  <si>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</si>
  <si>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</si>
  <si>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</si>
  <si>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</si>
  <si>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</si>
  <si>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</si>
  <si>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</si>
  <si>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</si>
  <si>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</si>
  <si>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</si>
  <si>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</si>
  <si>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</si>
  <si>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</si>
  <si>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</si>
  <si>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</si>
  <si>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</si>
  <si>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</si>
  <si>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</si>
  <si>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</si>
  <si>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</si>
  <si>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</si>
  <si>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</si>
  <si>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</si>
  <si>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</si>
  <si>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</si>
  <si>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</si>
  <si>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</si>
  <si>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</si>
  <si>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</si>
  <si>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</si>
  <si>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</si>
  <si>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</si>
  <si>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</si>
  <si>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</si>
  <si>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</si>
  <si>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</si>
  <si>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</si>
  <si>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</si>
  <si>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</si>
  <si>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</si>
  <si>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</si>
  <si>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</si>
  <si>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</si>
  <si>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</si>
  <si>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</si>
  <si>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</si>
  <si>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</si>
  <si>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</si>
  <si>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</si>
  <si>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</si>
  <si>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</si>
  <si>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</si>
  <si>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</si>
  <si>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</si>
  <si>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</si>
  <si>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</si>
  <si>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</si>
  <si>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</si>
  <si>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</si>
  <si>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</si>
  <si>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</si>
  <si>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</si>
  <si>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</si>
  <si>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</si>
  <si>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</si>
  <si>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</si>
  <si>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</si>
  <si>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</si>
  <si>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</si>
  <si>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</si>
  <si>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</si>
  <si>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</si>
  <si>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</si>
  <si>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</si>
  <si>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</si>
  <si>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</si>
  <si>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</si>
  <si>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</si>
  <si>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</si>
  <si>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</si>
  <si>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</si>
  <si>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</si>
  <si>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</si>
  <si>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</si>
  <si>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</si>
  <si>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</si>
  <si>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</si>
  <si>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</si>
  <si>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</si>
  <si>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</si>
  <si>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</si>
  <si>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</si>
  <si>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</si>
  <si>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</si>
  <si>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</si>
  <si>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</si>
  <si>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</si>
  <si>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</si>
  <si>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</si>
  <si>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</si>
  <si>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</si>
  <si>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</si>
  <si>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</si>
  <si>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</si>
  <si>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</si>
  <si>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</si>
  <si>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</si>
  <si>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</si>
  <si>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</si>
  <si>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</si>
  <si>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</si>
  <si>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</si>
  <si>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</si>
  <si>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</si>
  <si>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</si>
  <si>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</si>
  <si>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</si>
  <si>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</si>
  <si>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</si>
  <si>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</si>
  <si>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</si>
  <si>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</si>
  <si>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</si>
  <si>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</si>
  <si>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</si>
  <si>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</si>
  <si>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</si>
  <si>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</si>
  <si>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</si>
  <si>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</si>
  <si>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</si>
  <si>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</si>
  <si>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</si>
  <si>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</si>
  <si>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</si>
  <si>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</si>
  <si>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</si>
  <si>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</si>
  <si>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</si>
  <si>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</si>
  <si>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</si>
  <si>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</si>
  <si>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</si>
  <si>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</si>
  <si>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</si>
  <si>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</si>
  <si>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</si>
  <si>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</si>
  <si>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</si>
  <si>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</si>
  <si>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</si>
  <si>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</si>
  <si>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</si>
  <si>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</si>
  <si>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</si>
  <si>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</si>
  <si>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</si>
  <si>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</si>
  <si>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</si>
  <si>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</si>
  <si>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</si>
  <si>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</si>
  <si>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</si>
  <si>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</si>
  <si>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</si>
  <si>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</si>
  <si>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</si>
  <si>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</si>
  <si>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</si>
  <si>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</si>
  <si>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</si>
  <si>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</si>
  <si>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</si>
  <si>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</si>
  <si>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</si>
  <si>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</si>
  <si>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</si>
  <si>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</si>
  <si>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</si>
  <si>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</si>
  <si>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</si>
  <si>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</si>
  <si>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</si>
  <si>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</si>
  <si>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</si>
  <si>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</si>
  <si>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</si>
  <si>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</si>
  <si>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</si>
  <si>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</si>
  <si>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</si>
  <si>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</si>
  <si>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</si>
  <si>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</si>
  <si>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</si>
  <si>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</si>
  <si>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</si>
  <si>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</si>
  <si>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</si>
  <si>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</si>
  <si>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</si>
  <si>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</si>
  <si>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</si>
  <si>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</si>
  <si>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</si>
  <si>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</si>
  <si>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</si>
  <si>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</si>
  <si>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</si>
  <si>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</si>
  <si>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</si>
  <si>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</si>
  <si>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</si>
  <si>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</si>
  <si>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</si>
  <si>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</si>
  <si>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</si>
  <si>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</si>
  <si>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</si>
  <si>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</si>
  <si>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</si>
  <si>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</si>
  <si>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</si>
  <si>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</si>
  <si>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</si>
  <si>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</si>
  <si>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</si>
  <si>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</si>
  <si>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</si>
  <si>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</si>
  <si>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</si>
  <si>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</si>
  <si>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</si>
  <si>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</si>
  <si>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</si>
  <si>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</si>
  <si>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</si>
  <si>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</si>
  <si>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</si>
  <si>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</si>
  <si>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</si>
  <si>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</si>
  <si>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</si>
  <si>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</si>
  <si>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</si>
  <si>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</si>
  <si>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</si>
  <si>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</si>
  <si>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</si>
  <si>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</si>
  <si>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</si>
  <si>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</si>
  <si>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</si>
  <si>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</si>
  <si>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</si>
  <si>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</si>
  <si>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</si>
  <si>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</si>
  <si>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</si>
  <si>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</si>
  <si>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</si>
  <si>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</si>
  <si>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</si>
  <si>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</si>
  <si>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</si>
  <si>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</si>
  <si>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</si>
  <si>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</si>
  <si>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</si>
  <si>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</si>
  <si>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</si>
  <si>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</si>
  <si>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</si>
  <si>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</si>
  <si>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</si>
  <si>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</si>
  <si>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</si>
  <si>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</si>
  <si>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</si>
  <si>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</si>
  <si>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</si>
  <si>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</si>
  <si>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</si>
  <si>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</si>
  <si>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</si>
  <si>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</si>
  <si>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</si>
  <si>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</si>
  <si>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</si>
  <si>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</si>
  <si>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</si>
  <si>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</si>
  <si>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</si>
  <si>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</si>
  <si>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</si>
  <si>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</si>
  <si>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</si>
  <si>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</si>
  <si>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</si>
  <si>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</si>
  <si>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</si>
  <si>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</si>
  <si>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</si>
  <si>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</si>
  <si>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</si>
  <si>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</si>
  <si>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</si>
  <si>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</si>
  <si>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</si>
  <si>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</si>
  <si>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</si>
  <si>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</si>
  <si>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</si>
  <si>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</si>
  <si>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</si>
  <si>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</si>
  <si>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</si>
  <si>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</si>
  <si>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</si>
  <si>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</si>
  <si>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</si>
  <si>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</si>
  <si>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</si>
  <si>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</si>
  <si>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</si>
  <si>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</si>
  <si>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</si>
  <si>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</si>
  <si>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</si>
  <si>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</si>
  <si>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</si>
  <si>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</si>
  <si>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</si>
  <si>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</si>
  <si>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</si>
  <si>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</si>
  <si>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</si>
  <si>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</si>
  <si>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</si>
  <si>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</si>
  <si>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</si>
  <si>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</si>
  <si>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</si>
  <si>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</si>
  <si>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</si>
  <si>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</si>
  <si>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</si>
  <si>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</si>
  <si>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</si>
  <si>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</si>
  <si>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</si>
  <si>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</si>
  <si>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</si>
  <si>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</si>
  <si>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</si>
  <si>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</si>
  <si>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</si>
  <si>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</si>
  <si>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</si>
  <si>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</si>
  <si>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</si>
  <si>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</si>
  <si>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</si>
  <si>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</si>
  <si>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</si>
  <si>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</si>
  <si>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</si>
  <si>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</si>
  <si>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</si>
  <si>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</si>
  <si>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</si>
  <si>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</si>
  <si>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</si>
  <si>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</si>
  <si>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</si>
  <si>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</si>
  <si>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</si>
  <si>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</si>
  <si>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</si>
  <si>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</si>
  <si>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</si>
  <si>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</si>
  <si>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</si>
  <si>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</si>
  <si>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</si>
  <si>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</si>
  <si>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</si>
  <si>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</si>
  <si>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</si>
  <si>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</si>
  <si>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</si>
  <si>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</si>
  <si>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</si>
  <si>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</si>
  <si>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</si>
  <si>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</si>
  <si>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</si>
  <si>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</si>
  <si>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</si>
  <si>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</si>
  <si>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</si>
  <si>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</si>
  <si>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</si>
  <si>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</si>
  <si>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</si>
  <si>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</si>
  <si>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</si>
  <si>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</si>
  <si>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</si>
  <si>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</si>
  <si>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</si>
  <si>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</si>
  <si>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</si>
  <si>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</si>
  <si>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</si>
  <si>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</si>
  <si>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</si>
  <si>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</si>
  <si>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</si>
  <si>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</si>
  <si>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</si>
  <si>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</si>
  <si>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</si>
  <si>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</si>
  <si>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</si>
  <si>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</si>
  <si>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</si>
  <si>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</si>
  <si>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</si>
  <si>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</si>
  <si>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</si>
  <si>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</si>
  <si>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</si>
  <si>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</si>
  <si>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</si>
  <si>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</si>
  <si>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</si>
  <si>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</si>
  <si>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</si>
  <si>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</si>
  <si>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</si>
  <si>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</si>
  <si>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</si>
  <si>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</si>
  <si>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</si>
  <si>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</si>
  <si>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</si>
  <si>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</si>
  <si>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</si>
  <si>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</si>
  <si>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</si>
  <si>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</si>
  <si>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</si>
  <si>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</si>
  <si>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</si>
  <si>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</si>
  <si>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</si>
  <si>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</si>
  <si>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</si>
  <si>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</si>
  <si>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</si>
  <si>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</si>
  <si>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</si>
  <si>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</si>
  <si>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</si>
  <si>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</si>
  <si>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</si>
  <si>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</si>
  <si>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</si>
  <si>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</si>
  <si>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</si>
  <si>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</si>
  <si>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</si>
  <si>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</si>
  <si>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</si>
  <si>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</si>
  <si>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</si>
  <si>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</si>
  <si>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</si>
  <si>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</si>
  <si>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</si>
  <si>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</si>
  <si>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</si>
  <si>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</si>
  <si>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</si>
  <si>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</si>
  <si>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</si>
  <si>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</si>
  <si>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</si>
  <si>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</si>
  <si>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</si>
  <si>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</si>
  <si>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</si>
  <si>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</si>
  <si>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</si>
  <si>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</si>
  <si>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</si>
  <si>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</si>
  <si>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</si>
  <si>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</si>
  <si>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</si>
  <si>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</si>
  <si>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</si>
  <si>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</si>
  <si>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</si>
  <si>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</si>
  <si>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</si>
  <si>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</si>
  <si>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</si>
  <si>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</si>
  <si>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</si>
  <si>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</si>
  <si>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</si>
  <si>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</si>
  <si>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</si>
  <si>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</si>
  <si>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</si>
  <si>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</si>
  <si>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</si>
  <si>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</si>
  <si>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</si>
  <si>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</si>
  <si>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</si>
  <si>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</si>
  <si>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</si>
  <si>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</si>
  <si>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</si>
  <si>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</si>
  <si>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</si>
  <si>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</si>
  <si>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</si>
  <si>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</si>
  <si>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</si>
  <si>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</si>
  <si>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</si>
  <si>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</si>
  <si>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</si>
  <si>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</si>
  <si>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</si>
  <si>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</si>
  <si>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</si>
  <si>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</si>
  <si>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</si>
  <si>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</si>
  <si>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</si>
  <si>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</si>
  <si>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</si>
  <si>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</si>
  <si>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</si>
  <si>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</si>
  <si>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</si>
  <si>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</si>
  <si>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</si>
  <si>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</si>
  <si>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</si>
  <si>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</si>
  <si>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</si>
  <si>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</si>
  <si>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</si>
  <si>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</si>
  <si>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</si>
  <si>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</si>
  <si>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</si>
  <si>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</si>
  <si>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</si>
  <si>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</si>
  <si>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</si>
  <si>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</si>
  <si>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</si>
  <si>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</si>
  <si>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</si>
  <si>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</si>
  <si>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</si>
  <si>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</si>
  <si>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</si>
  <si>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</si>
  <si>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</si>
  <si>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</si>
  <si>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</si>
  <si>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</si>
  <si>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</si>
  <si>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</si>
  <si>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</si>
  <si>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</si>
  <si>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</si>
  <si>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</si>
  <si>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</si>
  <si>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</si>
  <si>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</si>
  <si>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</si>
  <si>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</si>
  <si>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</si>
  <si>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</si>
  <si>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</si>
  <si>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</si>
  <si>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</si>
  <si>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</si>
  <si>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</si>
  <si>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</si>
  <si>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</si>
  <si>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</si>
  <si>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</si>
  <si>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</si>
  <si>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</si>
  <si>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</si>
  <si>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</si>
  <si>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</si>
  <si>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</si>
  <si>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</si>
  <si>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</si>
  <si>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</si>
  <si>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</si>
  <si>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</si>
  <si>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</si>
  <si>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</si>
  <si>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</si>
  <si>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</si>
  <si>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</si>
  <si>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</si>
  <si>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</si>
  <si>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</si>
  <si>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</si>
  <si>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</si>
  <si>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</si>
  <si>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</si>
  <si>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</si>
  <si>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</si>
  <si>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</si>
  <si>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</si>
  <si>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</si>
  <si>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</si>
  <si>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</si>
  <si>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</si>
  <si>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</si>
  <si>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</si>
  <si>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</si>
  <si>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</si>
  <si>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</si>
  <si>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</si>
  <si>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</si>
  <si>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</si>
  <si>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</si>
  <si>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</si>
  <si>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</si>
  <si>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</si>
  <si>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</si>
  <si>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</si>
  <si>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</si>
  <si>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</si>
  <si>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</si>
  <si>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</si>
  <si>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</si>
  <si>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</si>
  <si>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</si>
  <si>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</si>
  <si>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</si>
  <si>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</si>
  <si>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</si>
  <si>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</si>
  <si>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</si>
  <si>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</si>
  <si>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</si>
  <si>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</si>
  <si>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</si>
  <si>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</si>
  <si>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</si>
  <si>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</si>
  <si>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</si>
  <si>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</si>
  <si>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</si>
  <si>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</si>
  <si>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</si>
  <si>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</si>
  <si>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</si>
  <si>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</si>
  <si>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33041</t>
  </si>
  <si>
    <t>VLETEREN</t>
  </si>
  <si>
    <t>Fluvius</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</si>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</sst>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36721.150231775377</c:v>
                </c:pt>
                <c:pt idx="1">
                  <c:v>6141.5432153424063</c:v>
                </c:pt>
                <c:pt idx="2">
                  <c:v>185.78800000000001</c:v>
                </c:pt>
                <c:pt idx="3">
                  <c:v>26701.247026868234</c:v>
                </c:pt>
                <c:pt idx="4">
                  <c:v>29354.334509007473</c:v>
                </c:pt>
                <c:pt idx="5">
                  <c:v>28075.59208816896</c:v>
                </c:pt>
                <c:pt idx="6">
                  <c:v>200.1160804556776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36721.150231775377</c:v>
                </c:pt>
                <c:pt idx="1">
                  <c:v>6141.5432153424063</c:v>
                </c:pt>
                <c:pt idx="2">
                  <c:v>185.78800000000001</c:v>
                </c:pt>
                <c:pt idx="3">
                  <c:v>26701.247026868234</c:v>
                </c:pt>
                <c:pt idx="4">
                  <c:v>29354.334509007473</c:v>
                </c:pt>
                <c:pt idx="5">
                  <c:v>28075.59208816896</c:v>
                </c:pt>
                <c:pt idx="6">
                  <c:v>200.1160804556776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6010.2697416312894</c:v>
                </c:pt>
                <c:pt idx="2">
                  <c:v>900.11030800787069</c:v>
                </c:pt>
                <c:pt idx="3">
                  <c:v>14.809475808170793</c:v>
                </c:pt>
                <c:pt idx="4">
                  <c:v>3739.8310791639092</c:v>
                </c:pt>
                <c:pt idx="5">
                  <c:v>5565.1974067318406</c:v>
                </c:pt>
                <c:pt idx="6">
                  <c:v>7027.9247255464197</c:v>
                </c:pt>
                <c:pt idx="7">
                  <c:v>50.559645719744083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6010.2697416312894</c:v>
                </c:pt>
                <c:pt idx="2">
                  <c:v>900.11030800787069</c:v>
                </c:pt>
                <c:pt idx="3">
                  <c:v>14.809475808170793</c:v>
                </c:pt>
                <c:pt idx="4">
                  <c:v>3739.8310791639092</c:v>
                </c:pt>
                <c:pt idx="5">
                  <c:v>5565.1974067318406</c:v>
                </c:pt>
                <c:pt idx="6">
                  <c:v>7027.9247255464197</c:v>
                </c:pt>
                <c:pt idx="7">
                  <c:v>50.559645719744083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33041</v>
      </c>
      <c r="B6" s="390"/>
      <c r="C6" s="391"/>
    </row>
    <row r="7" spans="1:7" s="388" customFormat="1" ht="15.75" customHeight="1">
      <c r="A7" s="392" t="str">
        <f>txtMunicipality</f>
        <v>VLETEREN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2804.4820353617474</v>
      </c>
      <c r="D10" s="979">
        <f ca="1">tertiair!C16</f>
        <v>0</v>
      </c>
      <c r="E10" s="979">
        <f ca="1">tertiair!D16</f>
        <v>2773.8890754342847</v>
      </c>
      <c r="F10" s="979">
        <f>tertiair!E16</f>
        <v>45.893014640777409</v>
      </c>
      <c r="G10" s="979">
        <f ca="1">tertiair!F16</f>
        <v>451.77684200856856</v>
      </c>
      <c r="H10" s="979">
        <f>tertiair!G16</f>
        <v>0</v>
      </c>
      <c r="I10" s="979">
        <f>tertiair!H16</f>
        <v>0</v>
      </c>
      <c r="J10" s="979">
        <f>tertiair!I16</f>
        <v>0</v>
      </c>
      <c r="K10" s="979">
        <f>tertiair!J16</f>
        <v>5.7954676539907161E-3</v>
      </c>
      <c r="L10" s="979">
        <f>tertiair!K16</f>
        <v>0</v>
      </c>
      <c r="M10" s="979">
        <f ca="1">tertiair!L16</f>
        <v>0</v>
      </c>
      <c r="N10" s="979">
        <f>tertiair!M16</f>
        <v>0</v>
      </c>
      <c r="O10" s="979">
        <f ca="1">tertiair!N16</f>
        <v>230.65445242937392</v>
      </c>
      <c r="P10" s="979">
        <f>tertiair!O16</f>
        <v>1.5633333333333335</v>
      </c>
      <c r="Q10" s="980">
        <f>tertiair!P16</f>
        <v>19.066666666666666</v>
      </c>
      <c r="R10" s="674">
        <f ca="1">SUM(C10:Q10)</f>
        <v>6327.3312153424058</v>
      </c>
      <c r="S10" s="67"/>
    </row>
    <row r="11" spans="1:19" s="447" customFormat="1">
      <c r="A11" s="783" t="s">
        <v>224</v>
      </c>
      <c r="B11" s="788"/>
      <c r="C11" s="979">
        <f>huishoudens!B8</f>
        <v>6102.1716365856519</v>
      </c>
      <c r="D11" s="979">
        <f>huishoudens!C8</f>
        <v>0</v>
      </c>
      <c r="E11" s="979">
        <f>huishoudens!D8</f>
        <v>8232.8836957737767</v>
      </c>
      <c r="F11" s="979">
        <f>huishoudens!E8</f>
        <v>6792.5573701266076</v>
      </c>
      <c r="G11" s="979">
        <f>huishoudens!F8</f>
        <v>6925.3644693383512</v>
      </c>
      <c r="H11" s="979">
        <f>huishoudens!G8</f>
        <v>0</v>
      </c>
      <c r="I11" s="979">
        <f>huishoudens!H8</f>
        <v>0</v>
      </c>
      <c r="J11" s="979">
        <f>huishoudens!I8</f>
        <v>0</v>
      </c>
      <c r="K11" s="979">
        <f>huishoudens!J8</f>
        <v>1327.2033151171981</v>
      </c>
      <c r="L11" s="979">
        <f>huishoudens!K8</f>
        <v>0</v>
      </c>
      <c r="M11" s="979">
        <f>huishoudens!L8</f>
        <v>0</v>
      </c>
      <c r="N11" s="979">
        <f>huishoudens!M8</f>
        <v>0</v>
      </c>
      <c r="O11" s="979">
        <f>huishoudens!N8</f>
        <v>6880.5197448337913</v>
      </c>
      <c r="P11" s="979">
        <f>huishoudens!O8</f>
        <v>117.25</v>
      </c>
      <c r="Q11" s="980">
        <f>huishoudens!P8</f>
        <v>343.2</v>
      </c>
      <c r="R11" s="674">
        <f>SUM(C11:Q11)</f>
        <v>36721.150231775377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2845.2950229899152</v>
      </c>
      <c r="D13" s="979">
        <f>industrie!C18</f>
        <v>0</v>
      </c>
      <c r="E13" s="979">
        <f>industrie!D18</f>
        <v>25918.319033193544</v>
      </c>
      <c r="F13" s="979">
        <f>industrie!E18</f>
        <v>64.356996265114333</v>
      </c>
      <c r="G13" s="979">
        <f>industrie!F18</f>
        <v>330.06291827646754</v>
      </c>
      <c r="H13" s="979">
        <f>industrie!G18</f>
        <v>0</v>
      </c>
      <c r="I13" s="979">
        <f>industrie!H18</f>
        <v>0</v>
      </c>
      <c r="J13" s="979">
        <f>industrie!I18</f>
        <v>0</v>
      </c>
      <c r="K13" s="979">
        <f>industrie!J18</f>
        <v>0.44588858143527188</v>
      </c>
      <c r="L13" s="979">
        <f>industrie!K18</f>
        <v>0</v>
      </c>
      <c r="M13" s="979">
        <f>industrie!L18</f>
        <v>0</v>
      </c>
      <c r="N13" s="979">
        <f>industrie!M18</f>
        <v>0</v>
      </c>
      <c r="O13" s="979">
        <f>industrie!N18</f>
        <v>195.85464970099906</v>
      </c>
      <c r="P13" s="979">
        <f>industrie!O18</f>
        <v>0</v>
      </c>
      <c r="Q13" s="980">
        <f>industrie!P18</f>
        <v>0</v>
      </c>
      <c r="R13" s="674">
        <f>SUM(C13:Q13)</f>
        <v>29354.334509007473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11751.948694937313</v>
      </c>
      <c r="D16" s="706">
        <f t="shared" ref="D16:R16" ca="1" si="0">SUM(D9:D15)</f>
        <v>0</v>
      </c>
      <c r="E16" s="706">
        <f t="shared" ca="1" si="0"/>
        <v>36925.091804401607</v>
      </c>
      <c r="F16" s="706">
        <f t="shared" si="0"/>
        <v>6902.8073810324995</v>
      </c>
      <c r="G16" s="706">
        <f t="shared" ca="1" si="0"/>
        <v>7707.2042296233876</v>
      </c>
      <c r="H16" s="706">
        <f t="shared" si="0"/>
        <v>0</v>
      </c>
      <c r="I16" s="706">
        <f t="shared" si="0"/>
        <v>0</v>
      </c>
      <c r="J16" s="706">
        <f t="shared" si="0"/>
        <v>0</v>
      </c>
      <c r="K16" s="706">
        <f t="shared" si="0"/>
        <v>1327.6549991662876</v>
      </c>
      <c r="L16" s="706">
        <f t="shared" si="0"/>
        <v>0</v>
      </c>
      <c r="M16" s="706">
        <f t="shared" ca="1" si="0"/>
        <v>0</v>
      </c>
      <c r="N16" s="706">
        <f t="shared" si="0"/>
        <v>0</v>
      </c>
      <c r="O16" s="706">
        <f t="shared" ca="1" si="0"/>
        <v>7307.0288469641646</v>
      </c>
      <c r="P16" s="706">
        <f t="shared" si="0"/>
        <v>118.81333333333333</v>
      </c>
      <c r="Q16" s="706">
        <f t="shared" si="0"/>
        <v>362.26666666666665</v>
      </c>
      <c r="R16" s="706">
        <f t="shared" ca="1" si="0"/>
        <v>72402.815956125254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189.36196898780554</v>
      </c>
      <c r="I19" s="979">
        <f>transport!H54</f>
        <v>0</v>
      </c>
      <c r="J19" s="979">
        <f>transport!I54</f>
        <v>0</v>
      </c>
      <c r="K19" s="979">
        <f>transport!J54</f>
        <v>0</v>
      </c>
      <c r="L19" s="979">
        <f>transport!K54</f>
        <v>0</v>
      </c>
      <c r="M19" s="979">
        <f>transport!L54</f>
        <v>0</v>
      </c>
      <c r="N19" s="979">
        <f>transport!M54</f>
        <v>10.75411146787205</v>
      </c>
      <c r="O19" s="979">
        <f>transport!N54</f>
        <v>0</v>
      </c>
      <c r="P19" s="979">
        <f>transport!O54</f>
        <v>0</v>
      </c>
      <c r="Q19" s="980">
        <f>transport!P54</f>
        <v>0</v>
      </c>
      <c r="R19" s="674">
        <f>SUM(C19:Q19)</f>
        <v>200.1160804556776</v>
      </c>
      <c r="S19" s="67"/>
    </row>
    <row r="20" spans="1:19" s="447" customFormat="1">
      <c r="A20" s="783" t="s">
        <v>306</v>
      </c>
      <c r="B20" s="788"/>
      <c r="C20" s="979">
        <f>transport!B14</f>
        <v>10.551368062941224</v>
      </c>
      <c r="D20" s="979">
        <f>transport!C14</f>
        <v>0</v>
      </c>
      <c r="E20" s="979">
        <f>transport!D14</f>
        <v>27.649540774802354</v>
      </c>
      <c r="F20" s="979">
        <f>transport!E14</f>
        <v>47.149750388756132</v>
      </c>
      <c r="G20" s="979">
        <f>transport!F14</f>
        <v>0</v>
      </c>
      <c r="H20" s="979">
        <f>transport!G14</f>
        <v>21889.281371338606</v>
      </c>
      <c r="I20" s="979">
        <f>transport!H14</f>
        <v>4684.1659896565016</v>
      </c>
      <c r="J20" s="979">
        <f>transport!I14</f>
        <v>0</v>
      </c>
      <c r="K20" s="979">
        <f>transport!J14</f>
        <v>0</v>
      </c>
      <c r="L20" s="979">
        <f>transport!K14</f>
        <v>0</v>
      </c>
      <c r="M20" s="979">
        <f>transport!L14</f>
        <v>0</v>
      </c>
      <c r="N20" s="979">
        <f>transport!M14</f>
        <v>1416.794067947355</v>
      </c>
      <c r="O20" s="979">
        <f>transport!N14</f>
        <v>0</v>
      </c>
      <c r="P20" s="979">
        <f>transport!O14</f>
        <v>0</v>
      </c>
      <c r="Q20" s="980">
        <f>transport!P14</f>
        <v>0</v>
      </c>
      <c r="R20" s="674">
        <f>SUM(C20:Q20)</f>
        <v>28075.59208816896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10.551368062941224</v>
      </c>
      <c r="D22" s="786">
        <f t="shared" ref="D22:R22" si="1">SUM(D18:D21)</f>
        <v>0</v>
      </c>
      <c r="E22" s="786">
        <f t="shared" si="1"/>
        <v>27.649540774802354</v>
      </c>
      <c r="F22" s="786">
        <f t="shared" si="1"/>
        <v>47.149750388756132</v>
      </c>
      <c r="G22" s="786">
        <f t="shared" si="1"/>
        <v>0</v>
      </c>
      <c r="H22" s="786">
        <f t="shared" si="1"/>
        <v>22078.643340326413</v>
      </c>
      <c r="I22" s="786">
        <f t="shared" si="1"/>
        <v>4684.1659896565016</v>
      </c>
      <c r="J22" s="786">
        <f t="shared" si="1"/>
        <v>0</v>
      </c>
      <c r="K22" s="786">
        <f t="shared" si="1"/>
        <v>0</v>
      </c>
      <c r="L22" s="786">
        <f t="shared" si="1"/>
        <v>0</v>
      </c>
      <c r="M22" s="786">
        <f t="shared" si="1"/>
        <v>0</v>
      </c>
      <c r="N22" s="786">
        <f t="shared" si="1"/>
        <v>1427.548179415227</v>
      </c>
      <c r="O22" s="786">
        <f t="shared" si="1"/>
        <v>0</v>
      </c>
      <c r="P22" s="786">
        <f t="shared" si="1"/>
        <v>0</v>
      </c>
      <c r="Q22" s="786">
        <f t="shared" si="1"/>
        <v>0</v>
      </c>
      <c r="R22" s="786">
        <f t="shared" si="1"/>
        <v>28275.708168624638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2975.6827180348332</v>
      </c>
      <c r="D24" s="979">
        <f>+landbouw!C8</f>
        <v>10710</v>
      </c>
      <c r="E24" s="979">
        <f>+landbouw!D8</f>
        <v>100.45397676200228</v>
      </c>
      <c r="F24" s="979">
        <f>+landbouw!E8</f>
        <v>87.464403867105688</v>
      </c>
      <c r="G24" s="979">
        <f>+landbouw!F8</f>
        <v>12396.533405878914</v>
      </c>
      <c r="H24" s="979">
        <f>+landbouw!G8</f>
        <v>0</v>
      </c>
      <c r="I24" s="979">
        <f>+landbouw!H8</f>
        <v>0</v>
      </c>
      <c r="J24" s="979">
        <f>+landbouw!I8</f>
        <v>0</v>
      </c>
      <c r="K24" s="979">
        <f>+landbouw!J8</f>
        <v>431.11252232538112</v>
      </c>
      <c r="L24" s="979">
        <f>+landbouw!K8</f>
        <v>0</v>
      </c>
      <c r="M24" s="979">
        <f>+landbouw!L8</f>
        <v>0</v>
      </c>
      <c r="N24" s="979">
        <f>+landbouw!M8</f>
        <v>0</v>
      </c>
      <c r="O24" s="979">
        <f>+landbouw!N8</f>
        <v>0</v>
      </c>
      <c r="P24" s="979">
        <f>+landbouw!O8</f>
        <v>0</v>
      </c>
      <c r="Q24" s="980">
        <f>+landbouw!P8</f>
        <v>0</v>
      </c>
      <c r="R24" s="674">
        <f>SUM(C24:Q24)</f>
        <v>26701.247026868234</v>
      </c>
      <c r="S24" s="67"/>
    </row>
    <row r="25" spans="1:19" s="447" customFormat="1" ht="15" thickBot="1">
      <c r="A25" s="805" t="s">
        <v>823</v>
      </c>
      <c r="B25" s="982"/>
      <c r="C25" s="983">
        <f>IF(Onbekend_ele_kWh="---",0,Onbekend_ele_kWh)/1000+IF(REST_rest_ele_kWh="---",0,REST_rest_ele_kWh)/1000</f>
        <v>498.70714638580699</v>
      </c>
      <c r="D25" s="983"/>
      <c r="E25" s="983">
        <f>IF(onbekend_gas_kWh="---",0,onbekend_gas_kWh)/1000+IF(REST_rest_gas_kWh="---",0,REST_rest_gas_kWh)/1000</f>
        <v>269.69446145878499</v>
      </c>
      <c r="F25" s="983"/>
      <c r="G25" s="983"/>
      <c r="H25" s="983"/>
      <c r="I25" s="983"/>
      <c r="J25" s="983"/>
      <c r="K25" s="983"/>
      <c r="L25" s="983"/>
      <c r="M25" s="983"/>
      <c r="N25" s="983"/>
      <c r="O25" s="983"/>
      <c r="P25" s="983"/>
      <c r="Q25" s="984"/>
      <c r="R25" s="674">
        <f>SUM(C25:Q25)</f>
        <v>768.40160784459204</v>
      </c>
      <c r="S25" s="67"/>
    </row>
    <row r="26" spans="1:19" s="447" customFormat="1" ht="15.75" thickBot="1">
      <c r="A26" s="679" t="s">
        <v>824</v>
      </c>
      <c r="B26" s="791"/>
      <c r="C26" s="786">
        <f>SUM(C24:C25)</f>
        <v>3474.3898644206402</v>
      </c>
      <c r="D26" s="786">
        <f t="shared" ref="D26:R26" si="2">SUM(D24:D25)</f>
        <v>10710</v>
      </c>
      <c r="E26" s="786">
        <f t="shared" si="2"/>
        <v>370.14843822078728</v>
      </c>
      <c r="F26" s="786">
        <f t="shared" si="2"/>
        <v>87.464403867105688</v>
      </c>
      <c r="G26" s="786">
        <f t="shared" si="2"/>
        <v>12396.533405878914</v>
      </c>
      <c r="H26" s="786">
        <f t="shared" si="2"/>
        <v>0</v>
      </c>
      <c r="I26" s="786">
        <f t="shared" si="2"/>
        <v>0</v>
      </c>
      <c r="J26" s="786">
        <f t="shared" si="2"/>
        <v>0</v>
      </c>
      <c r="K26" s="786">
        <f t="shared" si="2"/>
        <v>431.11252232538112</v>
      </c>
      <c r="L26" s="786">
        <f t="shared" si="2"/>
        <v>0</v>
      </c>
      <c r="M26" s="786">
        <f t="shared" si="2"/>
        <v>0</v>
      </c>
      <c r="N26" s="786">
        <f t="shared" si="2"/>
        <v>0</v>
      </c>
      <c r="O26" s="786">
        <f t="shared" si="2"/>
        <v>0</v>
      </c>
      <c r="P26" s="786">
        <f t="shared" si="2"/>
        <v>0</v>
      </c>
      <c r="Q26" s="786">
        <f t="shared" si="2"/>
        <v>0</v>
      </c>
      <c r="R26" s="786">
        <f t="shared" si="2"/>
        <v>27469.648634712827</v>
      </c>
      <c r="S26" s="67"/>
    </row>
    <row r="27" spans="1:19" s="447" customFormat="1" ht="17.25" thickTop="1" thickBot="1">
      <c r="A27" s="680" t="s">
        <v>115</v>
      </c>
      <c r="B27" s="779"/>
      <c r="C27" s="681">
        <f ca="1">C22+C16+C26</f>
        <v>15236.889927420894</v>
      </c>
      <c r="D27" s="681">
        <f t="shared" ref="D27:R27" ca="1" si="3">D22+D16+D26</f>
        <v>10710</v>
      </c>
      <c r="E27" s="681">
        <f t="shared" ca="1" si="3"/>
        <v>37322.889783397193</v>
      </c>
      <c r="F27" s="681">
        <f t="shared" si="3"/>
        <v>7037.4215352883612</v>
      </c>
      <c r="G27" s="681">
        <f t="shared" ca="1" si="3"/>
        <v>20103.737635502301</v>
      </c>
      <c r="H27" s="681">
        <f t="shared" si="3"/>
        <v>22078.643340326413</v>
      </c>
      <c r="I27" s="681">
        <f t="shared" si="3"/>
        <v>4684.1659896565016</v>
      </c>
      <c r="J27" s="681">
        <f t="shared" si="3"/>
        <v>0</v>
      </c>
      <c r="K27" s="681">
        <f t="shared" si="3"/>
        <v>1758.7675214916687</v>
      </c>
      <c r="L27" s="681">
        <f t="shared" si="3"/>
        <v>0</v>
      </c>
      <c r="M27" s="681">
        <f t="shared" ca="1" si="3"/>
        <v>0</v>
      </c>
      <c r="N27" s="681">
        <f t="shared" si="3"/>
        <v>1427.548179415227</v>
      </c>
      <c r="O27" s="681">
        <f t="shared" ca="1" si="3"/>
        <v>7307.0288469641646</v>
      </c>
      <c r="P27" s="681">
        <f t="shared" si="3"/>
        <v>118.81333333333333</v>
      </c>
      <c r="Q27" s="681">
        <f t="shared" si="3"/>
        <v>362.26666666666665</v>
      </c>
      <c r="R27" s="681">
        <f t="shared" ca="1" si="3"/>
        <v>128148.17275946272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223.55000784302206</v>
      </c>
      <c r="D40" s="979">
        <f ca="1">tertiair!C20</f>
        <v>0</v>
      </c>
      <c r="E40" s="979">
        <f ca="1">tertiair!D20</f>
        <v>560.32559323772557</v>
      </c>
      <c r="F40" s="979">
        <f>tertiair!E20</f>
        <v>10.417714323456472</v>
      </c>
      <c r="G40" s="979">
        <f ca="1">tertiair!F20</f>
        <v>120.62441681628782</v>
      </c>
      <c r="H40" s="979">
        <f>tertiair!G20</f>
        <v>0</v>
      </c>
      <c r="I40" s="979">
        <f>tertiair!H20</f>
        <v>0</v>
      </c>
      <c r="J40" s="979">
        <f>tertiair!I20</f>
        <v>0</v>
      </c>
      <c r="K40" s="979">
        <f>tertiair!J20</f>
        <v>2.0515955495127134E-3</v>
      </c>
      <c r="L40" s="979">
        <f>tertiair!K20</f>
        <v>0</v>
      </c>
      <c r="M40" s="979">
        <f ca="1">tertiair!L20</f>
        <v>0</v>
      </c>
      <c r="N40" s="979">
        <f>tertiair!M20</f>
        <v>0</v>
      </c>
      <c r="O40" s="979">
        <f ca="1">tertiair!N20</f>
        <v>0</v>
      </c>
      <c r="P40" s="979">
        <f>tertiair!O20</f>
        <v>0</v>
      </c>
      <c r="Q40" s="748">
        <f>tertiair!P20</f>
        <v>0</v>
      </c>
      <c r="R40" s="824">
        <f t="shared" ca="1" si="4"/>
        <v>914.91978381604144</v>
      </c>
    </row>
    <row r="41" spans="1:18">
      <c r="A41" s="796" t="s">
        <v>224</v>
      </c>
      <c r="B41" s="803"/>
      <c r="C41" s="979">
        <f ca="1">huishoudens!B12</f>
        <v>486.41442520141868</v>
      </c>
      <c r="D41" s="979">
        <f ca="1">huishoudens!C12</f>
        <v>0</v>
      </c>
      <c r="E41" s="979">
        <f>huishoudens!D12</f>
        <v>1663.042506546303</v>
      </c>
      <c r="F41" s="979">
        <f>huishoudens!E12</f>
        <v>1541.9105230187399</v>
      </c>
      <c r="G41" s="979">
        <f>huishoudens!F12</f>
        <v>1849.0723133133399</v>
      </c>
      <c r="H41" s="979">
        <f>huishoudens!G12</f>
        <v>0</v>
      </c>
      <c r="I41" s="979">
        <f>huishoudens!H12</f>
        <v>0</v>
      </c>
      <c r="J41" s="979">
        <f>huishoudens!I12</f>
        <v>0</v>
      </c>
      <c r="K41" s="979">
        <f>huishoudens!J12</f>
        <v>469.82997355148814</v>
      </c>
      <c r="L41" s="979">
        <f>huishoudens!K12</f>
        <v>0</v>
      </c>
      <c r="M41" s="979">
        <f>huishoudens!L12</f>
        <v>0</v>
      </c>
      <c r="N41" s="979">
        <f>huishoudens!M12</f>
        <v>0</v>
      </c>
      <c r="O41" s="979">
        <f>huishoudens!N12</f>
        <v>0</v>
      </c>
      <c r="P41" s="979">
        <f>huishoudens!O12</f>
        <v>0</v>
      </c>
      <c r="Q41" s="748">
        <f>huishoudens!P12</f>
        <v>0</v>
      </c>
      <c r="R41" s="824">
        <f t="shared" ca="1" si="4"/>
        <v>6010.2697416312894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226.803280136919</v>
      </c>
      <c r="D43" s="979">
        <f ca="1">industrie!C22</f>
        <v>0</v>
      </c>
      <c r="E43" s="979">
        <f>industrie!D22</f>
        <v>5235.500444705096</v>
      </c>
      <c r="F43" s="979">
        <f>industrie!E22</f>
        <v>14.609038152180954</v>
      </c>
      <c r="G43" s="979">
        <f>industrie!F22</f>
        <v>88.126799179816842</v>
      </c>
      <c r="H43" s="979">
        <f>industrie!G22</f>
        <v>0</v>
      </c>
      <c r="I43" s="979">
        <f>industrie!H22</f>
        <v>0</v>
      </c>
      <c r="J43" s="979">
        <f>industrie!I22</f>
        <v>0</v>
      </c>
      <c r="K43" s="979">
        <f>industrie!J22</f>
        <v>0.15784455782808623</v>
      </c>
      <c r="L43" s="979">
        <f>industrie!K22</f>
        <v>0</v>
      </c>
      <c r="M43" s="979">
        <f>industrie!L22</f>
        <v>0</v>
      </c>
      <c r="N43" s="979">
        <f>industrie!M22</f>
        <v>0</v>
      </c>
      <c r="O43" s="979">
        <f>industrie!N22</f>
        <v>0</v>
      </c>
      <c r="P43" s="979">
        <f>industrie!O22</f>
        <v>0</v>
      </c>
      <c r="Q43" s="748">
        <f>industrie!P22</f>
        <v>0</v>
      </c>
      <c r="R43" s="823">
        <f t="shared" ca="1" si="4"/>
        <v>5565.1974067318406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936.7677131813598</v>
      </c>
      <c r="D46" s="706">
        <f t="shared" ref="D46:Q46" ca="1" si="5">SUM(D39:D45)</f>
        <v>0</v>
      </c>
      <c r="E46" s="706">
        <f t="shared" ca="1" si="5"/>
        <v>7458.8685444891244</v>
      </c>
      <c r="F46" s="706">
        <f t="shared" si="5"/>
        <v>1566.9372754943774</v>
      </c>
      <c r="G46" s="706">
        <f t="shared" ca="1" si="5"/>
        <v>2057.8235293094444</v>
      </c>
      <c r="H46" s="706">
        <f t="shared" si="5"/>
        <v>0</v>
      </c>
      <c r="I46" s="706">
        <f t="shared" si="5"/>
        <v>0</v>
      </c>
      <c r="J46" s="706">
        <f t="shared" si="5"/>
        <v>0</v>
      </c>
      <c r="K46" s="706">
        <f t="shared" si="5"/>
        <v>469.98986970486573</v>
      </c>
      <c r="L46" s="706">
        <f t="shared" si="5"/>
        <v>0</v>
      </c>
      <c r="M46" s="706">
        <f t="shared" ca="1" si="5"/>
        <v>0</v>
      </c>
      <c r="N46" s="706">
        <f t="shared" si="5"/>
        <v>0</v>
      </c>
      <c r="O46" s="706">
        <f t="shared" ca="1" si="5"/>
        <v>0</v>
      </c>
      <c r="P46" s="706">
        <f t="shared" si="5"/>
        <v>0</v>
      </c>
      <c r="Q46" s="706">
        <f t="shared" si="5"/>
        <v>0</v>
      </c>
      <c r="R46" s="706">
        <f ca="1">SUM(R39:R45)</f>
        <v>12490.386932179172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50.559645719744083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50.559645719744083</v>
      </c>
    </row>
    <row r="50" spans="1:18">
      <c r="A50" s="799" t="s">
        <v>306</v>
      </c>
      <c r="B50" s="809"/>
      <c r="C50" s="677">
        <f ca="1">transport!B18</f>
        <v>0.84106739978488365</v>
      </c>
      <c r="D50" s="677">
        <f>transport!C18</f>
        <v>0</v>
      </c>
      <c r="E50" s="677">
        <f>transport!D18</f>
        <v>5.585207236510076</v>
      </c>
      <c r="F50" s="677">
        <f>transport!E18</f>
        <v>10.702993338247643</v>
      </c>
      <c r="G50" s="677">
        <f>transport!F18</f>
        <v>0</v>
      </c>
      <c r="H50" s="677">
        <f>transport!G18</f>
        <v>5844.4381261474082</v>
      </c>
      <c r="I50" s="677">
        <f>transport!H18</f>
        <v>1166.3573314244688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7027.9247255464197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0.84106739978488365</v>
      </c>
      <c r="D52" s="706">
        <f t="shared" ref="D52:Q52" ca="1" si="6">SUM(D48:D51)</f>
        <v>0</v>
      </c>
      <c r="E52" s="706">
        <f t="shared" si="6"/>
        <v>5.585207236510076</v>
      </c>
      <c r="F52" s="706">
        <f t="shared" si="6"/>
        <v>10.702993338247643</v>
      </c>
      <c r="G52" s="706">
        <f t="shared" si="6"/>
        <v>0</v>
      </c>
      <c r="H52" s="706">
        <f t="shared" si="6"/>
        <v>5894.9977718671526</v>
      </c>
      <c r="I52" s="706">
        <f t="shared" si="6"/>
        <v>1166.3573314244688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7078.4843712661641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237.19670390729632</v>
      </c>
      <c r="D54" s="677">
        <f ca="1">+landbouw!C12</f>
        <v>0</v>
      </c>
      <c r="E54" s="677">
        <f>+landbouw!D12</f>
        <v>20.291703305924464</v>
      </c>
      <c r="F54" s="677">
        <f>+landbouw!E12</f>
        <v>19.854419677832993</v>
      </c>
      <c r="G54" s="677">
        <f>+landbouw!F12</f>
        <v>3309.8744193696702</v>
      </c>
      <c r="H54" s="677">
        <f>+landbouw!G12</f>
        <v>0</v>
      </c>
      <c r="I54" s="677">
        <f>+landbouw!H12</f>
        <v>0</v>
      </c>
      <c r="J54" s="677">
        <f>+landbouw!I12</f>
        <v>0</v>
      </c>
      <c r="K54" s="677">
        <f>+landbouw!J12</f>
        <v>152.61383290318491</v>
      </c>
      <c r="L54" s="677">
        <f>+landbouw!K12</f>
        <v>0</v>
      </c>
      <c r="M54" s="677">
        <f>+landbouw!L12</f>
        <v>0</v>
      </c>
      <c r="N54" s="677">
        <f>+landbouw!M12</f>
        <v>0</v>
      </c>
      <c r="O54" s="677">
        <f>+landbouw!N12</f>
        <v>0</v>
      </c>
      <c r="P54" s="677">
        <f>+landbouw!O12</f>
        <v>0</v>
      </c>
      <c r="Q54" s="678">
        <f>+landbouw!P12</f>
        <v>0</v>
      </c>
      <c r="R54" s="705">
        <f ca="1">SUM(C54:Q54)</f>
        <v>3739.8310791639092</v>
      </c>
    </row>
    <row r="55" spans="1:18" ht="15" thickBot="1">
      <c r="A55" s="799" t="s">
        <v>823</v>
      </c>
      <c r="B55" s="809"/>
      <c r="C55" s="677">
        <f ca="1">C25*'EF ele_warmte'!B12</f>
        <v>39.752790383461246</v>
      </c>
      <c r="D55" s="677"/>
      <c r="E55" s="677">
        <f>E25*EF_CO2_aardgas</f>
        <v>54.478281214674574</v>
      </c>
      <c r="F55" s="677"/>
      <c r="G55" s="677"/>
      <c r="H55" s="677"/>
      <c r="I55" s="677"/>
      <c r="J55" s="677"/>
      <c r="K55" s="677"/>
      <c r="L55" s="677"/>
      <c r="M55" s="677"/>
      <c r="N55" s="677"/>
      <c r="O55" s="677"/>
      <c r="P55" s="677"/>
      <c r="Q55" s="678"/>
      <c r="R55" s="705">
        <f ca="1">SUM(C55:Q55)</f>
        <v>94.231071598135827</v>
      </c>
    </row>
    <row r="56" spans="1:18" ht="15.75" thickBot="1">
      <c r="A56" s="797" t="s">
        <v>824</v>
      </c>
      <c r="B56" s="810"/>
      <c r="C56" s="706">
        <f ca="1">SUM(C54:C55)</f>
        <v>276.94949429075757</v>
      </c>
      <c r="D56" s="706">
        <f t="shared" ref="D56:Q56" ca="1" si="7">SUM(D54:D55)</f>
        <v>0</v>
      </c>
      <c r="E56" s="706">
        <f t="shared" si="7"/>
        <v>74.769984520599039</v>
      </c>
      <c r="F56" s="706">
        <f t="shared" si="7"/>
        <v>19.854419677832993</v>
      </c>
      <c r="G56" s="706">
        <f t="shared" si="7"/>
        <v>3309.8744193696702</v>
      </c>
      <c r="H56" s="706">
        <f t="shared" si="7"/>
        <v>0</v>
      </c>
      <c r="I56" s="706">
        <f t="shared" si="7"/>
        <v>0</v>
      </c>
      <c r="J56" s="706">
        <f t="shared" si="7"/>
        <v>0</v>
      </c>
      <c r="K56" s="706">
        <f t="shared" si="7"/>
        <v>152.61383290318491</v>
      </c>
      <c r="L56" s="706">
        <f t="shared" si="7"/>
        <v>0</v>
      </c>
      <c r="M56" s="706">
        <f t="shared" si="7"/>
        <v>0</v>
      </c>
      <c r="N56" s="706">
        <f t="shared" si="7"/>
        <v>0</v>
      </c>
      <c r="O56" s="706">
        <f t="shared" si="7"/>
        <v>0</v>
      </c>
      <c r="P56" s="706">
        <f t="shared" si="7"/>
        <v>0</v>
      </c>
      <c r="Q56" s="707">
        <f t="shared" si="7"/>
        <v>0</v>
      </c>
      <c r="R56" s="708">
        <f ca="1">SUM(R54:R55)</f>
        <v>3834.0621507620449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1214.5582748719021</v>
      </c>
      <c r="D61" s="714">
        <f t="shared" ref="D61:Q61" ca="1" si="8">D46+D52+D56</f>
        <v>0</v>
      </c>
      <c r="E61" s="714">
        <f t="shared" ca="1" si="8"/>
        <v>7539.2237362462329</v>
      </c>
      <c r="F61" s="714">
        <f t="shared" si="8"/>
        <v>1597.494688510458</v>
      </c>
      <c r="G61" s="714">
        <f t="shared" ca="1" si="8"/>
        <v>5367.6979486791151</v>
      </c>
      <c r="H61" s="714">
        <f t="shared" si="8"/>
        <v>5894.9977718671526</v>
      </c>
      <c r="I61" s="714">
        <f t="shared" si="8"/>
        <v>1166.3573314244688</v>
      </c>
      <c r="J61" s="714">
        <f t="shared" si="8"/>
        <v>0</v>
      </c>
      <c r="K61" s="714">
        <f t="shared" si="8"/>
        <v>622.60370260805064</v>
      </c>
      <c r="L61" s="714">
        <f t="shared" si="8"/>
        <v>0</v>
      </c>
      <c r="M61" s="714">
        <f t="shared" ca="1" si="8"/>
        <v>0</v>
      </c>
      <c r="N61" s="714">
        <f t="shared" si="8"/>
        <v>0</v>
      </c>
      <c r="O61" s="714">
        <f t="shared" ca="1" si="8"/>
        <v>0</v>
      </c>
      <c r="P61" s="714">
        <f t="shared" si="8"/>
        <v>0</v>
      </c>
      <c r="Q61" s="714">
        <f t="shared" si="8"/>
        <v>0</v>
      </c>
      <c r="R61" s="714">
        <f ca="1">R46+R52+R56</f>
        <v>23402.933454207381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7.9711691864764095E-2</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2244.1511270955461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7497</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8820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9741.1511270955452</v>
      </c>
      <c r="C78" s="729">
        <f>SUM(C72:C77)</f>
        <v>0</v>
      </c>
      <c r="D78" s="730">
        <f t="shared" ref="D78:H78" si="10">SUM(D76:D77)</f>
        <v>0</v>
      </c>
      <c r="E78" s="730">
        <f t="shared" si="10"/>
        <v>0</v>
      </c>
      <c r="F78" s="730">
        <f t="shared" si="10"/>
        <v>0</v>
      </c>
      <c r="G78" s="730">
        <f t="shared" si="10"/>
        <v>0</v>
      </c>
      <c r="H78" s="730">
        <f t="shared" si="10"/>
        <v>0</v>
      </c>
      <c r="I78" s="730">
        <f>SUM(I76:I77)</f>
        <v>0</v>
      </c>
      <c r="J78" s="730">
        <f>SUM(J76:J77)</f>
        <v>8820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10710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12600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10710</v>
      </c>
      <c r="C90" s="729">
        <f>SUM(C87:C89)</f>
        <v>0</v>
      </c>
      <c r="D90" s="729">
        <f t="shared" ref="D90:H90" si="12">SUM(D87:D89)</f>
        <v>0</v>
      </c>
      <c r="E90" s="729">
        <f t="shared" si="12"/>
        <v>0</v>
      </c>
      <c r="F90" s="729">
        <f t="shared" si="12"/>
        <v>0</v>
      </c>
      <c r="G90" s="729">
        <f t="shared" si="12"/>
        <v>0</v>
      </c>
      <c r="H90" s="729">
        <f t="shared" si="12"/>
        <v>0</v>
      </c>
      <c r="I90" s="729">
        <f>SUM(I87:I89)</f>
        <v>0</v>
      </c>
      <c r="J90" s="729">
        <f>SUM(J87:J89)</f>
        <v>12600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6102.1716365856519</v>
      </c>
      <c r="C4" s="451">
        <f>huishoudens!C8</f>
        <v>0</v>
      </c>
      <c r="D4" s="451">
        <f>huishoudens!D8</f>
        <v>8232.8836957737767</v>
      </c>
      <c r="E4" s="451">
        <f>huishoudens!E8</f>
        <v>6792.5573701266076</v>
      </c>
      <c r="F4" s="451">
        <f>huishoudens!F8</f>
        <v>6925.3644693383512</v>
      </c>
      <c r="G4" s="451">
        <f>huishoudens!G8</f>
        <v>0</v>
      </c>
      <c r="H4" s="451">
        <f>huishoudens!H8</f>
        <v>0</v>
      </c>
      <c r="I4" s="451">
        <f>huishoudens!I8</f>
        <v>0</v>
      </c>
      <c r="J4" s="451">
        <f>huishoudens!J8</f>
        <v>1327.2033151171981</v>
      </c>
      <c r="K4" s="451">
        <f>huishoudens!K8</f>
        <v>0</v>
      </c>
      <c r="L4" s="451">
        <f>huishoudens!L8</f>
        <v>0</v>
      </c>
      <c r="M4" s="451">
        <f>huishoudens!M8</f>
        <v>0</v>
      </c>
      <c r="N4" s="451">
        <f>huishoudens!N8</f>
        <v>6880.5197448337913</v>
      </c>
      <c r="O4" s="451">
        <f>huishoudens!O8</f>
        <v>117.25</v>
      </c>
      <c r="P4" s="452">
        <f>huishoudens!P8</f>
        <v>343.2</v>
      </c>
      <c r="Q4" s="453">
        <f>SUM(B4:P4)</f>
        <v>36721.150231775377</v>
      </c>
    </row>
    <row r="5" spans="1:17">
      <c r="A5" s="450" t="s">
        <v>155</v>
      </c>
      <c r="B5" s="451">
        <f ca="1">tertiair!B16</f>
        <v>2618.6940353617474</v>
      </c>
      <c r="C5" s="451">
        <f ca="1">tertiair!C16</f>
        <v>0</v>
      </c>
      <c r="D5" s="451">
        <f ca="1">tertiair!D16</f>
        <v>2773.8890754342847</v>
      </c>
      <c r="E5" s="451">
        <f>tertiair!E16</f>
        <v>45.893014640777409</v>
      </c>
      <c r="F5" s="451">
        <f ca="1">tertiair!F16</f>
        <v>451.77684200856856</v>
      </c>
      <c r="G5" s="451">
        <f>tertiair!G16</f>
        <v>0</v>
      </c>
      <c r="H5" s="451">
        <f>tertiair!H16</f>
        <v>0</v>
      </c>
      <c r="I5" s="451">
        <f>tertiair!I16</f>
        <v>0</v>
      </c>
      <c r="J5" s="451">
        <f>tertiair!J16</f>
        <v>5.7954676539907161E-3</v>
      </c>
      <c r="K5" s="451">
        <f>tertiair!K16</f>
        <v>0</v>
      </c>
      <c r="L5" s="451">
        <f ca="1">tertiair!L16</f>
        <v>0</v>
      </c>
      <c r="M5" s="451">
        <f>tertiair!M16</f>
        <v>0</v>
      </c>
      <c r="N5" s="451">
        <f ca="1">tertiair!N16</f>
        <v>230.65445242937392</v>
      </c>
      <c r="O5" s="451">
        <f>tertiair!O16</f>
        <v>1.5633333333333335</v>
      </c>
      <c r="P5" s="452">
        <f>tertiair!P16</f>
        <v>19.066666666666666</v>
      </c>
      <c r="Q5" s="450">
        <f t="shared" ref="Q5:Q14" ca="1" si="0">SUM(B5:P5)</f>
        <v>6141.5432153424063</v>
      </c>
    </row>
    <row r="6" spans="1:17">
      <c r="A6" s="450" t="s">
        <v>193</v>
      </c>
      <c r="B6" s="451">
        <f>'openbare verlichting'!B8</f>
        <v>185.78800000000001</v>
      </c>
      <c r="C6" s="451"/>
      <c r="D6" s="451"/>
      <c r="E6" s="451"/>
      <c r="F6" s="451"/>
      <c r="G6" s="451"/>
      <c r="H6" s="451"/>
      <c r="I6" s="451"/>
      <c r="J6" s="451"/>
      <c r="K6" s="451"/>
      <c r="L6" s="451"/>
      <c r="M6" s="451"/>
      <c r="N6" s="451"/>
      <c r="O6" s="451"/>
      <c r="P6" s="452"/>
      <c r="Q6" s="450">
        <f t="shared" si="0"/>
        <v>185.78800000000001</v>
      </c>
    </row>
    <row r="7" spans="1:17">
      <c r="A7" s="450" t="s">
        <v>111</v>
      </c>
      <c r="B7" s="451">
        <f>landbouw!B8</f>
        <v>2975.6827180348332</v>
      </c>
      <c r="C7" s="451">
        <f>landbouw!C8</f>
        <v>10710</v>
      </c>
      <c r="D7" s="451">
        <f>landbouw!D8</f>
        <v>100.45397676200228</v>
      </c>
      <c r="E7" s="451">
        <f>landbouw!E8</f>
        <v>87.464403867105688</v>
      </c>
      <c r="F7" s="451">
        <f>landbouw!F8</f>
        <v>12396.533405878914</v>
      </c>
      <c r="G7" s="451">
        <f>landbouw!G8</f>
        <v>0</v>
      </c>
      <c r="H7" s="451">
        <f>landbouw!H8</f>
        <v>0</v>
      </c>
      <c r="I7" s="451">
        <f>landbouw!I8</f>
        <v>0</v>
      </c>
      <c r="J7" s="451">
        <f>landbouw!J8</f>
        <v>431.11252232538112</v>
      </c>
      <c r="K7" s="451">
        <f>landbouw!K8</f>
        <v>0</v>
      </c>
      <c r="L7" s="451">
        <f>landbouw!L8</f>
        <v>0</v>
      </c>
      <c r="M7" s="451">
        <f>landbouw!M8</f>
        <v>0</v>
      </c>
      <c r="N7" s="451">
        <f>landbouw!N8</f>
        <v>0</v>
      </c>
      <c r="O7" s="451">
        <f>landbouw!O8</f>
        <v>0</v>
      </c>
      <c r="P7" s="452">
        <f>landbouw!P8</f>
        <v>0</v>
      </c>
      <c r="Q7" s="450">
        <f t="shared" si="0"/>
        <v>26701.247026868234</v>
      </c>
    </row>
    <row r="8" spans="1:17">
      <c r="A8" s="450" t="s">
        <v>634</v>
      </c>
      <c r="B8" s="451">
        <f>industrie!B18</f>
        <v>2845.2950229899152</v>
      </c>
      <c r="C8" s="451">
        <f>industrie!C18</f>
        <v>0</v>
      </c>
      <c r="D8" s="451">
        <f>industrie!D18</f>
        <v>25918.319033193544</v>
      </c>
      <c r="E8" s="451">
        <f>industrie!E18</f>
        <v>64.356996265114333</v>
      </c>
      <c r="F8" s="451">
        <f>industrie!F18</f>
        <v>330.06291827646754</v>
      </c>
      <c r="G8" s="451">
        <f>industrie!G18</f>
        <v>0</v>
      </c>
      <c r="H8" s="451">
        <f>industrie!H18</f>
        <v>0</v>
      </c>
      <c r="I8" s="451">
        <f>industrie!I18</f>
        <v>0</v>
      </c>
      <c r="J8" s="451">
        <f>industrie!J18</f>
        <v>0.44588858143527188</v>
      </c>
      <c r="K8" s="451">
        <f>industrie!K18</f>
        <v>0</v>
      </c>
      <c r="L8" s="451">
        <f>industrie!L18</f>
        <v>0</v>
      </c>
      <c r="M8" s="451">
        <f>industrie!M18</f>
        <v>0</v>
      </c>
      <c r="N8" s="451">
        <f>industrie!N18</f>
        <v>195.85464970099906</v>
      </c>
      <c r="O8" s="451">
        <f>industrie!O18</f>
        <v>0</v>
      </c>
      <c r="P8" s="452">
        <f>industrie!P18</f>
        <v>0</v>
      </c>
      <c r="Q8" s="450">
        <f t="shared" si="0"/>
        <v>29354.334509007473</v>
      </c>
    </row>
    <row r="9" spans="1:17" s="456" customFormat="1">
      <c r="A9" s="454" t="s">
        <v>560</v>
      </c>
      <c r="B9" s="455">
        <f>transport!B14</f>
        <v>10.551368062941224</v>
      </c>
      <c r="C9" s="455">
        <f>transport!C14</f>
        <v>0</v>
      </c>
      <c r="D9" s="455">
        <f>transport!D14</f>
        <v>27.649540774802354</v>
      </c>
      <c r="E9" s="455">
        <f>transport!E14</f>
        <v>47.149750388756132</v>
      </c>
      <c r="F9" s="455">
        <f>transport!F14</f>
        <v>0</v>
      </c>
      <c r="G9" s="455">
        <f>transport!G14</f>
        <v>21889.281371338606</v>
      </c>
      <c r="H9" s="455">
        <f>transport!H14</f>
        <v>4684.1659896565016</v>
      </c>
      <c r="I9" s="455">
        <f>transport!I14</f>
        <v>0</v>
      </c>
      <c r="J9" s="455">
        <f>transport!J14</f>
        <v>0</v>
      </c>
      <c r="K9" s="455">
        <f>transport!K14</f>
        <v>0</v>
      </c>
      <c r="L9" s="455">
        <f>transport!L14</f>
        <v>0</v>
      </c>
      <c r="M9" s="455">
        <f>transport!M14</f>
        <v>1416.794067947355</v>
      </c>
      <c r="N9" s="455">
        <f>transport!N14</f>
        <v>0</v>
      </c>
      <c r="O9" s="455">
        <f>transport!O14</f>
        <v>0</v>
      </c>
      <c r="P9" s="455">
        <f>transport!P14</f>
        <v>0</v>
      </c>
      <c r="Q9" s="454">
        <f>SUM(B9:P9)</f>
        <v>28075.59208816896</v>
      </c>
    </row>
    <row r="10" spans="1:17">
      <c r="A10" s="450" t="s">
        <v>550</v>
      </c>
      <c r="B10" s="451">
        <f>transport!B54</f>
        <v>0</v>
      </c>
      <c r="C10" s="451">
        <f>transport!C54</f>
        <v>0</v>
      </c>
      <c r="D10" s="451">
        <f>transport!D54</f>
        <v>0</v>
      </c>
      <c r="E10" s="451">
        <f>transport!E54</f>
        <v>0</v>
      </c>
      <c r="F10" s="451">
        <f>transport!F54</f>
        <v>0</v>
      </c>
      <c r="G10" s="451">
        <f>transport!G54</f>
        <v>189.36196898780554</v>
      </c>
      <c r="H10" s="451">
        <f>transport!H54</f>
        <v>0</v>
      </c>
      <c r="I10" s="451">
        <f>transport!I54</f>
        <v>0</v>
      </c>
      <c r="J10" s="451">
        <f>transport!J54</f>
        <v>0</v>
      </c>
      <c r="K10" s="451">
        <f>transport!K54</f>
        <v>0</v>
      </c>
      <c r="L10" s="451">
        <f>transport!L54</f>
        <v>0</v>
      </c>
      <c r="M10" s="451">
        <f>transport!M54</f>
        <v>10.75411146787205</v>
      </c>
      <c r="N10" s="451">
        <f>transport!N54</f>
        <v>0</v>
      </c>
      <c r="O10" s="451">
        <f>transport!O54</f>
        <v>0</v>
      </c>
      <c r="P10" s="452">
        <f>transport!P54</f>
        <v>0</v>
      </c>
      <c r="Q10" s="450">
        <f t="shared" si="0"/>
        <v>200.1160804556776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498.70714638580699</v>
      </c>
      <c r="C14" s="458"/>
      <c r="D14" s="458">
        <f>'SEAP template'!E25</f>
        <v>269.69446145878499</v>
      </c>
      <c r="E14" s="458"/>
      <c r="F14" s="458"/>
      <c r="G14" s="458"/>
      <c r="H14" s="458"/>
      <c r="I14" s="458"/>
      <c r="J14" s="458"/>
      <c r="K14" s="458"/>
      <c r="L14" s="458"/>
      <c r="M14" s="458"/>
      <c r="N14" s="458"/>
      <c r="O14" s="458"/>
      <c r="P14" s="459"/>
      <c r="Q14" s="450">
        <f t="shared" si="0"/>
        <v>768.40160784459204</v>
      </c>
    </row>
    <row r="15" spans="1:17" s="460" customFormat="1">
      <c r="A15" s="1005" t="s">
        <v>554</v>
      </c>
      <c r="B15" s="953">
        <f ca="1">SUM(B4:B14)</f>
        <v>15236.889927420894</v>
      </c>
      <c r="C15" s="953">
        <f t="shared" ref="C15:Q15" ca="1" si="1">SUM(C4:C14)</f>
        <v>10710</v>
      </c>
      <c r="D15" s="953">
        <f t="shared" ca="1" si="1"/>
        <v>37322.889783397193</v>
      </c>
      <c r="E15" s="953">
        <f t="shared" si="1"/>
        <v>7037.4215352883612</v>
      </c>
      <c r="F15" s="953">
        <f t="shared" ca="1" si="1"/>
        <v>20103.737635502301</v>
      </c>
      <c r="G15" s="953">
        <f t="shared" si="1"/>
        <v>22078.643340326413</v>
      </c>
      <c r="H15" s="953">
        <f t="shared" si="1"/>
        <v>4684.1659896565016</v>
      </c>
      <c r="I15" s="953">
        <f t="shared" si="1"/>
        <v>0</v>
      </c>
      <c r="J15" s="953">
        <f t="shared" si="1"/>
        <v>1758.7675214916687</v>
      </c>
      <c r="K15" s="953">
        <f t="shared" si="1"/>
        <v>0</v>
      </c>
      <c r="L15" s="953">
        <f t="shared" ca="1" si="1"/>
        <v>0</v>
      </c>
      <c r="M15" s="953">
        <f t="shared" si="1"/>
        <v>1427.548179415227</v>
      </c>
      <c r="N15" s="953">
        <f t="shared" ca="1" si="1"/>
        <v>7307.0288469641646</v>
      </c>
      <c r="O15" s="953">
        <f t="shared" si="1"/>
        <v>118.81333333333333</v>
      </c>
      <c r="P15" s="953">
        <f t="shared" si="1"/>
        <v>362.26666666666665</v>
      </c>
      <c r="Q15" s="953">
        <f t="shared" ca="1" si="1"/>
        <v>128148.1727594627</v>
      </c>
    </row>
    <row r="17" spans="1:17">
      <c r="A17" s="461" t="s">
        <v>555</v>
      </c>
      <c r="B17" s="760">
        <f ca="1">huishoudens!B10</f>
        <v>7.9711691864764095E-2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486.41442520141868</v>
      </c>
      <c r="C22" s="451">
        <f t="shared" ref="C22:C32" ca="1" si="3">C4*$C$17</f>
        <v>0</v>
      </c>
      <c r="D22" s="451">
        <f t="shared" ref="D22:D32" si="4">D4*$D$17</f>
        <v>1663.042506546303</v>
      </c>
      <c r="E22" s="451">
        <f t="shared" ref="E22:E32" si="5">E4*$E$17</f>
        <v>1541.9105230187399</v>
      </c>
      <c r="F22" s="451">
        <f t="shared" ref="F22:F32" si="6">F4*$F$17</f>
        <v>1849.0723133133399</v>
      </c>
      <c r="G22" s="451">
        <f t="shared" ref="G22:G32" si="7">G4*$G$17</f>
        <v>0</v>
      </c>
      <c r="H22" s="451">
        <f t="shared" ref="H22:H32" si="8">H4*$H$17</f>
        <v>0</v>
      </c>
      <c r="I22" s="451">
        <f t="shared" ref="I22:I32" si="9">I4*$I$17</f>
        <v>0</v>
      </c>
      <c r="J22" s="451">
        <f t="shared" ref="J22:J32" si="10">J4*$J$17</f>
        <v>469.82997355148814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6010.2697416312894</v>
      </c>
    </row>
    <row r="23" spans="1:17">
      <c r="A23" s="450" t="s">
        <v>155</v>
      </c>
      <c r="B23" s="451">
        <f t="shared" ca="1" si="2"/>
        <v>208.74053203485127</v>
      </c>
      <c r="C23" s="451">
        <f t="shared" ca="1" si="3"/>
        <v>0</v>
      </c>
      <c r="D23" s="451">
        <f t="shared" ca="1" si="4"/>
        <v>560.32559323772557</v>
      </c>
      <c r="E23" s="451">
        <f t="shared" si="5"/>
        <v>10.417714323456472</v>
      </c>
      <c r="F23" s="451">
        <f t="shared" ca="1" si="6"/>
        <v>120.62441681628782</v>
      </c>
      <c r="G23" s="451">
        <f t="shared" si="7"/>
        <v>0</v>
      </c>
      <c r="H23" s="451">
        <f t="shared" si="8"/>
        <v>0</v>
      </c>
      <c r="I23" s="451">
        <f t="shared" si="9"/>
        <v>0</v>
      </c>
      <c r="J23" s="451">
        <f t="shared" si="10"/>
        <v>2.0515955495127134E-3</v>
      </c>
      <c r="K23" s="451">
        <f t="shared" si="11"/>
        <v>0</v>
      </c>
      <c r="L23" s="451">
        <f t="shared" ca="1" si="12"/>
        <v>0</v>
      </c>
      <c r="M23" s="451">
        <f t="shared" si="13"/>
        <v>0</v>
      </c>
      <c r="N23" s="451">
        <f t="shared" ca="1" si="14"/>
        <v>0</v>
      </c>
      <c r="O23" s="451">
        <f t="shared" si="15"/>
        <v>0</v>
      </c>
      <c r="P23" s="452">
        <f t="shared" si="16"/>
        <v>0</v>
      </c>
      <c r="Q23" s="450">
        <f t="shared" ref="Q23:Q32" ca="1" si="17">SUM(B23:P23)</f>
        <v>900.11030800787069</v>
      </c>
    </row>
    <row r="24" spans="1:17">
      <c r="A24" s="450" t="s">
        <v>193</v>
      </c>
      <c r="B24" s="451">
        <f t="shared" ca="1" si="2"/>
        <v>14.809475808170793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14.809475808170793</v>
      </c>
    </row>
    <row r="25" spans="1:17">
      <c r="A25" s="450" t="s">
        <v>111</v>
      </c>
      <c r="B25" s="451">
        <f t="shared" ca="1" si="2"/>
        <v>237.19670390729632</v>
      </c>
      <c r="C25" s="451">
        <f t="shared" ca="1" si="3"/>
        <v>0</v>
      </c>
      <c r="D25" s="451">
        <f t="shared" si="4"/>
        <v>20.291703305924464</v>
      </c>
      <c r="E25" s="451">
        <f t="shared" si="5"/>
        <v>19.854419677832993</v>
      </c>
      <c r="F25" s="451">
        <f t="shared" si="6"/>
        <v>3309.8744193696702</v>
      </c>
      <c r="G25" s="451">
        <f t="shared" si="7"/>
        <v>0</v>
      </c>
      <c r="H25" s="451">
        <f t="shared" si="8"/>
        <v>0</v>
      </c>
      <c r="I25" s="451">
        <f t="shared" si="9"/>
        <v>0</v>
      </c>
      <c r="J25" s="451">
        <f t="shared" si="10"/>
        <v>152.61383290318491</v>
      </c>
      <c r="K25" s="451">
        <f t="shared" si="11"/>
        <v>0</v>
      </c>
      <c r="L25" s="451">
        <f t="shared" si="12"/>
        <v>0</v>
      </c>
      <c r="M25" s="451">
        <f t="shared" si="13"/>
        <v>0</v>
      </c>
      <c r="N25" s="451">
        <f t="shared" si="14"/>
        <v>0</v>
      </c>
      <c r="O25" s="451">
        <f t="shared" si="15"/>
        <v>0</v>
      </c>
      <c r="P25" s="452">
        <f t="shared" si="16"/>
        <v>0</v>
      </c>
      <c r="Q25" s="450">
        <f t="shared" ca="1" si="17"/>
        <v>3739.8310791639092</v>
      </c>
    </row>
    <row r="26" spans="1:17">
      <c r="A26" s="450" t="s">
        <v>634</v>
      </c>
      <c r="B26" s="451">
        <f t="shared" ca="1" si="2"/>
        <v>226.803280136919</v>
      </c>
      <c r="C26" s="451">
        <f t="shared" ca="1" si="3"/>
        <v>0</v>
      </c>
      <c r="D26" s="451">
        <f t="shared" si="4"/>
        <v>5235.500444705096</v>
      </c>
      <c r="E26" s="451">
        <f t="shared" si="5"/>
        <v>14.609038152180954</v>
      </c>
      <c r="F26" s="451">
        <f t="shared" si="6"/>
        <v>88.126799179816842</v>
      </c>
      <c r="G26" s="451">
        <f t="shared" si="7"/>
        <v>0</v>
      </c>
      <c r="H26" s="451">
        <f t="shared" si="8"/>
        <v>0</v>
      </c>
      <c r="I26" s="451">
        <f t="shared" si="9"/>
        <v>0</v>
      </c>
      <c r="J26" s="451">
        <f t="shared" si="10"/>
        <v>0.15784455782808623</v>
      </c>
      <c r="K26" s="451">
        <f t="shared" si="11"/>
        <v>0</v>
      </c>
      <c r="L26" s="451">
        <f t="shared" si="12"/>
        <v>0</v>
      </c>
      <c r="M26" s="451">
        <f t="shared" si="13"/>
        <v>0</v>
      </c>
      <c r="N26" s="451">
        <f t="shared" si="14"/>
        <v>0</v>
      </c>
      <c r="O26" s="451">
        <f t="shared" si="15"/>
        <v>0</v>
      </c>
      <c r="P26" s="452">
        <f t="shared" si="16"/>
        <v>0</v>
      </c>
      <c r="Q26" s="450">
        <f t="shared" ca="1" si="17"/>
        <v>5565.1974067318406</v>
      </c>
    </row>
    <row r="27" spans="1:17" s="456" customFormat="1">
      <c r="A27" s="454" t="s">
        <v>560</v>
      </c>
      <c r="B27" s="754">
        <f t="shared" ca="1" si="2"/>
        <v>0.84106739978488365</v>
      </c>
      <c r="C27" s="455">
        <f t="shared" ca="1" si="3"/>
        <v>0</v>
      </c>
      <c r="D27" s="455">
        <f t="shared" si="4"/>
        <v>5.585207236510076</v>
      </c>
      <c r="E27" s="455">
        <f t="shared" si="5"/>
        <v>10.702993338247643</v>
      </c>
      <c r="F27" s="455">
        <f t="shared" si="6"/>
        <v>0</v>
      </c>
      <c r="G27" s="455">
        <f t="shared" si="7"/>
        <v>5844.4381261474082</v>
      </c>
      <c r="H27" s="455">
        <f t="shared" si="8"/>
        <v>1166.3573314244688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7027.9247255464197</v>
      </c>
    </row>
    <row r="28" spans="1:17">
      <c r="A28" s="450" t="s">
        <v>550</v>
      </c>
      <c r="B28" s="451">
        <f t="shared" ca="1" si="2"/>
        <v>0</v>
      </c>
      <c r="C28" s="451">
        <f t="shared" ca="1" si="3"/>
        <v>0</v>
      </c>
      <c r="D28" s="451">
        <f t="shared" si="4"/>
        <v>0</v>
      </c>
      <c r="E28" s="451">
        <f t="shared" si="5"/>
        <v>0</v>
      </c>
      <c r="F28" s="451">
        <f t="shared" si="6"/>
        <v>0</v>
      </c>
      <c r="G28" s="451">
        <f t="shared" si="7"/>
        <v>50.559645719744083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50.559645719744083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39.752790383461246</v>
      </c>
      <c r="C32" s="451">
        <f t="shared" ca="1" si="3"/>
        <v>0</v>
      </c>
      <c r="D32" s="451">
        <f t="shared" si="4"/>
        <v>54.478281214674574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94.231071598135827</v>
      </c>
    </row>
    <row r="33" spans="1:17" s="460" customFormat="1">
      <c r="A33" s="1005" t="s">
        <v>554</v>
      </c>
      <c r="B33" s="953">
        <f ca="1">SUM(B22:B32)</f>
        <v>1214.5582748719021</v>
      </c>
      <c r="C33" s="953">
        <f t="shared" ref="C33:Q33" ca="1" si="18">SUM(C22:C32)</f>
        <v>0</v>
      </c>
      <c r="D33" s="953">
        <f t="shared" ca="1" si="18"/>
        <v>7539.2237362462338</v>
      </c>
      <c r="E33" s="953">
        <f t="shared" si="18"/>
        <v>1597.494688510458</v>
      </c>
      <c r="F33" s="953">
        <f t="shared" ca="1" si="18"/>
        <v>5367.6979486791142</v>
      </c>
      <c r="G33" s="953">
        <f t="shared" si="18"/>
        <v>5894.9977718671526</v>
      </c>
      <c r="H33" s="953">
        <f t="shared" si="18"/>
        <v>1166.3573314244688</v>
      </c>
      <c r="I33" s="953">
        <f t="shared" si="18"/>
        <v>0</v>
      </c>
      <c r="J33" s="953">
        <f t="shared" si="18"/>
        <v>622.60370260805064</v>
      </c>
      <c r="K33" s="953">
        <f t="shared" si="18"/>
        <v>0</v>
      </c>
      <c r="L33" s="953">
        <f t="shared" ca="1" si="18"/>
        <v>0</v>
      </c>
      <c r="M33" s="953">
        <f t="shared" si="18"/>
        <v>0</v>
      </c>
      <c r="N33" s="953">
        <f t="shared" ca="1" si="18"/>
        <v>0</v>
      </c>
      <c r="O33" s="953">
        <f t="shared" si="18"/>
        <v>0</v>
      </c>
      <c r="P33" s="953">
        <f t="shared" si="18"/>
        <v>0</v>
      </c>
      <c r="Q33" s="953">
        <f t="shared" ca="1" si="18"/>
        <v>23402.933454207381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2244.1511270955461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7497</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8820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9741.1511270955452</v>
      </c>
      <c r="C10" s="1026">
        <f>SUM(C4:C9)</f>
        <v>0</v>
      </c>
      <c r="D10" s="1026">
        <f t="shared" ref="D10:H10" si="0">SUM(D8:D9)</f>
        <v>0</v>
      </c>
      <c r="E10" s="1026">
        <f t="shared" si="0"/>
        <v>0</v>
      </c>
      <c r="F10" s="1026">
        <f t="shared" si="0"/>
        <v>0</v>
      </c>
      <c r="G10" s="1026">
        <f t="shared" si="0"/>
        <v>0</v>
      </c>
      <c r="H10" s="1026">
        <f t="shared" si="0"/>
        <v>0</v>
      </c>
      <c r="I10" s="1026">
        <f>SUM(I8:I9)</f>
        <v>0</v>
      </c>
      <c r="J10" s="1026">
        <f>SUM(J8:J9)</f>
        <v>8820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7.9711691864764095E-2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10710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12600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10710</v>
      </c>
      <c r="C20" s="1026">
        <f>SUM(C17:C19)</f>
        <v>0</v>
      </c>
      <c r="D20" s="1026">
        <f t="shared" ref="D20:H20" si="2">SUM(D17:D19)</f>
        <v>0</v>
      </c>
      <c r="E20" s="1026">
        <f t="shared" si="2"/>
        <v>0</v>
      </c>
      <c r="F20" s="1026">
        <f t="shared" si="2"/>
        <v>0</v>
      </c>
      <c r="G20" s="1026">
        <f t="shared" si="2"/>
        <v>0</v>
      </c>
      <c r="H20" s="1026">
        <f t="shared" si="2"/>
        <v>0</v>
      </c>
      <c r="I20" s="1026">
        <f>SUM(I17:I19)</f>
        <v>0</v>
      </c>
      <c r="J20" s="1026">
        <f>SUM(J17:J19)</f>
        <v>12600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7.9711691864764095E-2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7.9711691864764095E-2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7.9711691864764095E-2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1427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3157.35</v>
      </c>
      <c r="C14" s="330"/>
      <c r="D14" s="330"/>
      <c r="E14" s="330"/>
      <c r="F14" s="330"/>
    </row>
    <row r="15" spans="1:6">
      <c r="A15" s="1293" t="s">
        <v>183</v>
      </c>
      <c r="B15" s="1294">
        <v>47</v>
      </c>
      <c r="C15" s="330"/>
      <c r="D15" s="330"/>
      <c r="E15" s="330"/>
      <c r="F15" s="330"/>
    </row>
    <row r="16" spans="1:6">
      <c r="A16" s="1293" t="s">
        <v>6</v>
      </c>
      <c r="B16" s="1294">
        <v>1407</v>
      </c>
      <c r="C16" s="330"/>
      <c r="D16" s="330"/>
      <c r="E16" s="330"/>
      <c r="F16" s="330"/>
    </row>
    <row r="17" spans="1:6">
      <c r="A17" s="1293" t="s">
        <v>7</v>
      </c>
      <c r="B17" s="1294">
        <v>1239</v>
      </c>
      <c r="C17" s="330"/>
      <c r="D17" s="330"/>
      <c r="E17" s="330"/>
      <c r="F17" s="330"/>
    </row>
    <row r="18" spans="1:6">
      <c r="A18" s="1293" t="s">
        <v>8</v>
      </c>
      <c r="B18" s="1294">
        <v>1784</v>
      </c>
      <c r="C18" s="330"/>
      <c r="D18" s="330"/>
      <c r="E18" s="330"/>
      <c r="F18" s="330"/>
    </row>
    <row r="19" spans="1:6">
      <c r="A19" s="1293" t="s">
        <v>9</v>
      </c>
      <c r="B19" s="1294">
        <v>1876</v>
      </c>
      <c r="C19" s="330"/>
      <c r="D19" s="330"/>
      <c r="E19" s="330"/>
      <c r="F19" s="330"/>
    </row>
    <row r="20" spans="1:6">
      <c r="A20" s="1293" t="s">
        <v>10</v>
      </c>
      <c r="B20" s="1294">
        <v>766</v>
      </c>
      <c r="C20" s="330"/>
      <c r="D20" s="330"/>
      <c r="E20" s="330"/>
      <c r="F20" s="330"/>
    </row>
    <row r="21" spans="1:6">
      <c r="A21" s="1293" t="s">
        <v>11</v>
      </c>
      <c r="B21" s="1294">
        <v>17747</v>
      </c>
      <c r="C21" s="330"/>
      <c r="D21" s="330"/>
      <c r="E21" s="330"/>
      <c r="F21" s="330"/>
    </row>
    <row r="22" spans="1:6">
      <c r="A22" s="1293" t="s">
        <v>12</v>
      </c>
      <c r="B22" s="1294">
        <v>37844</v>
      </c>
      <c r="C22" s="330"/>
      <c r="D22" s="330"/>
      <c r="E22" s="330"/>
      <c r="F22" s="330"/>
    </row>
    <row r="23" spans="1:6">
      <c r="A23" s="1293" t="s">
        <v>13</v>
      </c>
      <c r="B23" s="1294">
        <v>537</v>
      </c>
      <c r="C23" s="330"/>
      <c r="D23" s="330"/>
      <c r="E23" s="330"/>
      <c r="F23" s="330"/>
    </row>
    <row r="24" spans="1:6">
      <c r="A24" s="1293" t="s">
        <v>14</v>
      </c>
      <c r="B24" s="1294">
        <v>46</v>
      </c>
      <c r="C24" s="330"/>
      <c r="D24" s="330"/>
      <c r="E24" s="330"/>
      <c r="F24" s="330"/>
    </row>
    <row r="25" spans="1:6">
      <c r="A25" s="1293" t="s">
        <v>15</v>
      </c>
      <c r="B25" s="1294">
        <v>3710</v>
      </c>
      <c r="C25" s="330"/>
      <c r="D25" s="330"/>
      <c r="E25" s="330"/>
      <c r="F25" s="330"/>
    </row>
    <row r="26" spans="1:6">
      <c r="A26" s="1293" t="s">
        <v>16</v>
      </c>
      <c r="B26" s="1294">
        <v>328</v>
      </c>
      <c r="C26" s="330"/>
      <c r="D26" s="330"/>
      <c r="E26" s="330"/>
      <c r="F26" s="330"/>
    </row>
    <row r="27" spans="1:6">
      <c r="A27" s="1293" t="s">
        <v>17</v>
      </c>
      <c r="B27" s="1294">
        <v>12</v>
      </c>
      <c r="C27" s="330"/>
      <c r="D27" s="330"/>
      <c r="E27" s="330"/>
      <c r="F27" s="330"/>
    </row>
    <row r="28" spans="1:6" s="43" customFormat="1">
      <c r="A28" s="1295" t="s">
        <v>18</v>
      </c>
      <c r="B28" s="1296">
        <v>191929</v>
      </c>
      <c r="C28" s="336"/>
      <c r="D28" s="336"/>
      <c r="E28" s="336"/>
      <c r="F28" s="336"/>
    </row>
    <row r="29" spans="1:6">
      <c r="A29" s="1295" t="s">
        <v>734</v>
      </c>
      <c r="B29" s="1296">
        <v>158</v>
      </c>
      <c r="C29" s="336"/>
      <c r="D29" s="336"/>
      <c r="E29" s="336"/>
      <c r="F29" s="336"/>
    </row>
    <row r="30" spans="1:6">
      <c r="A30" s="1288" t="s">
        <v>735</v>
      </c>
      <c r="B30" s="1297">
        <v>47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9929.5050919791993</v>
      </c>
    </row>
    <row r="39" spans="1:6">
      <c r="A39" s="1293" t="s">
        <v>29</v>
      </c>
      <c r="B39" s="1293" t="s">
        <v>30</v>
      </c>
      <c r="C39" s="1294">
        <v>606</v>
      </c>
      <c r="D39" s="1294">
        <v>9127365.5163789093</v>
      </c>
      <c r="E39" s="1294">
        <v>1246</v>
      </c>
      <c r="F39" s="1294">
        <v>4782263.8702157503</v>
      </c>
    </row>
    <row r="40" spans="1:6">
      <c r="A40" s="1293" t="s">
        <v>29</v>
      </c>
      <c r="B40" s="1293" t="s">
        <v>28</v>
      </c>
      <c r="C40" s="1294">
        <v>0</v>
      </c>
      <c r="D40" s="1294">
        <v>0</v>
      </c>
      <c r="E40" s="1294">
        <v>0</v>
      </c>
      <c r="F40" s="1294">
        <v>0</v>
      </c>
    </row>
    <row r="41" spans="1:6">
      <c r="A41" s="1293" t="s">
        <v>31</v>
      </c>
      <c r="B41" s="1293" t="s">
        <v>32</v>
      </c>
      <c r="C41" s="1294">
        <v>7</v>
      </c>
      <c r="D41" s="1294">
        <v>145350.89811258001</v>
      </c>
      <c r="E41" s="1294">
        <v>23</v>
      </c>
      <c r="F41" s="1294">
        <v>177200.99524144601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42327.277579396803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12</v>
      </c>
      <c r="D48" s="1294">
        <v>977724.32529033499</v>
      </c>
      <c r="E48" s="1294">
        <v>18</v>
      </c>
      <c r="F48" s="1294">
        <v>124550.544648622</v>
      </c>
    </row>
    <row r="49" spans="1:6">
      <c r="A49" s="1293" t="s">
        <v>31</v>
      </c>
      <c r="B49" s="1293" t="s">
        <v>39</v>
      </c>
      <c r="C49" s="1294">
        <v>0</v>
      </c>
      <c r="D49" s="1294">
        <v>0</v>
      </c>
      <c r="E49" s="1294">
        <v>0</v>
      </c>
      <c r="F49" s="1294">
        <v>0</v>
      </c>
    </row>
    <row r="50" spans="1:6">
      <c r="A50" s="1293" t="s">
        <v>31</v>
      </c>
      <c r="B50" s="1293" t="s">
        <v>40</v>
      </c>
      <c r="C50" s="1294">
        <v>7</v>
      </c>
      <c r="D50" s="1294">
        <v>27611203.083907001</v>
      </c>
      <c r="E50" s="1294">
        <v>14</v>
      </c>
      <c r="F50" s="1294">
        <v>2501216.2055204501</v>
      </c>
    </row>
    <row r="51" spans="1:6">
      <c r="A51" s="1293" t="s">
        <v>41</v>
      </c>
      <c r="B51" s="1293" t="s">
        <v>42</v>
      </c>
      <c r="C51" s="1294">
        <v>3</v>
      </c>
      <c r="D51" s="1294">
        <v>59439.716161852899</v>
      </c>
      <c r="E51" s="1294">
        <v>103</v>
      </c>
      <c r="F51" s="1294">
        <v>2890620.8716103402</v>
      </c>
    </row>
    <row r="52" spans="1:6">
      <c r="A52" s="1293" t="s">
        <v>41</v>
      </c>
      <c r="B52" s="1293" t="s">
        <v>28</v>
      </c>
      <c r="C52" s="1294">
        <v>3</v>
      </c>
      <c r="D52" s="1294">
        <v>51928.329028836997</v>
      </c>
      <c r="E52" s="1294">
        <v>5</v>
      </c>
      <c r="F52" s="1294">
        <v>85061.846424493197</v>
      </c>
    </row>
    <row r="53" spans="1:6">
      <c r="A53" s="1293" t="s">
        <v>43</v>
      </c>
      <c r="B53" s="1293" t="s">
        <v>44</v>
      </c>
      <c r="C53" s="1294">
        <v>15</v>
      </c>
      <c r="D53" s="1294">
        <v>269694.46145878499</v>
      </c>
      <c r="E53" s="1294">
        <v>66</v>
      </c>
      <c r="F53" s="1294">
        <v>498707.14638580702</v>
      </c>
    </row>
    <row r="54" spans="1:6">
      <c r="A54" s="1293" t="s">
        <v>45</v>
      </c>
      <c r="B54" s="1293" t="s">
        <v>46</v>
      </c>
      <c r="C54" s="1294">
        <v>0</v>
      </c>
      <c r="D54" s="1294">
        <v>0</v>
      </c>
      <c r="E54" s="1294">
        <v>1</v>
      </c>
      <c r="F54" s="1294">
        <v>185788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130247.481684226</v>
      </c>
      <c r="E57" s="1294">
        <v>13</v>
      </c>
      <c r="F57" s="1294">
        <v>140661.45090665299</v>
      </c>
    </row>
    <row r="58" spans="1:6">
      <c r="A58" s="1293" t="s">
        <v>48</v>
      </c>
      <c r="B58" s="1293" t="s">
        <v>50</v>
      </c>
      <c r="C58" s="1294">
        <v>0</v>
      </c>
      <c r="D58" s="1294">
        <v>0</v>
      </c>
      <c r="E58" s="1294">
        <v>3</v>
      </c>
      <c r="F58" s="1294">
        <v>15621.455203802199</v>
      </c>
    </row>
    <row r="59" spans="1:6">
      <c r="A59" s="1293" t="s">
        <v>48</v>
      </c>
      <c r="B59" s="1293" t="s">
        <v>51</v>
      </c>
      <c r="C59" s="1294">
        <v>3</v>
      </c>
      <c r="D59" s="1294">
        <v>36297.737732697104</v>
      </c>
      <c r="E59" s="1294">
        <v>36</v>
      </c>
      <c r="F59" s="1294">
        <v>651967.08367350895</v>
      </c>
    </row>
    <row r="60" spans="1:6">
      <c r="A60" s="1293" t="s">
        <v>48</v>
      </c>
      <c r="B60" s="1293" t="s">
        <v>52</v>
      </c>
      <c r="C60" s="1294">
        <v>11</v>
      </c>
      <c r="D60" s="1294">
        <v>458051.51765292598</v>
      </c>
      <c r="E60" s="1294">
        <v>19</v>
      </c>
      <c r="F60" s="1294">
        <v>504803.22274762997</v>
      </c>
    </row>
    <row r="61" spans="1:6">
      <c r="A61" s="1293" t="s">
        <v>48</v>
      </c>
      <c r="B61" s="1293" t="s">
        <v>53</v>
      </c>
      <c r="C61" s="1294">
        <v>9</v>
      </c>
      <c r="D61" s="1294">
        <v>513798.47062039498</v>
      </c>
      <c r="E61" s="1294">
        <v>11</v>
      </c>
      <c r="F61" s="1294">
        <v>121136.96014623099</v>
      </c>
    </row>
    <row r="62" spans="1:6">
      <c r="A62" s="1293" t="s">
        <v>48</v>
      </c>
      <c r="B62" s="1293" t="s">
        <v>54</v>
      </c>
      <c r="C62" s="1294">
        <v>0</v>
      </c>
      <c r="D62" s="1294">
        <v>0</v>
      </c>
      <c r="E62" s="1294">
        <v>3</v>
      </c>
      <c r="F62" s="1294">
        <v>52052.7566144019</v>
      </c>
    </row>
    <row r="63" spans="1:6">
      <c r="A63" s="1293" t="s">
        <v>48</v>
      </c>
      <c r="B63" s="1293" t="s">
        <v>28</v>
      </c>
      <c r="C63" s="1294">
        <v>49</v>
      </c>
      <c r="D63" s="1294">
        <v>1936869.84268036</v>
      </c>
      <c r="E63" s="1294">
        <v>69</v>
      </c>
      <c r="F63" s="1294">
        <v>1132451.1060695201</v>
      </c>
    </row>
    <row r="64" spans="1:6">
      <c r="A64" s="1293" t="s">
        <v>55</v>
      </c>
      <c r="B64" s="1293" t="s">
        <v>56</v>
      </c>
      <c r="C64" s="1294">
        <v>0</v>
      </c>
      <c r="D64" s="1294">
        <v>0</v>
      </c>
      <c r="E64" s="1294">
        <v>0</v>
      </c>
      <c r="F64" s="1294">
        <v>0</v>
      </c>
    </row>
    <row r="65" spans="1:6">
      <c r="A65" s="1293" t="s">
        <v>55</v>
      </c>
      <c r="B65" s="1293" t="s">
        <v>28</v>
      </c>
      <c r="C65" s="1294">
        <v>1</v>
      </c>
      <c r="D65" s="1294">
        <v>33930.8680683204</v>
      </c>
      <c r="E65" s="1294">
        <v>2</v>
      </c>
      <c r="F65" s="1294">
        <v>30131.3881924692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62253.915795343302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28926480</v>
      </c>
      <c r="E73" s="449"/>
      <c r="F73" s="330"/>
    </row>
    <row r="74" spans="1:6">
      <c r="A74" s="1293" t="s">
        <v>63</v>
      </c>
      <c r="B74" s="1293" t="s">
        <v>656</v>
      </c>
      <c r="C74" s="1307" t="s">
        <v>658</v>
      </c>
      <c r="D74" s="1308">
        <v>2883178</v>
      </c>
      <c r="E74" s="449"/>
      <c r="F74" s="330"/>
    </row>
    <row r="75" spans="1:6">
      <c r="A75" s="1293" t="s">
        <v>64</v>
      </c>
      <c r="B75" s="1293" t="s">
        <v>655</v>
      </c>
      <c r="C75" s="1307" t="s">
        <v>659</v>
      </c>
      <c r="D75" s="1308">
        <v>2623276</v>
      </c>
      <c r="E75" s="449"/>
      <c r="F75" s="330"/>
    </row>
    <row r="76" spans="1:6">
      <c r="A76" s="1293" t="s">
        <v>64</v>
      </c>
      <c r="B76" s="1293" t="s">
        <v>656</v>
      </c>
      <c r="C76" s="1307" t="s">
        <v>660</v>
      </c>
      <c r="D76" s="1308">
        <v>7953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54578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1319.9077663699013</v>
      </c>
      <c r="C91" s="330"/>
      <c r="D91" s="330"/>
      <c r="E91" s="330"/>
      <c r="F91" s="330"/>
    </row>
    <row r="92" spans="1:6">
      <c r="A92" s="1288" t="s">
        <v>68</v>
      </c>
      <c r="B92" s="1289">
        <v>924.24336072564472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316</v>
      </c>
      <c r="C97" s="330"/>
      <c r="D97" s="330"/>
      <c r="E97" s="330"/>
      <c r="F97" s="330"/>
    </row>
    <row r="98" spans="1:6">
      <c r="A98" s="1293" t="s">
        <v>71</v>
      </c>
      <c r="B98" s="1294">
        <v>0</v>
      </c>
      <c r="C98" s="330"/>
      <c r="D98" s="330"/>
      <c r="E98" s="330"/>
      <c r="F98" s="330"/>
    </row>
    <row r="99" spans="1:6">
      <c r="A99" s="1293" t="s">
        <v>72</v>
      </c>
      <c r="B99" s="1294">
        <v>83</v>
      </c>
      <c r="C99" s="330"/>
      <c r="D99" s="330"/>
      <c r="E99" s="330"/>
      <c r="F99" s="330"/>
    </row>
    <row r="100" spans="1:6">
      <c r="A100" s="1293" t="s">
        <v>73</v>
      </c>
      <c r="B100" s="1294">
        <v>97</v>
      </c>
      <c r="C100" s="330"/>
      <c r="D100" s="330"/>
      <c r="E100" s="330"/>
      <c r="F100" s="330"/>
    </row>
    <row r="101" spans="1:6">
      <c r="A101" s="1293" t="s">
        <v>74</v>
      </c>
      <c r="B101" s="1294">
        <v>61</v>
      </c>
      <c r="C101" s="330"/>
      <c r="D101" s="330"/>
      <c r="E101" s="330"/>
      <c r="F101" s="330"/>
    </row>
    <row r="102" spans="1:6">
      <c r="A102" s="1293" t="s">
        <v>75</v>
      </c>
      <c r="B102" s="1294">
        <v>25</v>
      </c>
      <c r="C102" s="330"/>
      <c r="D102" s="330"/>
      <c r="E102" s="330"/>
      <c r="F102" s="330"/>
    </row>
    <row r="103" spans="1:6">
      <c r="A103" s="1293" t="s">
        <v>76</v>
      </c>
      <c r="B103" s="1294">
        <v>127</v>
      </c>
      <c r="C103" s="330"/>
      <c r="D103" s="330"/>
      <c r="E103" s="330"/>
      <c r="F103" s="330"/>
    </row>
    <row r="104" spans="1:6">
      <c r="A104" s="1293" t="s">
        <v>77</v>
      </c>
      <c r="B104" s="1294">
        <v>593</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11</v>
      </c>
      <c r="C123" s="1294">
        <v>8</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67</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15236.889927420894</v>
      </c>
      <c r="C3" s="43" t="s">
        <v>169</v>
      </c>
      <c r="D3" s="43"/>
      <c r="E3" s="154"/>
      <c r="F3" s="43"/>
      <c r="G3" s="43"/>
      <c r="H3" s="43"/>
      <c r="I3" s="43"/>
      <c r="J3" s="43"/>
      <c r="K3" s="96"/>
    </row>
    <row r="4" spans="1:11">
      <c r="A4" s="358" t="s">
        <v>170</v>
      </c>
      <c r="B4" s="49">
        <f>IF(ISERROR('SEAP template'!B78+'SEAP template'!C78),0,'SEAP template'!B78+'SEAP template'!C78)</f>
        <v>9741.1511270955452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7.9711691864764095E-2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10710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185.78800000000001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185.78800000000001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7.9711691864764095E-2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14.809475808170793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4782.2638702157501</v>
      </c>
      <c r="C5" s="17">
        <f>IF(ISERROR('Eigen informatie GS &amp; warmtenet'!B57),0,'Eigen informatie GS &amp; warmtenet'!B57)</f>
        <v>0</v>
      </c>
      <c r="D5" s="30">
        <f>(SUM(HH_hh_gas_kWh,HH_rest_gas_kWh)/1000)*0.902</f>
        <v>8232.8836957737767</v>
      </c>
      <c r="E5" s="17">
        <f>B46*B57</f>
        <v>6792.5573701266076</v>
      </c>
      <c r="F5" s="17">
        <f>B51*B62</f>
        <v>6925.3644693383512</v>
      </c>
      <c r="G5" s="18"/>
      <c r="H5" s="17"/>
      <c r="I5" s="17"/>
      <c r="J5" s="17">
        <f>B50*B61+C50*C61</f>
        <v>1327.2033151171981</v>
      </c>
      <c r="K5" s="17"/>
      <c r="L5" s="17"/>
      <c r="M5" s="17"/>
      <c r="N5" s="17">
        <f>B48*B59+C48*C59</f>
        <v>6880.5197448337913</v>
      </c>
      <c r="O5" s="17">
        <f>B69*B70*B71</f>
        <v>117.25</v>
      </c>
      <c r="P5" s="17">
        <f>B77*B78*B79/1000-B77*B78*B79/1000/B80</f>
        <v>343.2</v>
      </c>
    </row>
    <row r="6" spans="1:16">
      <c r="A6" s="16" t="s">
        <v>620</v>
      </c>
      <c r="B6" s="762">
        <f>kWh_PV_kleiner_dan_10kW</f>
        <v>1319.9077663699013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6102.1716365856519</v>
      </c>
      <c r="C8" s="21">
        <f>C5</f>
        <v>0</v>
      </c>
      <c r="D8" s="21">
        <f>D5</f>
        <v>8232.8836957737767</v>
      </c>
      <c r="E8" s="21">
        <f>E5</f>
        <v>6792.5573701266076</v>
      </c>
      <c r="F8" s="21">
        <f>F5</f>
        <v>6925.3644693383512</v>
      </c>
      <c r="G8" s="21"/>
      <c r="H8" s="21"/>
      <c r="I8" s="21"/>
      <c r="J8" s="21">
        <f>J5</f>
        <v>1327.2033151171981</v>
      </c>
      <c r="K8" s="21"/>
      <c r="L8" s="21">
        <f>L5</f>
        <v>0</v>
      </c>
      <c r="M8" s="21">
        <f>M5</f>
        <v>0</v>
      </c>
      <c r="N8" s="21">
        <f>N5</f>
        <v>6880.5197448337913</v>
      </c>
      <c r="O8" s="21">
        <f>O5</f>
        <v>117.25</v>
      </c>
      <c r="P8" s="21">
        <f>P5</f>
        <v>343.2</v>
      </c>
    </row>
    <row r="9" spans="1:16">
      <c r="B9" s="19"/>
      <c r="C9" s="19"/>
      <c r="D9" s="258"/>
      <c r="E9" s="19"/>
      <c r="F9" s="19"/>
      <c r="G9" s="19"/>
      <c r="H9" s="19"/>
      <c r="I9" s="19"/>
      <c r="J9" s="19"/>
      <c r="K9" s="19"/>
      <c r="L9" s="19"/>
      <c r="M9" s="19"/>
      <c r="N9" s="19"/>
      <c r="O9" s="19"/>
      <c r="P9" s="19"/>
    </row>
    <row r="10" spans="1:16">
      <c r="A10" s="24" t="s">
        <v>213</v>
      </c>
      <c r="B10" s="25">
        <f ca="1">'EF ele_warmte'!B12</f>
        <v>7.9711691864764095E-2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486.41442520141868</v>
      </c>
      <c r="C12" s="23">
        <f ca="1">C10*C8</f>
        <v>0</v>
      </c>
      <c r="D12" s="23">
        <f>D8*D10</f>
        <v>1663.042506546303</v>
      </c>
      <c r="E12" s="23">
        <f>E10*E8</f>
        <v>1541.9105230187399</v>
      </c>
      <c r="F12" s="23">
        <f>F10*F8</f>
        <v>1849.0723133133399</v>
      </c>
      <c r="G12" s="23"/>
      <c r="H12" s="23"/>
      <c r="I12" s="23"/>
      <c r="J12" s="23">
        <f>J10*J8</f>
        <v>469.82997355148814</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316</v>
      </c>
      <c r="C18" s="166" t="s">
        <v>110</v>
      </c>
      <c r="D18" s="228"/>
      <c r="E18" s="15"/>
    </row>
    <row r="19" spans="1:7">
      <c r="A19" s="171" t="s">
        <v>71</v>
      </c>
      <c r="B19" s="37">
        <f>aantalw2001_ander</f>
        <v>0</v>
      </c>
      <c r="C19" s="166" t="s">
        <v>110</v>
      </c>
      <c r="D19" s="229"/>
      <c r="E19" s="15"/>
    </row>
    <row r="20" spans="1:7">
      <c r="A20" s="171" t="s">
        <v>72</v>
      </c>
      <c r="B20" s="37">
        <f>aantalw2001_propaan</f>
        <v>83</v>
      </c>
      <c r="C20" s="167">
        <f>IF(ISERROR(B20/SUM($B$20,$B$21,$B$22)*100),0,B20/SUM($B$20,$B$21,$B$22)*100)</f>
        <v>34.439834024896264</v>
      </c>
      <c r="D20" s="229"/>
      <c r="E20" s="15"/>
    </row>
    <row r="21" spans="1:7">
      <c r="A21" s="171" t="s">
        <v>73</v>
      </c>
      <c r="B21" s="37">
        <f>aantalw2001_elektriciteit</f>
        <v>97</v>
      </c>
      <c r="C21" s="167">
        <f>IF(ISERROR(B21/SUM($B$20,$B$21,$B$22)*100),0,B21/SUM($B$20,$B$21,$B$22)*100)</f>
        <v>40.248962655601659</v>
      </c>
      <c r="D21" s="229"/>
      <c r="E21" s="15"/>
    </row>
    <row r="22" spans="1:7">
      <c r="A22" s="171" t="s">
        <v>74</v>
      </c>
      <c r="B22" s="37">
        <f>aantalw2001_hout</f>
        <v>61</v>
      </c>
      <c r="C22" s="167">
        <f>IF(ISERROR(B22/SUM($B$20,$B$21,$B$22)*100),0,B22/SUM($B$20,$B$21,$B$22)*100)</f>
        <v>25.311203319502074</v>
      </c>
      <c r="D22" s="229"/>
      <c r="E22" s="15"/>
    </row>
    <row r="23" spans="1:7">
      <c r="A23" s="171" t="s">
        <v>75</v>
      </c>
      <c r="B23" s="37">
        <f>aantalw2001_niet_gespec</f>
        <v>25</v>
      </c>
      <c r="C23" s="166" t="s">
        <v>110</v>
      </c>
      <c r="D23" s="228"/>
      <c r="E23" s="15"/>
    </row>
    <row r="24" spans="1:7">
      <c r="A24" s="171" t="s">
        <v>76</v>
      </c>
      <c r="B24" s="37">
        <f>aantalw2001_steenkool</f>
        <v>127</v>
      </c>
      <c r="C24" s="166" t="s">
        <v>110</v>
      </c>
      <c r="D24" s="229"/>
      <c r="E24" s="15"/>
    </row>
    <row r="25" spans="1:7">
      <c r="A25" s="171" t="s">
        <v>77</v>
      </c>
      <c r="B25" s="37">
        <f>aantalw2001_stookolie</f>
        <v>593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1427</v>
      </c>
      <c r="C28" s="36"/>
      <c r="D28" s="228"/>
    </row>
    <row r="29" spans="1:7" s="15" customFormat="1">
      <c r="A29" s="230" t="s">
        <v>781</v>
      </c>
      <c r="B29" s="37">
        <f>SUM(HH_hh_gas_aantal,HH_rest_gas_aantal)</f>
        <v>606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606</v>
      </c>
      <c r="C32" s="167">
        <f>IF(ISERROR(B32/SUM($B$32,$B$34,$B$35,$B$36,$B$38,$B$39)*100),0,B32/SUM($B$32,$B$34,$B$35,$B$36,$B$38,$B$39)*100)</f>
        <v>43.009226401703337</v>
      </c>
      <c r="D32" s="233"/>
      <c r="G32" s="15"/>
    </row>
    <row r="33" spans="1:7">
      <c r="A33" s="171" t="s">
        <v>71</v>
      </c>
      <c r="B33" s="34" t="s">
        <v>110</v>
      </c>
      <c r="C33" s="167"/>
      <c r="D33" s="233"/>
      <c r="G33" s="15"/>
    </row>
    <row r="34" spans="1:7">
      <c r="A34" s="171" t="s">
        <v>72</v>
      </c>
      <c r="B34" s="33">
        <f>IF((($B$28-$B$32-$B$39-$B$77-$B$38)*C20/100)&lt;0,0,($B$28-$B$32-$B$39-$B$77-$B$38)*C20/100)</f>
        <v>128.46058091286307</v>
      </c>
      <c r="C34" s="167">
        <f>IF(ISERROR(B34/SUM($B$32,$B$34,$B$35,$B$36,$B$38,$B$39)*100),0,B34/SUM($B$32,$B$34,$B$35,$B$36,$B$38,$B$39)*100)</f>
        <v>9.1171455580456406</v>
      </c>
      <c r="D34" s="233"/>
      <c r="G34" s="15"/>
    </row>
    <row r="35" spans="1:7">
      <c r="A35" s="171" t="s">
        <v>73</v>
      </c>
      <c r="B35" s="33">
        <f>IF((($B$28-$B$32-$B$39-$B$77-$B$38)*C21/100)&lt;0,0,($B$28-$B$32-$B$39-$B$77-$B$38)*C21/100)</f>
        <v>150.12863070539419</v>
      </c>
      <c r="C35" s="167">
        <f>IF(ISERROR(B35/SUM($B$32,$B$34,$B$35,$B$36,$B$38,$B$39)*100),0,B35/SUM($B$32,$B$34,$B$35,$B$36,$B$38,$B$39)*100)</f>
        <v>10.654977338920808</v>
      </c>
      <c r="D35" s="233"/>
      <c r="G35" s="15"/>
    </row>
    <row r="36" spans="1:7">
      <c r="A36" s="171" t="s">
        <v>74</v>
      </c>
      <c r="B36" s="33">
        <f>IF((($B$28-$B$32-$B$39-$B$77-$B$38)*C22/100)&lt;0,0,($B$28-$B$32-$B$39-$B$77-$B$38)*C22/100)</f>
        <v>94.410788381742734</v>
      </c>
      <c r="C36" s="167">
        <f>IF(ISERROR(B36/SUM($B$32,$B$34,$B$35,$B$36,$B$38,$B$39)*100),0,B36/SUM($B$32,$B$34,$B$35,$B$36,$B$38,$B$39)*100)</f>
        <v>6.7005527595275183</v>
      </c>
      <c r="D36" s="233"/>
      <c r="G36" s="15"/>
    </row>
    <row r="37" spans="1:7">
      <c r="A37" s="171" t="s">
        <v>75</v>
      </c>
      <c r="B37" s="34" t="s">
        <v>110</v>
      </c>
      <c r="C37" s="167"/>
      <c r="D37" s="173"/>
      <c r="G37" s="15"/>
    </row>
    <row r="38" spans="1:7">
      <c r="A38" s="171" t="s">
        <v>76</v>
      </c>
      <c r="B38" s="33">
        <f>IF((B24-(B29-B18)*0.1)&lt;0,0,B24-(B29-B18)*0.1)</f>
        <v>98</v>
      </c>
      <c r="C38" s="167">
        <f>IF(ISERROR(B38/SUM($B$32,$B$34,$B$35,$B$36,$B$38,$B$39)*100),0,B38/SUM($B$32,$B$34,$B$35,$B$36,$B$38,$B$39)*100)</f>
        <v>6.9552874378992202</v>
      </c>
      <c r="D38" s="234"/>
      <c r="G38" s="15"/>
    </row>
    <row r="39" spans="1:7">
      <c r="A39" s="171" t="s">
        <v>77</v>
      </c>
      <c r="B39" s="33">
        <f>IF((B25-(B29-B18))&lt;0,0,B25-(B29-B18)*0.9)</f>
        <v>332</v>
      </c>
      <c r="C39" s="167">
        <f>IF(ISERROR(B39/SUM($B$32,$B$34,$B$35,$B$36,$B$38,$B$39)*100),0,B39/SUM($B$32,$B$34,$B$35,$B$36,$B$38,$B$39)*100)</f>
        <v>23.562810503903478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606</v>
      </c>
      <c r="C44" s="34" t="s">
        <v>110</v>
      </c>
      <c r="D44" s="174"/>
    </row>
    <row r="45" spans="1:7">
      <c r="A45" s="171" t="s">
        <v>71</v>
      </c>
      <c r="B45" s="33" t="str">
        <f t="shared" si="0"/>
        <v>-</v>
      </c>
      <c r="C45" s="34" t="s">
        <v>110</v>
      </c>
      <c r="D45" s="174"/>
    </row>
    <row r="46" spans="1:7">
      <c r="A46" s="171" t="s">
        <v>72</v>
      </c>
      <c r="B46" s="33">
        <f t="shared" si="0"/>
        <v>128.46058091286307</v>
      </c>
      <c r="C46" s="34" t="s">
        <v>110</v>
      </c>
      <c r="D46" s="174"/>
    </row>
    <row r="47" spans="1:7">
      <c r="A47" s="171" t="s">
        <v>73</v>
      </c>
      <c r="B47" s="33">
        <f t="shared" si="0"/>
        <v>150.12863070539419</v>
      </c>
      <c r="C47" s="34" t="s">
        <v>110</v>
      </c>
      <c r="D47" s="174"/>
    </row>
    <row r="48" spans="1:7">
      <c r="A48" s="171" t="s">
        <v>74</v>
      </c>
      <c r="B48" s="33">
        <f t="shared" si="0"/>
        <v>94.410788381742734</v>
      </c>
      <c r="C48" s="33">
        <f>B48*10</f>
        <v>944.10788381742736</v>
      </c>
      <c r="D48" s="234"/>
    </row>
    <row r="49" spans="1:6">
      <c r="A49" s="171" t="s">
        <v>75</v>
      </c>
      <c r="B49" s="33" t="str">
        <f t="shared" si="0"/>
        <v>-</v>
      </c>
      <c r="C49" s="34" t="s">
        <v>110</v>
      </c>
      <c r="D49" s="234"/>
    </row>
    <row r="50" spans="1:6">
      <c r="A50" s="171" t="s">
        <v>76</v>
      </c>
      <c r="B50" s="33">
        <f t="shared" si="0"/>
        <v>98</v>
      </c>
      <c r="C50" s="33">
        <f>B50*2</f>
        <v>196</v>
      </c>
      <c r="D50" s="234"/>
    </row>
    <row r="51" spans="1:6">
      <c r="A51" s="171" t="s">
        <v>77</v>
      </c>
      <c r="B51" s="33">
        <f t="shared" si="0"/>
        <v>332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2618.6940353617474</v>
      </c>
      <c r="C5" s="17">
        <f>IF(ISERROR('Eigen informatie GS &amp; warmtenet'!B58),0,'Eigen informatie GS &amp; warmtenet'!B58)</f>
        <v>0</v>
      </c>
      <c r="D5" s="30">
        <f>SUM(D6:D12)</f>
        <v>2773.8890754342847</v>
      </c>
      <c r="E5" s="17">
        <f>SUM(E6:E12)</f>
        <v>45.893014640777409</v>
      </c>
      <c r="F5" s="17">
        <f>SUM(F6:F12)</f>
        <v>451.77684200856856</v>
      </c>
      <c r="G5" s="18"/>
      <c r="H5" s="17"/>
      <c r="I5" s="17"/>
      <c r="J5" s="17">
        <f>SUM(J6:J12)</f>
        <v>5.7954676539907161E-3</v>
      </c>
      <c r="K5" s="17"/>
      <c r="L5" s="17"/>
      <c r="M5" s="17"/>
      <c r="N5" s="17">
        <f>SUM(N6:N12)</f>
        <v>230.65445242937392</v>
      </c>
      <c r="O5" s="17">
        <f>B38*B39*B40</f>
        <v>1.5633333333333335</v>
      </c>
      <c r="P5" s="17">
        <f>B46*B47*B48/1000-B46*B47*B48/1000/B49</f>
        <v>19.066666666666666</v>
      </c>
      <c r="R5" s="32"/>
    </row>
    <row r="6" spans="1:18">
      <c r="A6" s="32" t="s">
        <v>53</v>
      </c>
      <c r="B6" s="37">
        <f>B26</f>
        <v>121.13696014623099</v>
      </c>
      <c r="C6" s="33"/>
      <c r="D6" s="37">
        <f>IF(ISERROR(TER_kantoor_gas_kWh/1000),0,TER_kantoor_gas_kWh/1000)*0.902</f>
        <v>463.44622049959622</v>
      </c>
      <c r="E6" s="33">
        <f>$C$26*'E Balans VL '!I12/100/3.6*1000000</f>
        <v>7.592461766748233E-4</v>
      </c>
      <c r="F6" s="33">
        <f>$C$26*('E Balans VL '!L12+'E Balans VL '!N12)/100/3.6*1000000</f>
        <v>18.203500220482383</v>
      </c>
      <c r="G6" s="34"/>
      <c r="H6" s="33"/>
      <c r="I6" s="33"/>
      <c r="J6" s="33">
        <f>$C$26*('E Balans VL '!D12+'E Balans VL '!E12)/100/3.6*1000000</f>
        <v>0</v>
      </c>
      <c r="K6" s="33"/>
      <c r="L6" s="33"/>
      <c r="M6" s="33"/>
      <c r="N6" s="33">
        <f>$C$26*'E Balans VL '!Y12/100/3.6*1000000</f>
        <v>0.11584954185446539</v>
      </c>
      <c r="O6" s="33"/>
      <c r="P6" s="33"/>
      <c r="R6" s="32"/>
    </row>
    <row r="7" spans="1:18">
      <c r="A7" s="32" t="s">
        <v>52</v>
      </c>
      <c r="B7" s="37">
        <f t="shared" ref="B7:B12" si="0">B27</f>
        <v>504.80322274763</v>
      </c>
      <c r="C7" s="33"/>
      <c r="D7" s="37">
        <f>IF(ISERROR(TER_horeca_gas_kWh/1000),0,TER_horeca_gas_kWh/1000)*0.902</f>
        <v>413.16246892293924</v>
      </c>
      <c r="E7" s="33">
        <f>$C$27*'E Balans VL '!I9/100/3.6*1000000</f>
        <v>7.2286980655806587</v>
      </c>
      <c r="F7" s="33">
        <f>$C$27*('E Balans VL '!L9+'E Balans VL '!N9)/100/3.6*1000000</f>
        <v>63.924737051555283</v>
      </c>
      <c r="G7" s="34"/>
      <c r="H7" s="33"/>
      <c r="I7" s="33"/>
      <c r="J7" s="33">
        <f>$C$27*('E Balans VL '!D9+'E Balans VL '!E9)/100/3.6*1000000</f>
        <v>0</v>
      </c>
      <c r="K7" s="33"/>
      <c r="L7" s="33"/>
      <c r="M7" s="33"/>
      <c r="N7" s="33">
        <f>$C$27*'E Balans VL '!Y9/100/3.6*1000000</f>
        <v>0.14511979658427374</v>
      </c>
      <c r="O7" s="33"/>
      <c r="P7" s="33"/>
      <c r="R7" s="32"/>
    </row>
    <row r="8" spans="1:18">
      <c r="A8" s="6" t="s">
        <v>51</v>
      </c>
      <c r="B8" s="37">
        <f t="shared" si="0"/>
        <v>651.96708367350891</v>
      </c>
      <c r="C8" s="33"/>
      <c r="D8" s="37">
        <f>IF(ISERROR(TER_handel_gas_kWh/1000),0,TER_handel_gas_kWh/1000)*0.902</f>
        <v>32.740559434892788</v>
      </c>
      <c r="E8" s="33">
        <f>$C$28*'E Balans VL '!I13/100/3.6*1000000</f>
        <v>23.646765727859322</v>
      </c>
      <c r="F8" s="33">
        <f>$C$28*('E Balans VL '!L13+'E Balans VL '!N13)/100/3.6*1000000</f>
        <v>125.57546190195579</v>
      </c>
      <c r="G8" s="34"/>
      <c r="H8" s="33"/>
      <c r="I8" s="33"/>
      <c r="J8" s="33">
        <f>$C$28*('E Balans VL '!D13+'E Balans VL '!E13)/100/3.6*1000000</f>
        <v>0</v>
      </c>
      <c r="K8" s="33"/>
      <c r="L8" s="33"/>
      <c r="M8" s="33"/>
      <c r="N8" s="33">
        <f>$C$28*'E Balans VL '!Y13/100/3.6*1000000</f>
        <v>0.90312442182347596</v>
      </c>
      <c r="O8" s="33"/>
      <c r="P8" s="33"/>
      <c r="R8" s="32"/>
    </row>
    <row r="9" spans="1:18">
      <c r="A9" s="32" t="s">
        <v>50</v>
      </c>
      <c r="B9" s="37">
        <f t="shared" si="0"/>
        <v>15.621455203802199</v>
      </c>
      <c r="C9" s="33"/>
      <c r="D9" s="37">
        <f>IF(ISERROR(TER_gezond_gas_kWh/1000),0,TER_gezond_gas_kWh/1000)*0.902</f>
        <v>0</v>
      </c>
      <c r="E9" s="33">
        <f>$C$29*'E Balans VL '!I10/100/3.6*1000000</f>
        <v>9.7805732976417067E-4</v>
      </c>
      <c r="F9" s="33">
        <f>$C$29*('E Balans VL '!L10+'E Balans VL '!N10)/100/3.6*1000000</f>
        <v>2.3206147333262708</v>
      </c>
      <c r="G9" s="34"/>
      <c r="H9" s="33"/>
      <c r="I9" s="33"/>
      <c r="J9" s="33">
        <f>$C$29*('E Balans VL '!D10+'E Balans VL '!E10)/100/3.6*1000000</f>
        <v>0</v>
      </c>
      <c r="K9" s="33"/>
      <c r="L9" s="33"/>
      <c r="M9" s="33"/>
      <c r="N9" s="33">
        <f>$C$29*'E Balans VL '!Y10/100/3.6*1000000</f>
        <v>0.24163417643399177</v>
      </c>
      <c r="O9" s="33"/>
      <c r="P9" s="33"/>
      <c r="R9" s="32"/>
    </row>
    <row r="10" spans="1:18">
      <c r="A10" s="32" t="s">
        <v>49</v>
      </c>
      <c r="B10" s="37">
        <f t="shared" si="0"/>
        <v>140.66145090665299</v>
      </c>
      <c r="C10" s="33"/>
      <c r="D10" s="37">
        <f>IF(ISERROR(TER_ander_gas_kWh/1000),0,TER_ander_gas_kWh/1000)*0.902</f>
        <v>117.48322847917187</v>
      </c>
      <c r="E10" s="33">
        <f>$C$30*'E Balans VL '!I14/100/3.6*1000000</f>
        <v>0.16766342308978577</v>
      </c>
      <c r="F10" s="33">
        <f>$C$30*('E Balans VL '!L14+'E Balans VL '!N14)/100/3.6*1000000</f>
        <v>36.803288874132562</v>
      </c>
      <c r="G10" s="34"/>
      <c r="H10" s="33"/>
      <c r="I10" s="33"/>
      <c r="J10" s="33">
        <f>$C$30*('E Balans VL '!D14+'E Balans VL '!E14)/100/3.6*1000000</f>
        <v>3.0532087215205E-3</v>
      </c>
      <c r="K10" s="33"/>
      <c r="L10" s="33"/>
      <c r="M10" s="33"/>
      <c r="N10" s="33">
        <f>$C$30*'E Balans VL '!Y14/100/3.6*1000000</f>
        <v>119.44626217267474</v>
      </c>
      <c r="O10" s="33"/>
      <c r="P10" s="33"/>
      <c r="R10" s="32"/>
    </row>
    <row r="11" spans="1:18">
      <c r="A11" s="32" t="s">
        <v>54</v>
      </c>
      <c r="B11" s="37">
        <f t="shared" si="0"/>
        <v>52.0527566144019</v>
      </c>
      <c r="C11" s="33"/>
      <c r="D11" s="37">
        <f>IF(ISERROR(TER_onderwijs_gas_kWh/1000),0,TER_onderwijs_gas_kWh/1000)*0.902</f>
        <v>0</v>
      </c>
      <c r="E11" s="33">
        <f>$C$31*'E Balans VL '!I11/100/3.6*1000000</f>
        <v>0.78539225837457816</v>
      </c>
      <c r="F11" s="33">
        <f>$C$31*('E Balans VL '!L11+'E Balans VL '!N11)/100/3.6*1000000</f>
        <v>9.1204745263689837</v>
      </c>
      <c r="G11" s="34"/>
      <c r="H11" s="33"/>
      <c r="I11" s="33"/>
      <c r="J11" s="33">
        <f>$C$31*('E Balans VL '!D11+'E Balans VL '!E11)/100/3.6*1000000</f>
        <v>0</v>
      </c>
      <c r="K11" s="33"/>
      <c r="L11" s="33"/>
      <c r="M11" s="33"/>
      <c r="N11" s="33">
        <f>$C$31*'E Balans VL '!Y11/100/3.6*1000000</f>
        <v>0.14648041431418238</v>
      </c>
      <c r="O11" s="33"/>
      <c r="P11" s="33"/>
      <c r="R11" s="32"/>
    </row>
    <row r="12" spans="1:18">
      <c r="A12" s="32" t="s">
        <v>259</v>
      </c>
      <c r="B12" s="37">
        <f t="shared" si="0"/>
        <v>1132.4511060695202</v>
      </c>
      <c r="C12" s="33"/>
      <c r="D12" s="37">
        <f>IF(ISERROR(TER_rest_gas_kWh/1000),0,TER_rest_gas_kWh/1000)*0.902</f>
        <v>1747.0565980976846</v>
      </c>
      <c r="E12" s="33">
        <f>$C$32*'E Balans VL '!I8/100/3.6*1000000</f>
        <v>14.062757862366629</v>
      </c>
      <c r="F12" s="33">
        <f>$C$32*('E Balans VL '!L8+'E Balans VL '!N8)/100/3.6*1000000</f>
        <v>195.82876470074731</v>
      </c>
      <c r="G12" s="34"/>
      <c r="H12" s="33"/>
      <c r="I12" s="33"/>
      <c r="J12" s="33">
        <f>$C$32*('E Balans VL '!D8+'E Balans VL '!E8)/100/3.6*1000000</f>
        <v>2.7422589324702165E-3</v>
      </c>
      <c r="K12" s="33"/>
      <c r="L12" s="33"/>
      <c r="M12" s="33"/>
      <c r="N12" s="33">
        <f>$C$32*'E Balans VL '!Y8/100/3.6*1000000</f>
        <v>109.65598190568879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2618.6940353617474</v>
      </c>
      <c r="C16" s="21">
        <f t="shared" ca="1" si="1"/>
        <v>0</v>
      </c>
      <c r="D16" s="21">
        <f t="shared" ca="1" si="1"/>
        <v>2773.8890754342847</v>
      </c>
      <c r="E16" s="21">
        <f t="shared" si="1"/>
        <v>45.893014640777409</v>
      </c>
      <c r="F16" s="21">
        <f t="shared" ca="1" si="1"/>
        <v>451.77684200856856</v>
      </c>
      <c r="G16" s="21">
        <f t="shared" si="1"/>
        <v>0</v>
      </c>
      <c r="H16" s="21">
        <f t="shared" si="1"/>
        <v>0</v>
      </c>
      <c r="I16" s="21">
        <f t="shared" si="1"/>
        <v>0</v>
      </c>
      <c r="J16" s="21">
        <f t="shared" si="1"/>
        <v>5.7954676539907161E-3</v>
      </c>
      <c r="K16" s="21">
        <f t="shared" si="1"/>
        <v>0</v>
      </c>
      <c r="L16" s="21">
        <f t="shared" ca="1" si="1"/>
        <v>0</v>
      </c>
      <c r="M16" s="21">
        <f t="shared" si="1"/>
        <v>0</v>
      </c>
      <c r="N16" s="21">
        <f t="shared" ca="1" si="1"/>
        <v>230.65445242937392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7.9711691864764095E-2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208.74053203485127</v>
      </c>
      <c r="C20" s="23">
        <f t="shared" ref="C20:P20" ca="1" si="2">C16*C18</f>
        <v>0</v>
      </c>
      <c r="D20" s="23">
        <f t="shared" ca="1" si="2"/>
        <v>560.32559323772557</v>
      </c>
      <c r="E20" s="23">
        <f t="shared" si="2"/>
        <v>10.417714323456472</v>
      </c>
      <c r="F20" s="23">
        <f t="shared" ca="1" si="2"/>
        <v>120.62441681628782</v>
      </c>
      <c r="G20" s="23">
        <f t="shared" si="2"/>
        <v>0</v>
      </c>
      <c r="H20" s="23">
        <f t="shared" si="2"/>
        <v>0</v>
      </c>
      <c r="I20" s="23">
        <f t="shared" si="2"/>
        <v>0</v>
      </c>
      <c r="J20" s="23">
        <f t="shared" si="2"/>
        <v>2.0515955495127134E-3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121.13696014623099</v>
      </c>
      <c r="C26" s="39">
        <f>IF(ISERROR(B26*3.6/1000000/'E Balans VL '!Z12*100),0,B26*3.6/1000000/'E Balans VL '!Z12*100)</f>
        <v>2.5606434410460027E-3</v>
      </c>
      <c r="D26" s="237" t="s">
        <v>744</v>
      </c>
      <c r="F26" s="6"/>
    </row>
    <row r="27" spans="1:18">
      <c r="A27" s="231" t="s">
        <v>52</v>
      </c>
      <c r="B27" s="33">
        <f>IF(ISERROR(TER_horeca_ele_kWh/1000),0,TER_horeca_ele_kWh/1000)</f>
        <v>504.80322274763</v>
      </c>
      <c r="C27" s="39">
        <f>IF(ISERROR(B27*3.6/1000000/'E Balans VL '!Z9*100),0,B27*3.6/1000000/'E Balans VL '!Z9*100)</f>
        <v>3.9793449899429165E-2</v>
      </c>
      <c r="D27" s="237" t="s">
        <v>744</v>
      </c>
      <c r="F27" s="6"/>
    </row>
    <row r="28" spans="1:18">
      <c r="A28" s="171" t="s">
        <v>51</v>
      </c>
      <c r="B28" s="33">
        <f>IF(ISERROR(TER_handel_ele_kWh/1000),0,TER_handel_ele_kWh/1000)</f>
        <v>651.96708367350891</v>
      </c>
      <c r="C28" s="39">
        <f>IF(ISERROR(B28*3.6/1000000/'E Balans VL '!Z13*100),0,B28*3.6/1000000/'E Balans VL '!Z13*100)</f>
        <v>1.8922719010406191E-2</v>
      </c>
      <c r="D28" s="237" t="s">
        <v>744</v>
      </c>
      <c r="F28" s="6"/>
    </row>
    <row r="29" spans="1:18">
      <c r="A29" s="231" t="s">
        <v>50</v>
      </c>
      <c r="B29" s="33">
        <f>IF(ISERROR(TER_gezond_ele_kWh/1000),0,TER_gezond_ele_kWh/1000)</f>
        <v>15.621455203802199</v>
      </c>
      <c r="C29" s="39">
        <f>IF(ISERROR(B29*3.6/1000000/'E Balans VL '!Z10*100),0,B29*3.6/1000000/'E Balans VL '!Z10*100)</f>
        <v>1.6451957440257185E-3</v>
      </c>
      <c r="D29" s="237" t="s">
        <v>744</v>
      </c>
      <c r="F29" s="6"/>
    </row>
    <row r="30" spans="1:18">
      <c r="A30" s="231" t="s">
        <v>49</v>
      </c>
      <c r="B30" s="33">
        <f>IF(ISERROR(TER_ander_ele_kWh/1000),0,TER_ander_ele_kWh/1000)</f>
        <v>140.66145090665299</v>
      </c>
      <c r="C30" s="39">
        <f>IF(ISERROR(B30*3.6/1000000/'E Balans VL '!Z14*100),0,B30*3.6/1000000/'E Balans VL '!Z14*100)</f>
        <v>1.0375219170389886E-2</v>
      </c>
      <c r="D30" s="237" t="s">
        <v>744</v>
      </c>
      <c r="F30" s="6"/>
    </row>
    <row r="31" spans="1:18">
      <c r="A31" s="231" t="s">
        <v>54</v>
      </c>
      <c r="B31" s="33">
        <f>IF(ISERROR(TER_onderwijs_ele_kWh/1000),0,TER_onderwijs_ele_kWh/1000)</f>
        <v>52.0527566144019</v>
      </c>
      <c r="C31" s="39">
        <f>IF(ISERROR(B31*3.6/1000000/'E Balans VL '!Z11*100),0,B31*3.6/1000000/'E Balans VL '!Z11*100)</f>
        <v>1.2927137762072006E-2</v>
      </c>
      <c r="D31" s="237" t="s">
        <v>744</v>
      </c>
    </row>
    <row r="32" spans="1:18">
      <c r="A32" s="231" t="s">
        <v>259</v>
      </c>
      <c r="B32" s="33">
        <f>IF(ISERROR(TER_rest_ele_kWh/1000),0,TER_rest_ele_kWh/1000)</f>
        <v>1132.4511060695202</v>
      </c>
      <c r="C32" s="39">
        <f>IF(ISERROR(B32*3.6/1000000/'E Balans VL '!Z8*100),0,B32*3.6/1000000/'E Balans VL '!Z8*100)</f>
        <v>9.3185694269106549E-3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2845.2950229899152</v>
      </c>
      <c r="C5" s="17">
        <f>IF(ISERROR('Eigen informatie GS &amp; warmtenet'!B59),0,'Eigen informatie GS &amp; warmtenet'!B59)</f>
        <v>0</v>
      </c>
      <c r="D5" s="30">
        <f>SUM(D6:D15)</f>
        <v>25918.319033193544</v>
      </c>
      <c r="E5" s="17">
        <f>SUM(E6:E15)</f>
        <v>64.356996265114333</v>
      </c>
      <c r="F5" s="17">
        <f>SUM(F6:F15)</f>
        <v>330.06291827646754</v>
      </c>
      <c r="G5" s="18"/>
      <c r="H5" s="17"/>
      <c r="I5" s="17"/>
      <c r="J5" s="17">
        <f>SUM(J6:J15)</f>
        <v>0.44588858143527188</v>
      </c>
      <c r="K5" s="17"/>
      <c r="L5" s="17"/>
      <c r="M5" s="17"/>
      <c r="N5" s="17">
        <f>SUM(N6:N15)</f>
        <v>195.85464970099906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42.327277579396807</v>
      </c>
      <c r="C8" s="33"/>
      <c r="D8" s="37">
        <f>IF( ISERROR(IND_metaal_Gas_kWH/1000),0,IND_metaal_Gas_kWH/1000)*0.902</f>
        <v>0</v>
      </c>
      <c r="E8" s="33">
        <f>C30*'E Balans VL '!I18/100/3.6*1000000</f>
        <v>0.38915843726909682</v>
      </c>
      <c r="F8" s="33">
        <f>C30*'E Balans VL '!L18/100/3.6*1000000+C30*'E Balans VL '!N18/100/3.6*1000000</f>
        <v>3.9688894192293249</v>
      </c>
      <c r="G8" s="34"/>
      <c r="H8" s="33"/>
      <c r="I8" s="33"/>
      <c r="J8" s="40">
        <f>C30*'E Balans VL '!D18/100/3.6*1000000+C30*'E Balans VL '!E18/100/3.6*1000000</f>
        <v>0</v>
      </c>
      <c r="K8" s="33"/>
      <c r="L8" s="33"/>
      <c r="M8" s="33"/>
      <c r="N8" s="33">
        <f>C30*'E Balans VL '!Y18/100/3.6*1000000</f>
        <v>0.60386856344191153</v>
      </c>
      <c r="O8" s="33"/>
      <c r="P8" s="33"/>
      <c r="R8" s="32"/>
    </row>
    <row r="9" spans="1:18">
      <c r="A9" s="6" t="s">
        <v>32</v>
      </c>
      <c r="B9" s="37">
        <f t="shared" si="0"/>
        <v>177.20099524144601</v>
      </c>
      <c r="C9" s="33"/>
      <c r="D9" s="37">
        <f>IF( ISERROR(IND_andere_gas_kWh/1000),0,IND_andere_gas_kWh/1000)*0.902</f>
        <v>131.10651009754719</v>
      </c>
      <c r="E9" s="33">
        <f>C31*'E Balans VL '!I19/100/3.6*1000000</f>
        <v>51.799300605562664</v>
      </c>
      <c r="F9" s="33">
        <f>C31*'E Balans VL '!L19/100/3.6*1000000+C31*'E Balans VL '!N19/100/3.6*1000000</f>
        <v>142.39441255938652</v>
      </c>
      <c r="G9" s="34"/>
      <c r="H9" s="33"/>
      <c r="I9" s="33"/>
      <c r="J9" s="40">
        <f>C31*'E Balans VL '!D19/100/3.6*1000000+C31*'E Balans VL '!E19/100/3.6*1000000</f>
        <v>0</v>
      </c>
      <c r="K9" s="33"/>
      <c r="L9" s="33"/>
      <c r="M9" s="33"/>
      <c r="N9" s="33">
        <f>C31*'E Balans VL '!Y19/100/3.6*1000000</f>
        <v>13.899405397863529</v>
      </c>
      <c r="O9" s="33"/>
      <c r="P9" s="33"/>
      <c r="R9" s="32"/>
    </row>
    <row r="10" spans="1:18">
      <c r="A10" s="6" t="s">
        <v>40</v>
      </c>
      <c r="B10" s="37">
        <f t="shared" si="0"/>
        <v>2501.2162055204503</v>
      </c>
      <c r="C10" s="33"/>
      <c r="D10" s="37">
        <f>IF( ISERROR(IND_voed_gas_kWh/1000),0,IND_voed_gas_kWh/1000)*0.902</f>
        <v>24905.305181684114</v>
      </c>
      <c r="E10" s="33">
        <f>C32*'E Balans VL '!I20/100/3.6*1000000</f>
        <v>5.2913616645951054</v>
      </c>
      <c r="F10" s="33">
        <f>C32*'E Balans VL '!L20/100/3.6*1000000+C32*'E Balans VL '!N20/100/3.6*1000000</f>
        <v>159.02988126442236</v>
      </c>
      <c r="G10" s="34"/>
      <c r="H10" s="33"/>
      <c r="I10" s="33"/>
      <c r="J10" s="40">
        <f>C32*'E Balans VL '!D20/100/3.6*1000000+C32*'E Balans VL '!E20/100/3.6*1000000</f>
        <v>0</v>
      </c>
      <c r="K10" s="33"/>
      <c r="L10" s="33"/>
      <c r="M10" s="33"/>
      <c r="N10" s="33">
        <f>C32*'E Balans VL '!Y20/100/3.6*1000000</f>
        <v>172.60860078553628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124.55054464862201</v>
      </c>
      <c r="C15" s="33"/>
      <c r="D15" s="37">
        <f>IF( ISERROR(IND_rest_gas_kWh/1000),0,IND_rest_gas_kWh/1000)*0.902</f>
        <v>881.90734141188216</v>
      </c>
      <c r="E15" s="33">
        <f>C37*'E Balans VL '!I15/100/3.6*1000000</f>
        <v>6.8771755576874645</v>
      </c>
      <c r="F15" s="33">
        <f>C37*'E Balans VL '!L15/100/3.6*1000000+C37*'E Balans VL '!N15/100/3.6*1000000</f>
        <v>24.669735033429316</v>
      </c>
      <c r="G15" s="34"/>
      <c r="H15" s="33"/>
      <c r="I15" s="33"/>
      <c r="J15" s="40">
        <f>C37*'E Balans VL '!D15/100/3.6*1000000+C37*'E Balans VL '!E15/100/3.6*1000000</f>
        <v>0.44588858143527188</v>
      </c>
      <c r="K15" s="33"/>
      <c r="L15" s="33"/>
      <c r="M15" s="33"/>
      <c r="N15" s="33">
        <f>C37*'E Balans VL '!Y15/100/3.6*1000000</f>
        <v>8.7427749541573352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2845.2950229899152</v>
      </c>
      <c r="C18" s="21">
        <f>C5+C16</f>
        <v>0</v>
      </c>
      <c r="D18" s="21">
        <f>MAX((D5+D16),0)</f>
        <v>25918.319033193544</v>
      </c>
      <c r="E18" s="21">
        <f>MAX((E5+E16),0)</f>
        <v>64.356996265114333</v>
      </c>
      <c r="F18" s="21">
        <f>MAX((F5+F16),0)</f>
        <v>330.06291827646754</v>
      </c>
      <c r="G18" s="21"/>
      <c r="H18" s="21"/>
      <c r="I18" s="21"/>
      <c r="J18" s="21">
        <f>MAX((J5+J16),0)</f>
        <v>0.44588858143527188</v>
      </c>
      <c r="K18" s="21"/>
      <c r="L18" s="21">
        <f>MAX((L5+L16),0)</f>
        <v>0</v>
      </c>
      <c r="M18" s="21"/>
      <c r="N18" s="21">
        <f>MAX((N5+N16),0)</f>
        <v>195.85464970099906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7.9711691864764095E-2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226.803280136919</v>
      </c>
      <c r="C22" s="23">
        <f ca="1">C18*C20</f>
        <v>0</v>
      </c>
      <c r="D22" s="23">
        <f>D18*D20</f>
        <v>5235.500444705096</v>
      </c>
      <c r="E22" s="23">
        <f>E18*E20</f>
        <v>14.609038152180954</v>
      </c>
      <c r="F22" s="23">
        <f>F18*F20</f>
        <v>88.126799179816842</v>
      </c>
      <c r="G22" s="23"/>
      <c r="H22" s="23"/>
      <c r="I22" s="23"/>
      <c r="J22" s="23">
        <f>J18*J20</f>
        <v>0.15784455782808623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42.327277579396807</v>
      </c>
      <c r="C30" s="39">
        <f>IF(ISERROR(B30*3.6/1000000/'E Balans VL '!Z18*100),0,B30*3.6/1000000/'E Balans VL '!Z18*100)</f>
        <v>2.3987953546627952E-3</v>
      </c>
      <c r="D30" s="237" t="s">
        <v>744</v>
      </c>
    </row>
    <row r="31" spans="1:18">
      <c r="A31" s="6" t="s">
        <v>32</v>
      </c>
      <c r="B31" s="37">
        <f>IF( ISERROR(IND_ander_ele_kWh/1000),0,IND_ander_ele_kWh/1000)</f>
        <v>177.20099524144601</v>
      </c>
      <c r="C31" s="39">
        <f>IF(ISERROR(B31*3.6/1000000/'E Balans VL '!Z19*100),0,B31*3.6/1000000/'E Balans VL '!Z19*100)</f>
        <v>8.0370992920498954E-3</v>
      </c>
      <c r="D31" s="237" t="s">
        <v>744</v>
      </c>
    </row>
    <row r="32" spans="1:18">
      <c r="A32" s="171" t="s">
        <v>40</v>
      </c>
      <c r="B32" s="37">
        <f>IF( ISERROR(IND_voed_ele_kWh/1000),0,IND_voed_ele_kWh/1000)</f>
        <v>2501.2162055204503</v>
      </c>
      <c r="C32" s="39">
        <f>IF(ISERROR(B32*3.6/1000000/'E Balans VL '!Z20*100),0,B32*3.6/1000000/'E Balans VL '!Z20*100)</f>
        <v>7.7373971799592475E-2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124.55054464862201</v>
      </c>
      <c r="C37" s="39">
        <f>IF(ISERROR(B37*3.6/1000000/'E Balans VL '!Z15*100),0,B37*3.6/1000000/'E Balans VL '!Z15*100)</f>
        <v>9.8721602895663913E-4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2975.6827180348332</v>
      </c>
      <c r="C5" s="17">
        <f>'Eigen informatie GS &amp; warmtenet'!B60</f>
        <v>0</v>
      </c>
      <c r="D5" s="30">
        <f>IF(ISERROR(SUM(LB_lb_gas_kWh,LB_rest_gas_kWh)/1000),0,SUM(LB_lb_gas_kWh,LB_rest_gas_kWh)/1000)*0.902</f>
        <v>100.45397676200228</v>
      </c>
      <c r="E5" s="17">
        <f>B17*'E Balans VL '!I25/3.6*1000000/100</f>
        <v>87.464403867105688</v>
      </c>
      <c r="F5" s="17">
        <f>B17*('E Balans VL '!L25/3.6*1000000+'E Balans VL '!N25/3.6*1000000)/100</f>
        <v>12396.533405878914</v>
      </c>
      <c r="G5" s="18"/>
      <c r="H5" s="17"/>
      <c r="I5" s="17"/>
      <c r="J5" s="17">
        <f>('E Balans VL '!D25+'E Balans VL '!E25)/3.6*1000000*landbouw!B17/100</f>
        <v>431.11252232538112</v>
      </c>
      <c r="K5" s="17"/>
      <c r="L5" s="17">
        <f>L6*(-1)</f>
        <v>0</v>
      </c>
      <c r="M5" s="17"/>
      <c r="N5" s="17">
        <f>N6*(-1)</f>
        <v>21420</v>
      </c>
      <c r="O5" s="17"/>
      <c r="P5" s="17"/>
      <c r="R5" s="32"/>
    </row>
    <row r="6" spans="1:18">
      <c r="A6" s="16" t="s">
        <v>487</v>
      </c>
      <c r="B6" s="17" t="s">
        <v>210</v>
      </c>
      <c r="C6" s="17">
        <f>'lokale energieproductie'!O39+'lokale energieproductie'!O32</f>
        <v>10710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-21420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2975.6827180348332</v>
      </c>
      <c r="C8" s="21">
        <f>C5+C6</f>
        <v>10710</v>
      </c>
      <c r="D8" s="21">
        <f>MAX((D5+D6),0)</f>
        <v>100.45397676200228</v>
      </c>
      <c r="E8" s="21">
        <f>MAX((E5+E6),0)</f>
        <v>87.464403867105688</v>
      </c>
      <c r="F8" s="21">
        <f>MAX((F5+F6),0)</f>
        <v>12396.533405878914</v>
      </c>
      <c r="G8" s="21"/>
      <c r="H8" s="21"/>
      <c r="I8" s="21"/>
      <c r="J8" s="21">
        <f>MAX((J5+J6),0)</f>
        <v>431.11252232538112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7.9711691864764095E-2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237.19670390729632</v>
      </c>
      <c r="C12" s="23">
        <f ca="1">C8*C10</f>
        <v>0</v>
      </c>
      <c r="D12" s="23">
        <f>D8*D10</f>
        <v>20.291703305924464</v>
      </c>
      <c r="E12" s="23">
        <f>E8*E10</f>
        <v>19.854419677832993</v>
      </c>
      <c r="F12" s="23">
        <f>F8*F10</f>
        <v>3309.8744193696702</v>
      </c>
      <c r="G12" s="23"/>
      <c r="H12" s="23"/>
      <c r="I12" s="23"/>
      <c r="J12" s="23">
        <f>J8*J10</f>
        <v>152.61383290318491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0.42225871360895412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605.69933830305979</v>
      </c>
      <c r="C26" s="247">
        <f>B26*'GWP N2O_CH4'!B5</f>
        <v>12719.686104364255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335.5019342920516</v>
      </c>
      <c r="C27" s="247">
        <f>B27*'GWP N2O_CH4'!B5</f>
        <v>7045.5406201330834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8.4115788345788882</v>
      </c>
      <c r="C28" s="247">
        <f>B28*'GWP N2O_CH4'!B4</f>
        <v>2607.5894387194553</v>
      </c>
      <c r="D28" s="50"/>
    </row>
    <row r="29" spans="1:4">
      <c r="A29" s="41" t="s">
        <v>276</v>
      </c>
      <c r="B29" s="247">
        <f>B34*'ha_N2O bodem landbouw'!B4</f>
        <v>20.542478079640532</v>
      </c>
      <c r="C29" s="247">
        <f>B29*'GWP N2O_CH4'!B4</f>
        <v>6368.1682046885644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4.687722705245154E-3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3.7984925026588403E-5</v>
      </c>
      <c r="C5" s="437" t="s">
        <v>210</v>
      </c>
      <c r="D5" s="422">
        <f>SUM(D6:D11)</f>
        <v>9.9538346789288483E-5</v>
      </c>
      <c r="E5" s="422">
        <f>SUM(E6:E11)</f>
        <v>1.6973910139952208E-4</v>
      </c>
      <c r="F5" s="435" t="s">
        <v>210</v>
      </c>
      <c r="G5" s="422">
        <f>SUM(G6:G11)</f>
        <v>7.8801412936818985E-2</v>
      </c>
      <c r="H5" s="422">
        <f>SUM(H6:H11)</f>
        <v>1.6862997562763403E-2</v>
      </c>
      <c r="I5" s="437" t="s">
        <v>210</v>
      </c>
      <c r="J5" s="437" t="s">
        <v>210</v>
      </c>
      <c r="K5" s="437" t="s">
        <v>210</v>
      </c>
      <c r="L5" s="437" t="s">
        <v>210</v>
      </c>
      <c r="M5" s="422">
        <f>SUM(M6:M11)</f>
        <v>5.1004586446104774E-3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3.4826582306472004E-5</v>
      </c>
      <c r="C6" s="423"/>
      <c r="D6" s="865">
        <f>vkm_GW_PW*SUMIFS(TableVerdeelsleutelVkm[CNG],TableVerdeelsleutelVkm[Voertuigtype],"Lichte voertuigen")*SUMIFS(TableECFTransport[EnergieConsumptieFactor (PJ per km)],TableECFTransport[Index],CONCATENATE($A6,"_CNG_CNG"))</f>
        <v>8.6308774508882987E-5</v>
      </c>
      <c r="E6" s="865">
        <f>vkm_GW_PW*SUMIFS(TableVerdeelsleutelVkm[LPG],TableVerdeelsleutelVkm[Voertuigtype],"Lichte voertuigen")*SUMIFS(TableECFTransport[EnergieConsumptieFactor (PJ per km)],TableECFTransport[Index],CONCATENATE($A6,"_LPG_LPG"))</f>
        <v>1.4817061333832033E-4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4.5401627654302307E-2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1.4664221337079701E-2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3.0843376055159481E-3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2.7087105187261137E-2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4.5311799899162281E-7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1.582579181465338E-3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3.1583427201164E-6</v>
      </c>
      <c r="C8" s="423"/>
      <c r="D8" s="425">
        <f>vkm_NGW_PW*SUMIFS(TableVerdeelsleutelVkm[CNG],TableVerdeelsleutelVkm[Voertuigtype],"Lichte voertuigen")*SUMIFS(TableECFTransport[EnergieConsumptieFactor (PJ per km)],TableECFTransport[Index],CONCATENATE($A8,"_CNG_CNG"))</f>
        <v>1.3229572280405493E-5</v>
      </c>
      <c r="E8" s="425">
        <f>vkm_NGW_PW*SUMIFS(TableVerdeelsleutelVkm[LPG],TableVerdeelsleutelVkm[Voertuigtype],"Lichte voertuigen")*SUMIFS(TableECFTransport[EnergieConsumptieFactor (PJ per km)],TableECFTransport[Index],CONCATENATE($A8,"_LPG_LPG"))</f>
        <v>2.1568488061201738E-5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6.2165501654016866E-3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2.1983211267408388E-3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4.279254020496682E-4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9.6129929853843013E-5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1.9809438715788174E-9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5.6164555795238893E-6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10.551368062941224</v>
      </c>
      <c r="C14" s="21"/>
      <c r="D14" s="21">
        <f t="shared" ref="D14:M14" si="0">((D5)*10^9/3600)+D12</f>
        <v>27.649540774802354</v>
      </c>
      <c r="E14" s="21">
        <f t="shared" si="0"/>
        <v>47.149750388756132</v>
      </c>
      <c r="F14" s="21"/>
      <c r="G14" s="21">
        <f t="shared" si="0"/>
        <v>21889.281371338606</v>
      </c>
      <c r="H14" s="21">
        <f t="shared" si="0"/>
        <v>4684.1659896565016</v>
      </c>
      <c r="I14" s="21"/>
      <c r="J14" s="21"/>
      <c r="K14" s="21"/>
      <c r="L14" s="21"/>
      <c r="M14" s="21">
        <f t="shared" si="0"/>
        <v>1416.794067947355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7.9711691864764095E-2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0.84106739978488365</v>
      </c>
      <c r="C18" s="23"/>
      <c r="D18" s="23">
        <f t="shared" ref="D18:M18" si="1">D14*D16</f>
        <v>5.585207236510076</v>
      </c>
      <c r="E18" s="23">
        <f t="shared" si="1"/>
        <v>10.702993338247643</v>
      </c>
      <c r="F18" s="23"/>
      <c r="G18" s="23">
        <f t="shared" si="1"/>
        <v>5844.4381261474082</v>
      </c>
      <c r="H18" s="23">
        <f t="shared" si="1"/>
        <v>1166.3573314244688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6.8170308835609986E-4</v>
      </c>
      <c r="H50" s="319">
        <f t="shared" si="2"/>
        <v>0</v>
      </c>
      <c r="I50" s="319">
        <f t="shared" si="2"/>
        <v>0</v>
      </c>
      <c r="J50" s="319">
        <f t="shared" si="2"/>
        <v>0</v>
      </c>
      <c r="K50" s="319">
        <f t="shared" si="2"/>
        <v>0</v>
      </c>
      <c r="L50" s="319">
        <f t="shared" si="2"/>
        <v>0</v>
      </c>
      <c r="M50" s="319">
        <f t="shared" si="2"/>
        <v>3.8714801284339379E-5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6.8170308835609986E-4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3.8714801284339379E-5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189.36196898780554</v>
      </c>
      <c r="H54" s="21">
        <f t="shared" si="3"/>
        <v>0</v>
      </c>
      <c r="I54" s="21">
        <f t="shared" si="3"/>
        <v>0</v>
      </c>
      <c r="J54" s="21">
        <f t="shared" si="3"/>
        <v>0</v>
      </c>
      <c r="K54" s="21">
        <f t="shared" si="3"/>
        <v>0</v>
      </c>
      <c r="L54" s="21">
        <f t="shared" si="3"/>
        <v>0</v>
      </c>
      <c r="M54" s="21">
        <f t="shared" si="3"/>
        <v>10.75411146787205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7.9711691864764095E-2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50.559645719744083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2244.1511270955461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7497</v>
      </c>
      <c r="C8" s="544">
        <f>B48</f>
        <v>0</v>
      </c>
      <c r="D8" s="1010"/>
      <c r="E8" s="1010">
        <f>E48</f>
        <v>0</v>
      </c>
      <c r="F8" s="1011"/>
      <c r="G8" s="545"/>
      <c r="H8" s="1010">
        <f>I48</f>
        <v>0</v>
      </c>
      <c r="I8" s="1010">
        <f>G48+F48</f>
        <v>0</v>
      </c>
      <c r="J8" s="1010">
        <f>H48+D48+C48</f>
        <v>8820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9741.1511270955452</v>
      </c>
      <c r="C10" s="557">
        <f t="shared" ref="C10:L10" si="0">SUM(C8:C9)</f>
        <v>0</v>
      </c>
      <c r="D10" s="557">
        <f t="shared" si="0"/>
        <v>0</v>
      </c>
      <c r="E10" s="557">
        <f t="shared" si="0"/>
        <v>0</v>
      </c>
      <c r="F10" s="557">
        <f t="shared" si="0"/>
        <v>0</v>
      </c>
      <c r="G10" s="557">
        <f t="shared" si="0"/>
        <v>0</v>
      </c>
      <c r="H10" s="557">
        <f t="shared" si="0"/>
        <v>0</v>
      </c>
      <c r="I10" s="557">
        <f t="shared" si="0"/>
        <v>0</v>
      </c>
      <c r="J10" s="557">
        <f t="shared" si="0"/>
        <v>8820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10710</v>
      </c>
      <c r="C17" s="569">
        <f>B49</f>
        <v>0</v>
      </c>
      <c r="D17" s="570"/>
      <c r="E17" s="570">
        <f>E49</f>
        <v>0</v>
      </c>
      <c r="F17" s="1016"/>
      <c r="G17" s="571"/>
      <c r="H17" s="569">
        <f>I49</f>
        <v>0</v>
      </c>
      <c r="I17" s="570">
        <f>G49+F49</f>
        <v>0</v>
      </c>
      <c r="J17" s="570">
        <f>H49+D49+C49</f>
        <v>12600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10710</v>
      </c>
      <c r="C20" s="556">
        <f>SUM(C17:C19)</f>
        <v>0</v>
      </c>
      <c r="D20" s="556">
        <f t="shared" ref="D20:L20" si="1">SUM(D17:D19)</f>
        <v>0</v>
      </c>
      <c r="E20" s="556">
        <f t="shared" si="1"/>
        <v>0</v>
      </c>
      <c r="F20" s="556">
        <f t="shared" si="1"/>
        <v>0</v>
      </c>
      <c r="G20" s="556">
        <f t="shared" si="1"/>
        <v>0</v>
      </c>
      <c r="H20" s="556">
        <f t="shared" si="1"/>
        <v>0</v>
      </c>
      <c r="I20" s="556">
        <f t="shared" si="1"/>
        <v>0</v>
      </c>
      <c r="J20" s="556">
        <f t="shared" si="1"/>
        <v>12600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33041</v>
      </c>
      <c r="C28" s="770">
        <v>8640</v>
      </c>
      <c r="D28" s="627" t="s">
        <v>887</v>
      </c>
      <c r="E28" s="626" t="s">
        <v>888</v>
      </c>
      <c r="F28" s="626" t="s">
        <v>889</v>
      </c>
      <c r="G28" s="626" t="s">
        <v>890</v>
      </c>
      <c r="H28" s="626" t="s">
        <v>891</v>
      </c>
      <c r="I28" s="626" t="s">
        <v>888</v>
      </c>
      <c r="J28" s="769">
        <v>39847</v>
      </c>
      <c r="K28" s="769">
        <v>39847</v>
      </c>
      <c r="L28" s="626" t="s">
        <v>892</v>
      </c>
      <c r="M28" s="626">
        <v>1666</v>
      </c>
      <c r="N28" s="626">
        <v>7497</v>
      </c>
      <c r="O28" s="626">
        <v>10710</v>
      </c>
      <c r="P28" s="626">
        <v>0</v>
      </c>
      <c r="Q28" s="626">
        <v>21420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1666</v>
      </c>
      <c r="N29" s="584">
        <f>SUM(N28:N28)</f>
        <v>7497</v>
      </c>
      <c r="O29" s="584">
        <f>SUM(O28:O28)</f>
        <v>10710</v>
      </c>
      <c r="P29" s="584">
        <f>SUM(P28:P28)</f>
        <v>0</v>
      </c>
      <c r="Q29" s="584">
        <f>SUM(Q28:Q28)</f>
        <v>21420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1666</v>
      </c>
      <c r="N32" s="589">
        <f>SUMIF($Z$28:$Z$28,"landbouw",N28:N28)</f>
        <v>7497</v>
      </c>
      <c r="O32" s="589">
        <f>SUMIF($Z$28:$Z$28,"landbouw",O28:O28)</f>
        <v>10710</v>
      </c>
      <c r="P32" s="589">
        <f>SUMIF($Z$28:$Z$28,"landbouw",P28:P28)</f>
        <v>0</v>
      </c>
      <c r="Q32" s="589">
        <f>SUMIF($Z$28:$Z$28,"landbouw",Q28:Q28)</f>
        <v>21420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8820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12600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2020-06-20T15:44:07Z</dcterms:modified>
</cp:coreProperties>
</file>