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E49" i="18"/>
  <c r="E17" i="18" s="1"/>
  <c r="F49" i="18"/>
  <c r="G49" i="18"/>
  <c r="O9" i="18"/>
  <c r="I8" i="18"/>
  <c r="I10" i="18" s="1"/>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Q88" i="14"/>
  <c r="P18" i="61" s="1"/>
  <c r="I33" i="48"/>
  <c r="O8" i="18" l="1"/>
  <c r="O10" i="18" s="1"/>
  <c r="I76" i="14"/>
  <c r="I8" i="61" s="1"/>
  <c r="I1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N52" i="14"/>
  <c r="N61" i="14" s="1"/>
  <c r="E5" i="48"/>
  <c r="E23" i="48" s="1"/>
  <c r="F10" i="14"/>
  <c r="J20" i="15"/>
  <c r="K40" i="14" s="1"/>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33" i="48" s="1"/>
  <c r="E8" i="48"/>
  <c r="E26" i="48" s="1"/>
  <c r="F13" i="14"/>
  <c r="F16" i="14" s="1"/>
  <c r="F27" i="14" s="1"/>
  <c r="F63"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<sst xmlns="http://schemas.openxmlformats.org/spreadsheetml/2006/main" count="2407" uniqueCount="893">
  <si>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</si>
  <si>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</si>
  <si>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</si>
  <si>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</si>
  <si>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</si>
  <si>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</si>
  <si>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</si>
  <si>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</si>
  <si>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</si>
  <si>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</si>
  <si>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</si>
  <si>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</si>
  <si>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</si>
  <si>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</si>
  <si>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</si>
  <si>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</si>
  <si>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</si>
  <si>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</si>
  <si>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</si>
  <si>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</si>
  <si>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</si>
  <si>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</si>
  <si>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</si>
  <si>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</si>
  <si>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</si>
  <si>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</si>
  <si>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</si>
  <si>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</si>
  <si>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</si>
  <si>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</si>
  <si>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</si>
  <si>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</si>
  <si>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</si>
  <si>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</si>
  <si>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</si>
  <si>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</si>
  <si>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</si>
  <si>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</si>
  <si>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</si>
  <si>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</si>
  <si>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</si>
  <si>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</si>
  <si>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</si>
  <si>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</si>
  <si>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</si>
  <si>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</si>
  <si>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</si>
  <si>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</si>
  <si>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</si>
  <si>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</si>
  <si>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</si>
  <si>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</si>
  <si>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</si>
  <si>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</si>
  <si>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</si>
  <si>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</si>
  <si>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</si>
  <si>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</si>
  <si>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</si>
  <si>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</si>
  <si>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</si>
  <si>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</si>
  <si>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</si>
  <si>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</si>
  <si>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</si>
  <si>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</si>
  <si>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</si>
  <si>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</si>
  <si>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</si>
  <si>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</si>
  <si>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</si>
  <si>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</si>
  <si>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</si>
  <si>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</si>
  <si>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</si>
  <si>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</si>
  <si>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</si>
  <si>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</si>
  <si>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</si>
  <si>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</si>
  <si>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</si>
  <si>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</si>
  <si>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</si>
  <si>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</si>
  <si>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</si>
  <si>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</si>
  <si>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</si>
  <si>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</si>
  <si>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</si>
  <si>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</si>
  <si>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</si>
  <si>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</si>
  <si>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</si>
  <si>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</si>
  <si>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</si>
  <si>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</si>
  <si>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</si>
  <si>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</si>
  <si>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</si>
  <si>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</si>
  <si>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</si>
  <si>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</si>
  <si>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</si>
  <si>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</si>
  <si>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</si>
  <si>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</si>
  <si>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</si>
  <si>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</si>
  <si>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</si>
  <si>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</si>
  <si>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</si>
  <si>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</si>
  <si>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</si>
  <si>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</si>
  <si>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</si>
  <si>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</si>
  <si>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</si>
  <si>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</si>
  <si>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</si>
  <si>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</si>
  <si>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</si>
  <si>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</si>
  <si>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</si>
  <si>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</si>
  <si>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</si>
  <si>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</si>
  <si>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</si>
  <si>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</si>
  <si>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</si>
  <si>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</si>
  <si>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</si>
  <si>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</si>
  <si>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</si>
  <si>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</si>
  <si>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</si>
  <si>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</si>
  <si>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</si>
  <si>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</si>
  <si>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</si>
  <si>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</si>
  <si>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</si>
  <si>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</si>
  <si>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</si>
  <si>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</si>
  <si>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</si>
  <si>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</si>
  <si>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</si>
  <si>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</si>
  <si>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</si>
  <si>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</si>
  <si>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</si>
  <si>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</si>
  <si>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</si>
  <si>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</si>
  <si>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</si>
  <si>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</si>
  <si>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</si>
  <si>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</si>
  <si>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</si>
  <si>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</si>
  <si>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</si>
  <si>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</si>
  <si>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</si>
  <si>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</si>
  <si>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</si>
  <si>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</si>
  <si>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</si>
  <si>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</si>
  <si>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</si>
  <si>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</si>
  <si>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</si>
  <si>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</si>
  <si>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</si>
  <si>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</si>
  <si>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</si>
  <si>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</si>
  <si>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</si>
  <si>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</si>
  <si>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</si>
  <si>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</si>
  <si>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</si>
  <si>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</si>
  <si>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</si>
  <si>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</si>
  <si>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</si>
  <si>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</si>
  <si>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</si>
  <si>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</si>
  <si>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</si>
  <si>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</si>
  <si>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</si>
  <si>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</si>
  <si>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</si>
  <si>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</si>
  <si>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</si>
  <si>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</si>
  <si>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</si>
  <si>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</si>
  <si>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</si>
  <si>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</si>
  <si>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</si>
  <si>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</si>
  <si>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</si>
  <si>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</si>
  <si>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</si>
  <si>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</si>
  <si>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</si>
  <si>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</si>
  <si>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</si>
  <si>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</si>
  <si>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</si>
  <si>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</si>
  <si>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</si>
  <si>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</si>
  <si>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</si>
  <si>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</si>
  <si>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</si>
  <si>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</si>
  <si>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</si>
  <si>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</si>
  <si>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</si>
  <si>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</si>
  <si>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</si>
  <si>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</si>
  <si>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</si>
  <si>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</si>
  <si>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</si>
  <si>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</si>
  <si>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</si>
  <si>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</si>
  <si>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</si>
  <si>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</si>
  <si>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</si>
  <si>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</si>
  <si>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</si>
  <si>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</si>
  <si>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</si>
  <si>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</si>
  <si>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</si>
  <si>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</si>
  <si>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</si>
  <si>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</si>
  <si>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</si>
  <si>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</si>
  <si>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</si>
  <si>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</si>
  <si>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</si>
  <si>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</si>
  <si>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</si>
  <si>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</si>
  <si>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</si>
  <si>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</si>
  <si>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</si>
  <si>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</si>
  <si>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</si>
  <si>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</si>
  <si>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</si>
  <si>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</si>
  <si>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</si>
  <si>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</si>
  <si>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</si>
  <si>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</si>
  <si>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</si>
  <si>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</si>
  <si>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</si>
  <si>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</si>
  <si>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</si>
  <si>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</si>
  <si>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</si>
  <si>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</si>
  <si>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</si>
  <si>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</si>
  <si>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</si>
  <si>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</si>
  <si>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</si>
  <si>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</si>
  <si>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</si>
  <si>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</si>
  <si>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</si>
  <si>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</si>
  <si>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</si>
  <si>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</si>
  <si>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</si>
  <si>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</si>
  <si>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</si>
  <si>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</si>
  <si>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</si>
  <si>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</si>
  <si>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</si>
  <si>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</si>
  <si>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</si>
  <si>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</si>
  <si>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</si>
  <si>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</si>
  <si>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</si>
  <si>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</si>
  <si>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</si>
  <si>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</si>
  <si>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</si>
  <si>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</si>
  <si>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</si>
  <si>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</si>
  <si>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</si>
  <si>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</si>
  <si>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</si>
  <si>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</si>
  <si>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</si>
  <si>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</si>
  <si>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</si>
  <si>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</si>
  <si>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</si>
  <si>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</si>
  <si>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</si>
  <si>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</si>
  <si>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</si>
  <si>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</si>
  <si>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</si>
  <si>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</si>
  <si>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</si>
  <si>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</si>
  <si>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</si>
  <si>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</si>
  <si>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</si>
  <si>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</si>
  <si>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</si>
  <si>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</si>
  <si>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</si>
  <si>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</si>
  <si>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</si>
  <si>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</si>
  <si>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</si>
  <si>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</si>
  <si>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</si>
  <si>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</si>
  <si>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</si>
  <si>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</si>
  <si>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</si>
  <si>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</si>
  <si>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</si>
  <si>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</si>
  <si>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</si>
  <si>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</si>
  <si>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</si>
  <si>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</si>
  <si>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</si>
  <si>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</si>
  <si>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</si>
  <si>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</si>
  <si>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</si>
  <si>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</si>
  <si>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</si>
  <si>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</si>
  <si>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</si>
  <si>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</si>
  <si>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</si>
  <si>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</si>
  <si>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</si>
  <si>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</si>
  <si>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</si>
  <si>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</si>
  <si>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</si>
  <si>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</si>
  <si>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</si>
  <si>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</si>
  <si>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</si>
  <si>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</si>
  <si>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</si>
  <si>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</si>
  <si>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</si>
  <si>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</si>
  <si>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</si>
  <si>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</si>
  <si>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</si>
  <si>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</si>
  <si>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</si>
  <si>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</si>
  <si>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</si>
  <si>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</si>
  <si>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</si>
  <si>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</si>
  <si>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</si>
  <si>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</si>
  <si>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</si>
  <si>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</si>
  <si>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</si>
  <si>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</si>
  <si>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</si>
  <si>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</si>
  <si>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</si>
  <si>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</si>
  <si>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</si>
  <si>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</si>
  <si>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</si>
  <si>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</si>
  <si>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</si>
  <si>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</si>
  <si>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</si>
  <si>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</si>
  <si>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</si>
  <si>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</si>
  <si>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</si>
  <si>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</si>
  <si>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</si>
  <si>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</si>
  <si>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</si>
  <si>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</si>
  <si>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</si>
  <si>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</si>
  <si>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</si>
  <si>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</si>
  <si>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</si>
  <si>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</si>
  <si>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</si>
  <si>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</si>
  <si>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</si>
  <si>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</si>
  <si>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</si>
  <si>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</si>
  <si>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</si>
  <si>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</si>
  <si>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</si>
  <si>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</si>
  <si>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</si>
  <si>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</si>
  <si>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</si>
  <si>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</si>
  <si>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</si>
  <si>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</si>
  <si>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</si>
  <si>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</si>
  <si>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</si>
  <si>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</si>
  <si>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</si>
  <si>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</si>
  <si>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</si>
  <si>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</si>
  <si>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</si>
  <si>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</si>
  <si>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</si>
  <si>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</si>
  <si>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</si>
  <si>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</si>
  <si>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</si>
  <si>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</si>
  <si>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</si>
  <si>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</si>
  <si>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</si>
  <si>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</si>
  <si>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</si>
  <si>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</si>
  <si>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</si>
  <si>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</si>
  <si>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</si>
  <si>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</si>
  <si>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</si>
  <si>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</si>
  <si>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</si>
  <si>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</si>
  <si>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</si>
  <si>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</si>
  <si>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</si>
  <si>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</si>
  <si>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</si>
  <si>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</si>
  <si>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</si>
  <si>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</si>
  <si>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</si>
  <si>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</si>
  <si>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</si>
  <si>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</si>
  <si>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</si>
  <si>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</si>
  <si>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</si>
  <si>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</si>
  <si>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</si>
  <si>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</si>
  <si>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</si>
  <si>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</si>
  <si>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</si>
  <si>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</si>
  <si>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</si>
  <si>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</si>
  <si>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</si>
  <si>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</si>
  <si>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</si>
  <si>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</si>
  <si>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</si>
  <si>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</si>
  <si>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</si>
  <si>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</si>
  <si>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</si>
  <si>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</si>
  <si>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</si>
  <si>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</si>
  <si>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</si>
  <si>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</si>
  <si>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</si>
  <si>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</si>
  <si>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</si>
  <si>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</si>
  <si>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</si>
  <si>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</si>
  <si>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</si>
  <si>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</si>
  <si>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</si>
  <si>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</si>
  <si>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</si>
  <si>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</si>
  <si>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</si>
  <si>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</si>
  <si>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</si>
  <si>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</si>
  <si>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</si>
  <si>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</si>
  <si>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</si>
  <si>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</si>
  <si>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</si>
  <si>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</si>
  <si>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</si>
  <si>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</si>
  <si>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</si>
  <si>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</si>
  <si>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</si>
  <si>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</si>
  <si>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</si>
  <si>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</si>
  <si>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</si>
  <si>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</si>
  <si>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</si>
  <si>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</si>
  <si>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</si>
  <si>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</si>
  <si>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</si>
  <si>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</si>
  <si>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</si>
  <si>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</si>
  <si>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</si>
  <si>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</si>
  <si>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</si>
  <si>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</si>
  <si>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</si>
  <si>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</si>
  <si>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</si>
  <si>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</si>
  <si>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</si>
  <si>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</si>
  <si>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</si>
  <si>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</si>
  <si>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</si>
  <si>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</si>
  <si>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</si>
  <si>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</si>
  <si>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</si>
  <si>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</si>
  <si>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</si>
  <si>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</si>
  <si>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</si>
  <si>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</si>
  <si>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</si>
  <si>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</si>
  <si>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</si>
  <si>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</si>
  <si>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</si>
  <si>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</si>
  <si>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</si>
  <si>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</si>
  <si>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</si>
  <si>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</si>
  <si>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</si>
  <si>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</si>
  <si>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</si>
  <si>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</si>
  <si>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</si>
  <si>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</si>
  <si>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</si>
  <si>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</si>
  <si>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</si>
  <si>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</si>
  <si>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</si>
  <si>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</si>
  <si>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</si>
  <si>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</si>
  <si>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</si>
  <si>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</si>
  <si>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</si>
  <si>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</si>
  <si>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</si>
  <si>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</si>
  <si>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</si>
  <si>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</si>
  <si>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</si>
  <si>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</si>
  <si>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</si>
  <si>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</si>
  <si>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</si>
  <si>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</si>
  <si>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</si>
  <si>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</si>
  <si>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</si>
  <si>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</si>
  <si>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</si>
  <si>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</si>
  <si>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</si>
  <si>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</si>
  <si>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</si>
  <si>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</si>
  <si>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</si>
  <si>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</si>
  <si>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</si>
  <si>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</si>
  <si>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</si>
  <si>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</si>
  <si>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</si>
  <si>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</si>
  <si>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</si>
  <si>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</si>
  <si>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</si>
  <si>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</si>
  <si>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</si>
  <si>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</si>
  <si>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</si>
  <si>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</si>
  <si>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</si>
  <si>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</si>
  <si>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</si>
  <si>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</si>
  <si>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</si>
  <si>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</si>
  <si>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</si>
  <si>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</si>
  <si>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</si>
  <si>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</si>
  <si>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</si>
  <si>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</si>
  <si>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</si>
  <si>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</si>
  <si>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</si>
  <si>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</si>
  <si>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</si>
  <si>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</si>
  <si>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</si>
  <si>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</si>
  <si>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</si>
  <si>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</si>
  <si>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</si>
  <si>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</si>
  <si>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</si>
  <si>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</si>
  <si>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</si>
  <si>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</si>
  <si>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</si>
  <si>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</si>
  <si>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</si>
  <si>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</si>
  <si>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</si>
  <si>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</si>
  <si>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</si>
  <si>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</si>
  <si>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</si>
  <si>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</si>
  <si>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</si>
  <si>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</si>
  <si>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</si>
  <si>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</si>
  <si>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</si>
  <si>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</si>
  <si>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</si>
  <si>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</si>
  <si>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</si>
  <si>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</si>
  <si>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</si>
  <si>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</si>
  <si>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</si>
  <si>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</si>
  <si>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</si>
  <si>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</si>
  <si>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</si>
  <si>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</si>
  <si>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</si>
  <si>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</si>
  <si>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</si>
  <si>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</si>
  <si>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</si>
  <si>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</si>
  <si>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</si>
  <si>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</si>
  <si>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</si>
  <si>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</si>
  <si>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</si>
  <si>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</si>
  <si>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</si>
  <si>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</si>
  <si>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</si>
  <si>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</si>
  <si>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</si>
  <si>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</si>
  <si>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</si>
  <si>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</si>
  <si>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</si>
  <si>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</si>
  <si>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</si>
  <si>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</si>
  <si>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</si>
  <si>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</si>
  <si>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</si>
  <si>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</si>
  <si>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</si>
  <si>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</si>
  <si>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</si>
  <si>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</si>
  <si>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</si>
  <si>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</si>
  <si>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</si>
  <si>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</si>
  <si>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</si>
  <si>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</si>
  <si>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</si>
  <si>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</si>
  <si>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</si>
  <si>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</si>
  <si>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</si>
  <si>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</si>
  <si>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</si>
  <si>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</si>
  <si>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</si>
  <si>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</si>
  <si>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</si>
  <si>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</si>
  <si>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</si>
  <si>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</si>
  <si>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</si>
  <si>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</si>
  <si>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</si>
  <si>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</si>
  <si>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</si>
  <si>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</si>
  <si>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</si>
  <si>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</si>
  <si>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</si>
  <si>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</si>
  <si>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</si>
  <si>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</si>
  <si>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</si>
  <si>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</si>
  <si>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</si>
  <si>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</si>
  <si>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</si>
  <si>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</si>
  <si>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</si>
  <si>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</si>
  <si>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</si>
  <si>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</si>
  <si>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</si>
  <si>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</si>
  <si>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</si>
  <si>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</si>
  <si>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</si>
  <si>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</si>
  <si>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</si>
  <si>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</si>
  <si>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</si>
  <si>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</si>
  <si>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</si>
  <si>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</si>
  <si>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</si>
  <si>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</si>
  <si>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</si>
  <si>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</si>
  <si>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</si>
  <si>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</si>
  <si>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</si>
  <si>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</si>
  <si>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</si>
  <si>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</si>
  <si>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</si>
  <si>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</si>
  <si>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</si>
  <si>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</si>
  <si>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</si>
  <si>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</si>
  <si>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</si>
  <si>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</si>
  <si>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</si>
  <si>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</si>
  <si>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</si>
  <si>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</si>
  <si>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</si>
  <si>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</si>
  <si>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</si>
  <si>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</si>
  <si>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</si>
  <si>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</si>
  <si>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</si>
  <si>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</si>
  <si>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</si>
  <si>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</si>
  <si>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</si>
  <si>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</si>
  <si>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</si>
  <si>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</si>
  <si>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</si>
  <si>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</si>
  <si>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</si>
  <si>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</si>
  <si>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</si>
  <si>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</si>
  <si>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</si>
  <si>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</si>
  <si>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</si>
  <si>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</si>
  <si>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</si>
  <si>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</si>
  <si>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</si>
  <si>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</si>
  <si>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</si>
  <si>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</si>
  <si>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</si>
  <si>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</si>
  <si>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</si>
  <si>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</si>
  <si>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</si>
  <si>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</si>
  <si>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</si>
  <si>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</si>
  <si>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</si>
  <si>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</si>
  <si>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</si>
  <si>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</si>
  <si>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</si>
  <si>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</si>
  <si>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</si>
  <si>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</si>
  <si>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</si>
  <si>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</si>
  <si>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</si>
  <si>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</si>
  <si>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</si>
  <si>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</si>
  <si>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</si>
  <si>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</si>
  <si>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</si>
  <si>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</si>
  <si>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</si>
  <si>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</si>
  <si>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</si>
  <si>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</si>
  <si>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</si>
  <si>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</si>
  <si>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</si>
  <si>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</si>
  <si>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</si>
  <si>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</si>
  <si>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</si>
  <si>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</si>
  <si>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</si>
  <si>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</si>
  <si>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</si>
  <si>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</si>
  <si>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</si>
  <si>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</si>
  <si>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</si>
  <si>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</si>
  <si>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</si>
  <si>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</si>
  <si>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</si>
  <si>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</si>
  <si>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</si>
  <si>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</si>
  <si>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</si>
  <si>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</si>
  <si>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</si>
  <si>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</si>
  <si>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</si>
  <si>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</si>
  <si>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</si>
  <si>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</si>
  <si>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</si>
  <si>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</si>
  <si>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</si>
  <si>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</si>
  <si>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</si>
  <si>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</si>
  <si>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</si>
  <si>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33037</t>
  </si>
  <si>
    <t>ZONNEBEKE</t>
  </si>
  <si>
    <t>Fluvius</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</si>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</sst>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123940.29041304888</c:v>
                </c:pt>
                <c:pt idx="1">
                  <c:v>31893.186145431653</c:v>
                </c:pt>
                <c:pt idx="2">
                  <c:v>806.60299999999995</c:v>
                </c:pt>
                <c:pt idx="3">
                  <c:v>35218.32995510535</c:v>
                </c:pt>
                <c:pt idx="4">
                  <c:v>206797.77247806868</c:v>
                </c:pt>
                <c:pt idx="5">
                  <c:v>132258.98419026029</c:v>
                </c:pt>
                <c:pt idx="6">
                  <c:v>1050.1895958832345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123940.29041304888</c:v>
                </c:pt>
                <c:pt idx="1">
                  <c:v>31893.186145431653</c:v>
                </c:pt>
                <c:pt idx="2">
                  <c:v>806.60299999999995</c:v>
                </c:pt>
                <c:pt idx="3">
                  <c:v>35218.32995510535</c:v>
                </c:pt>
                <c:pt idx="4">
                  <c:v>206797.77247806868</c:v>
                </c:pt>
                <c:pt idx="5">
                  <c:v>132258.98419026029</c:v>
                </c:pt>
                <c:pt idx="6">
                  <c:v>1050.1895958832345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21616.511491402147</c:v>
                </c:pt>
                <c:pt idx="2">
                  <c:v>5803.7766186134122</c:v>
                </c:pt>
                <c:pt idx="3">
                  <c:v>167.81302262410964</c:v>
                </c:pt>
                <c:pt idx="4">
                  <c:v>8981.2075213248299</c:v>
                </c:pt>
                <c:pt idx="5">
                  <c:v>42107.71820194133</c:v>
                </c:pt>
                <c:pt idx="6">
                  <c:v>33140.659076309581</c:v>
                </c:pt>
                <c:pt idx="7">
                  <c:v>265.33207019401772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21616.511491402147</c:v>
                </c:pt>
                <c:pt idx="2">
                  <c:v>5803.7766186134122</c:v>
                </c:pt>
                <c:pt idx="3">
                  <c:v>167.81302262410964</c:v>
                </c:pt>
                <c:pt idx="4">
                  <c:v>8981.2075213248299</c:v>
                </c:pt>
                <c:pt idx="5">
                  <c:v>42107.71820194133</c:v>
                </c:pt>
                <c:pt idx="6">
                  <c:v>33140.659076309581</c:v>
                </c:pt>
                <c:pt idx="7">
                  <c:v>265.33207019401772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33037</v>
      </c>
      <c r="B6" s="390"/>
      <c r="C6" s="391"/>
    </row>
    <row r="7" spans="1:7" s="388" customFormat="1" ht="15.75" customHeight="1">
      <c r="A7" s="392" t="str">
        <f>txtMunicipality</f>
        <v>ZONNEBEKE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0.20804909307814334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0.20804909307814334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4933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5028.18</v>
      </c>
      <c r="C14" s="330"/>
      <c r="D14" s="330"/>
      <c r="E14" s="330"/>
      <c r="F14" s="330"/>
    </row>
    <row r="15" spans="1:6">
      <c r="A15" s="1293" t="s">
        <v>183</v>
      </c>
      <c r="B15" s="1294">
        <v>55</v>
      </c>
      <c r="C15" s="330"/>
      <c r="D15" s="330"/>
      <c r="E15" s="330"/>
      <c r="F15" s="330"/>
    </row>
    <row r="16" spans="1:6">
      <c r="A16" s="1293" t="s">
        <v>6</v>
      </c>
      <c r="B16" s="1294">
        <v>2015</v>
      </c>
      <c r="C16" s="330"/>
      <c r="D16" s="330"/>
      <c r="E16" s="330"/>
      <c r="F16" s="330"/>
    </row>
    <row r="17" spans="1:6">
      <c r="A17" s="1293" t="s">
        <v>7</v>
      </c>
      <c r="B17" s="1294">
        <v>1428</v>
      </c>
      <c r="C17" s="330"/>
      <c r="D17" s="330"/>
      <c r="E17" s="330"/>
      <c r="F17" s="330"/>
    </row>
    <row r="18" spans="1:6">
      <c r="A18" s="1293" t="s">
        <v>8</v>
      </c>
      <c r="B18" s="1294">
        <v>2027</v>
      </c>
      <c r="C18" s="330"/>
      <c r="D18" s="330"/>
      <c r="E18" s="330"/>
      <c r="F18" s="330"/>
    </row>
    <row r="19" spans="1:6">
      <c r="A19" s="1293" t="s">
        <v>9</v>
      </c>
      <c r="B19" s="1294">
        <v>1950</v>
      </c>
      <c r="C19" s="330"/>
      <c r="D19" s="330"/>
      <c r="E19" s="330"/>
      <c r="F19" s="330"/>
    </row>
    <row r="20" spans="1:6">
      <c r="A20" s="1293" t="s">
        <v>10</v>
      </c>
      <c r="B20" s="1294">
        <v>1312</v>
      </c>
      <c r="C20" s="330"/>
      <c r="D20" s="330"/>
      <c r="E20" s="330"/>
      <c r="F20" s="330"/>
    </row>
    <row r="21" spans="1:6">
      <c r="A21" s="1293" t="s">
        <v>11</v>
      </c>
      <c r="B21" s="1294">
        <v>25827</v>
      </c>
      <c r="C21" s="330"/>
      <c r="D21" s="330"/>
      <c r="E21" s="330"/>
      <c r="F21" s="330"/>
    </row>
    <row r="22" spans="1:6">
      <c r="A22" s="1293" t="s">
        <v>12</v>
      </c>
      <c r="B22" s="1294">
        <v>67428</v>
      </c>
      <c r="C22" s="330"/>
      <c r="D22" s="330"/>
      <c r="E22" s="330"/>
      <c r="F22" s="330"/>
    </row>
    <row r="23" spans="1:6">
      <c r="A23" s="1293" t="s">
        <v>13</v>
      </c>
      <c r="B23" s="1294">
        <v>679</v>
      </c>
      <c r="C23" s="330"/>
      <c r="D23" s="330"/>
      <c r="E23" s="330"/>
      <c r="F23" s="330"/>
    </row>
    <row r="24" spans="1:6">
      <c r="A24" s="1293" t="s">
        <v>14</v>
      </c>
      <c r="B24" s="1294">
        <v>88</v>
      </c>
      <c r="C24" s="330"/>
      <c r="D24" s="330"/>
      <c r="E24" s="330"/>
      <c r="F24" s="330"/>
    </row>
    <row r="25" spans="1:6">
      <c r="A25" s="1293" t="s">
        <v>15</v>
      </c>
      <c r="B25" s="1294">
        <v>5117</v>
      </c>
      <c r="C25" s="330"/>
      <c r="D25" s="330"/>
      <c r="E25" s="330"/>
      <c r="F25" s="330"/>
    </row>
    <row r="26" spans="1:6">
      <c r="A26" s="1293" t="s">
        <v>16</v>
      </c>
      <c r="B26" s="1294">
        <v>905</v>
      </c>
      <c r="C26" s="330"/>
      <c r="D26" s="330"/>
      <c r="E26" s="330"/>
      <c r="F26" s="330"/>
    </row>
    <row r="27" spans="1:6">
      <c r="A27" s="1293" t="s">
        <v>17</v>
      </c>
      <c r="B27" s="1294">
        <v>9</v>
      </c>
      <c r="C27" s="330"/>
      <c r="D27" s="330"/>
      <c r="E27" s="330"/>
      <c r="F27" s="330"/>
    </row>
    <row r="28" spans="1:6" s="43" customFormat="1">
      <c r="A28" s="1295" t="s">
        <v>18</v>
      </c>
      <c r="B28" s="1296">
        <v>480749</v>
      </c>
      <c r="C28" s="336"/>
      <c r="D28" s="336"/>
      <c r="E28" s="336"/>
      <c r="F28" s="336"/>
    </row>
    <row r="29" spans="1:6">
      <c r="A29" s="1295" t="s">
        <v>734</v>
      </c>
      <c r="B29" s="1296">
        <v>317</v>
      </c>
      <c r="C29" s="336"/>
      <c r="D29" s="336"/>
      <c r="E29" s="336"/>
      <c r="F29" s="336"/>
    </row>
    <row r="30" spans="1:6">
      <c r="A30" s="1288" t="s">
        <v>735</v>
      </c>
      <c r="B30" s="1297">
        <v>45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11361</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2600</v>
      </c>
      <c r="D39" s="1294">
        <v>40439312.749500297</v>
      </c>
      <c r="E39" s="1294">
        <v>4515</v>
      </c>
      <c r="F39" s="1294">
        <v>16755588.8362024</v>
      </c>
    </row>
    <row r="40" spans="1:6">
      <c r="A40" s="1293" t="s">
        <v>29</v>
      </c>
      <c r="B40" s="1293" t="s">
        <v>28</v>
      </c>
      <c r="C40" s="1294">
        <v>0</v>
      </c>
      <c r="D40" s="1294">
        <v>0</v>
      </c>
      <c r="E40" s="1294">
        <v>0</v>
      </c>
      <c r="F40" s="1294">
        <v>0</v>
      </c>
    </row>
    <row r="41" spans="1:6">
      <c r="A41" s="1293" t="s">
        <v>31</v>
      </c>
      <c r="B41" s="1293" t="s">
        <v>32</v>
      </c>
      <c r="C41" s="1294">
        <v>68</v>
      </c>
      <c r="D41" s="1294">
        <v>1531197.6731376699</v>
      </c>
      <c r="E41" s="1294">
        <v>150</v>
      </c>
      <c r="F41" s="1294">
        <v>1500977.83033278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416991.91014465003</v>
      </c>
      <c r="E44" s="1294">
        <v>17</v>
      </c>
      <c r="F44" s="1294">
        <v>558061.05996757501</v>
      </c>
    </row>
    <row r="45" spans="1:6">
      <c r="A45" s="1293" t="s">
        <v>31</v>
      </c>
      <c r="B45" s="1293" t="s">
        <v>36</v>
      </c>
      <c r="C45" s="1294">
        <v>0</v>
      </c>
      <c r="D45" s="1294">
        <v>0</v>
      </c>
      <c r="E45" s="1294">
        <v>7</v>
      </c>
      <c r="F45" s="1294">
        <v>10509287.7888497</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29</v>
      </c>
      <c r="D48" s="1294">
        <v>99460653.971796393</v>
      </c>
      <c r="E48" s="1294">
        <v>31</v>
      </c>
      <c r="F48" s="1294">
        <v>58415077.5084861</v>
      </c>
    </row>
    <row r="49" spans="1:6">
      <c r="A49" s="1293" t="s">
        <v>31</v>
      </c>
      <c r="B49" s="1293" t="s">
        <v>39</v>
      </c>
      <c r="C49" s="1294">
        <v>0</v>
      </c>
      <c r="D49" s="1294">
        <v>0</v>
      </c>
      <c r="E49" s="1294">
        <v>4</v>
      </c>
      <c r="F49" s="1294">
        <v>14266671.0026346</v>
      </c>
    </row>
    <row r="50" spans="1:6">
      <c r="A50" s="1293" t="s">
        <v>31</v>
      </c>
      <c r="B50" s="1293" t="s">
        <v>40</v>
      </c>
      <c r="C50" s="1294">
        <v>9</v>
      </c>
      <c r="D50" s="1294">
        <v>367306.850506127</v>
      </c>
      <c r="E50" s="1294">
        <v>8</v>
      </c>
      <c r="F50" s="1294">
        <v>269641.39453612198</v>
      </c>
    </row>
    <row r="51" spans="1:6">
      <c r="A51" s="1293" t="s">
        <v>41</v>
      </c>
      <c r="B51" s="1293" t="s">
        <v>42</v>
      </c>
      <c r="C51" s="1294">
        <v>21</v>
      </c>
      <c r="D51" s="1294">
        <v>1818114.06812758</v>
      </c>
      <c r="E51" s="1294">
        <v>248</v>
      </c>
      <c r="F51" s="1294">
        <v>6229206.1255510002</v>
      </c>
    </row>
    <row r="52" spans="1:6">
      <c r="A52" s="1293" t="s">
        <v>41</v>
      </c>
      <c r="B52" s="1293" t="s">
        <v>28</v>
      </c>
      <c r="C52" s="1294">
        <v>6</v>
      </c>
      <c r="D52" s="1294">
        <v>329602.91778853099</v>
      </c>
      <c r="E52" s="1294">
        <v>2</v>
      </c>
      <c r="F52" s="1294">
        <v>2953.7017244903</v>
      </c>
    </row>
    <row r="53" spans="1:6">
      <c r="A53" s="1293" t="s">
        <v>43</v>
      </c>
      <c r="B53" s="1293" t="s">
        <v>44</v>
      </c>
      <c r="C53" s="1294">
        <v>70</v>
      </c>
      <c r="D53" s="1294">
        <v>1172604.3175674099</v>
      </c>
      <c r="E53" s="1294">
        <v>175</v>
      </c>
      <c r="F53" s="1294">
        <v>653796.65029330901</v>
      </c>
    </row>
    <row r="54" spans="1:6">
      <c r="A54" s="1293" t="s">
        <v>45</v>
      </c>
      <c r="B54" s="1293" t="s">
        <v>46</v>
      </c>
      <c r="C54" s="1294">
        <v>0</v>
      </c>
      <c r="D54" s="1294">
        <v>0</v>
      </c>
      <c r="E54" s="1294">
        <v>1</v>
      </c>
      <c r="F54" s="1294">
        <v>806603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42</v>
      </c>
      <c r="D57" s="1294">
        <v>2704353.83657338</v>
      </c>
      <c r="E57" s="1294">
        <v>100</v>
      </c>
      <c r="F57" s="1294">
        <v>4918003.83420482</v>
      </c>
    </row>
    <row r="58" spans="1:6">
      <c r="A58" s="1293" t="s">
        <v>48</v>
      </c>
      <c r="B58" s="1293" t="s">
        <v>50</v>
      </c>
      <c r="C58" s="1294">
        <v>13</v>
      </c>
      <c r="D58" s="1294">
        <v>451777.72297411598</v>
      </c>
      <c r="E58" s="1294">
        <v>28</v>
      </c>
      <c r="F58" s="1294">
        <v>128889.711593238</v>
      </c>
    </row>
    <row r="59" spans="1:6">
      <c r="A59" s="1293" t="s">
        <v>48</v>
      </c>
      <c r="B59" s="1293" t="s">
        <v>51</v>
      </c>
      <c r="C59" s="1294">
        <v>29</v>
      </c>
      <c r="D59" s="1294">
        <v>795100.89144980605</v>
      </c>
      <c r="E59" s="1294">
        <v>129</v>
      </c>
      <c r="F59" s="1294">
        <v>2751416.6965064099</v>
      </c>
    </row>
    <row r="60" spans="1:6">
      <c r="A60" s="1293" t="s">
        <v>48</v>
      </c>
      <c r="B60" s="1293" t="s">
        <v>52</v>
      </c>
      <c r="C60" s="1294">
        <v>25</v>
      </c>
      <c r="D60" s="1294">
        <v>749816.07728495798</v>
      </c>
      <c r="E60" s="1294">
        <v>58</v>
      </c>
      <c r="F60" s="1294">
        <v>979958.93257074605</v>
      </c>
    </row>
    <row r="61" spans="1:6">
      <c r="A61" s="1293" t="s">
        <v>48</v>
      </c>
      <c r="B61" s="1293" t="s">
        <v>53</v>
      </c>
      <c r="C61" s="1294">
        <v>42</v>
      </c>
      <c r="D61" s="1294">
        <v>1077058.90669108</v>
      </c>
      <c r="E61" s="1294">
        <v>114</v>
      </c>
      <c r="F61" s="1294">
        <v>1229088.63852892</v>
      </c>
    </row>
    <row r="62" spans="1:6">
      <c r="A62" s="1293" t="s">
        <v>48</v>
      </c>
      <c r="B62" s="1293" t="s">
        <v>54</v>
      </c>
      <c r="C62" s="1294">
        <v>3</v>
      </c>
      <c r="D62" s="1294">
        <v>387626.31174991798</v>
      </c>
      <c r="E62" s="1294">
        <v>3</v>
      </c>
      <c r="F62" s="1294">
        <v>82886.047111954802</v>
      </c>
    </row>
    <row r="63" spans="1:6">
      <c r="A63" s="1293" t="s">
        <v>48</v>
      </c>
      <c r="B63" s="1293" t="s">
        <v>28</v>
      </c>
      <c r="C63" s="1294">
        <v>78</v>
      </c>
      <c r="D63" s="1294">
        <v>6243419.2650215402</v>
      </c>
      <c r="E63" s="1294">
        <v>97</v>
      </c>
      <c r="F63" s="1294">
        <v>3230768.1870757602</v>
      </c>
    </row>
    <row r="64" spans="1:6">
      <c r="A64" s="1293" t="s">
        <v>55</v>
      </c>
      <c r="B64" s="1293" t="s">
        <v>56</v>
      </c>
      <c r="C64" s="1294">
        <v>0</v>
      </c>
      <c r="D64" s="1294">
        <v>0</v>
      </c>
      <c r="E64" s="1294">
        <v>0</v>
      </c>
      <c r="F64" s="1294">
        <v>0</v>
      </c>
    </row>
    <row r="65" spans="1:6">
      <c r="A65" s="1293" t="s">
        <v>55</v>
      </c>
      <c r="B65" s="1293" t="s">
        <v>28</v>
      </c>
      <c r="C65" s="1294">
        <v>1</v>
      </c>
      <c r="D65" s="1294">
        <v>37369.896862485002</v>
      </c>
      <c r="E65" s="1294">
        <v>5</v>
      </c>
      <c r="F65" s="1294">
        <v>28149.665006998501</v>
      </c>
    </row>
    <row r="66" spans="1:6">
      <c r="A66" s="1293" t="s">
        <v>55</v>
      </c>
      <c r="B66" s="1293" t="s">
        <v>57</v>
      </c>
      <c r="C66" s="1294">
        <v>0</v>
      </c>
      <c r="D66" s="1294">
        <v>0</v>
      </c>
      <c r="E66" s="1294">
        <v>8</v>
      </c>
      <c r="F66" s="1294">
        <v>180286.114776195</v>
      </c>
    </row>
    <row r="67" spans="1:6">
      <c r="A67" s="1295" t="s">
        <v>55</v>
      </c>
      <c r="B67" s="1295" t="s">
        <v>58</v>
      </c>
      <c r="C67" s="1294">
        <v>0</v>
      </c>
      <c r="D67" s="1294">
        <v>0</v>
      </c>
      <c r="E67" s="1294">
        <v>0</v>
      </c>
      <c r="F67" s="1294">
        <v>0</v>
      </c>
    </row>
    <row r="68" spans="1:6">
      <c r="A68" s="1288" t="s">
        <v>55</v>
      </c>
      <c r="B68" s="1288" t="s">
        <v>59</v>
      </c>
      <c r="C68" s="1297">
        <v>5</v>
      </c>
      <c r="D68" s="1297">
        <v>144428.79917576301</v>
      </c>
      <c r="E68" s="1297">
        <v>22</v>
      </c>
      <c r="F68" s="1297">
        <v>213188.693868684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39891567</v>
      </c>
      <c r="E73" s="449"/>
      <c r="F73" s="330"/>
    </row>
    <row r="74" spans="1:6">
      <c r="A74" s="1293" t="s">
        <v>63</v>
      </c>
      <c r="B74" s="1293" t="s">
        <v>656</v>
      </c>
      <c r="C74" s="1307" t="s">
        <v>658</v>
      </c>
      <c r="D74" s="1308">
        <v>5383357</v>
      </c>
      <c r="E74" s="449"/>
      <c r="F74" s="330"/>
    </row>
    <row r="75" spans="1:6">
      <c r="A75" s="1293" t="s">
        <v>64</v>
      </c>
      <c r="B75" s="1293" t="s">
        <v>655</v>
      </c>
      <c r="C75" s="1307" t="s">
        <v>659</v>
      </c>
      <c r="D75" s="1308">
        <v>18643594</v>
      </c>
      <c r="E75" s="449"/>
      <c r="F75" s="330"/>
    </row>
    <row r="76" spans="1:6">
      <c r="A76" s="1293" t="s">
        <v>64</v>
      </c>
      <c r="B76" s="1293" t="s">
        <v>656</v>
      </c>
      <c r="C76" s="1307" t="s">
        <v>660</v>
      </c>
      <c r="D76" s="1308">
        <v>916949</v>
      </c>
      <c r="E76" s="449"/>
      <c r="F76" s="330"/>
    </row>
    <row r="77" spans="1:6">
      <c r="A77" s="1293" t="s">
        <v>65</v>
      </c>
      <c r="B77" s="1293" t="s">
        <v>655</v>
      </c>
      <c r="C77" s="1307" t="s">
        <v>661</v>
      </c>
      <c r="D77" s="1308">
        <v>66056983</v>
      </c>
      <c r="E77" s="449"/>
      <c r="F77" s="330"/>
    </row>
    <row r="78" spans="1:6">
      <c r="A78" s="1288" t="s">
        <v>65</v>
      </c>
      <c r="B78" s="1288" t="s">
        <v>656</v>
      </c>
      <c r="C78" s="1288" t="s">
        <v>662</v>
      </c>
      <c r="D78" s="1309">
        <v>10688305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286420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4107.8215953954177</v>
      </c>
      <c r="C91" s="330"/>
      <c r="D91" s="330"/>
      <c r="E91" s="330"/>
      <c r="F91" s="330"/>
    </row>
    <row r="92" spans="1:6">
      <c r="A92" s="1288" t="s">
        <v>68</v>
      </c>
      <c r="B92" s="1289">
        <v>3319.1516236061507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1371</v>
      </c>
      <c r="C97" s="330"/>
      <c r="D97" s="330"/>
      <c r="E97" s="330"/>
      <c r="F97" s="330"/>
    </row>
    <row r="98" spans="1:6">
      <c r="A98" s="1293" t="s">
        <v>71</v>
      </c>
      <c r="B98" s="1294">
        <v>0</v>
      </c>
      <c r="C98" s="330"/>
      <c r="D98" s="330"/>
      <c r="E98" s="330"/>
      <c r="F98" s="330"/>
    </row>
    <row r="99" spans="1:6">
      <c r="A99" s="1293" t="s">
        <v>72</v>
      </c>
      <c r="B99" s="1294">
        <v>212</v>
      </c>
      <c r="C99" s="330"/>
      <c r="D99" s="330"/>
      <c r="E99" s="330"/>
      <c r="F99" s="330"/>
    </row>
    <row r="100" spans="1:6">
      <c r="A100" s="1293" t="s">
        <v>73</v>
      </c>
      <c r="B100" s="1294">
        <v>316</v>
      </c>
      <c r="C100" s="330"/>
      <c r="D100" s="330"/>
      <c r="E100" s="330"/>
      <c r="F100" s="330"/>
    </row>
    <row r="101" spans="1:6">
      <c r="A101" s="1293" t="s">
        <v>74</v>
      </c>
      <c r="B101" s="1294">
        <v>182</v>
      </c>
      <c r="C101" s="330"/>
      <c r="D101" s="330"/>
      <c r="E101" s="330"/>
      <c r="F101" s="330"/>
    </row>
    <row r="102" spans="1:6">
      <c r="A102" s="1293" t="s">
        <v>75</v>
      </c>
      <c r="B102" s="1294">
        <v>54</v>
      </c>
      <c r="C102" s="330"/>
      <c r="D102" s="330"/>
      <c r="E102" s="330"/>
      <c r="F102" s="330"/>
    </row>
    <row r="103" spans="1:6">
      <c r="A103" s="1293" t="s">
        <v>76</v>
      </c>
      <c r="B103" s="1294">
        <v>291</v>
      </c>
      <c r="C103" s="330"/>
      <c r="D103" s="330"/>
      <c r="E103" s="330"/>
      <c r="F103" s="330"/>
    </row>
    <row r="104" spans="1:6">
      <c r="A104" s="1293" t="s">
        <v>77</v>
      </c>
      <c r="B104" s="1294">
        <v>1851</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24</v>
      </c>
      <c r="D123" s="330"/>
      <c r="E123" s="330"/>
      <c r="F123" s="330"/>
    </row>
    <row r="124" spans="1:6" s="43" customFormat="1">
      <c r="A124" s="1295" t="s">
        <v>88</v>
      </c>
      <c r="B124" s="1316">
        <v>2</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244</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127482.01661560989</v>
      </c>
      <c r="C3" s="43" t="s">
        <v>169</v>
      </c>
      <c r="D3" s="43"/>
      <c r="E3" s="154"/>
      <c r="F3" s="43"/>
      <c r="G3" s="43"/>
      <c r="H3" s="43"/>
      <c r="I3" s="43"/>
      <c r="J3" s="43"/>
      <c r="K3" s="96"/>
    </row>
    <row r="4" spans="1:11">
      <c r="A4" s="358" t="s">
        <v>170</v>
      </c>
      <c r="B4" s="49">
        <f>IF(ISERROR('SEAP template'!B78+'SEAP template'!C78),0,'SEAP template'!B78+'SEAP template'!C78)</f>
        <v>7470.623219001568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0.20804909307814334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806.60299999999995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806.60299999999995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0.20804909307814334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167.81302262410964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16755.588836202402</v>
      </c>
      <c r="C5" s="17">
        <f>IF(ISERROR('Eigen informatie GS &amp; warmtenet'!B57),0,'Eigen informatie GS &amp; warmtenet'!B57)</f>
        <v>0</v>
      </c>
      <c r="D5" s="30">
        <f>(SUM(HH_hh_gas_kWh,HH_rest_gas_kWh)/1000)*0.902</f>
        <v>36476.260100049272</v>
      </c>
      <c r="E5" s="17">
        <f>B46*B57</f>
        <v>21819.71073398443</v>
      </c>
      <c r="F5" s="17">
        <f>B51*B62</f>
        <v>15538.265039789569</v>
      </c>
      <c r="G5" s="18"/>
      <c r="H5" s="17"/>
      <c r="I5" s="17"/>
      <c r="J5" s="17">
        <f>B50*B61+C50*C61</f>
        <v>2276.5599721551121</v>
      </c>
      <c r="K5" s="17"/>
      <c r="L5" s="17"/>
      <c r="M5" s="17"/>
      <c r="N5" s="17">
        <f>B48*B59+C48*C59</f>
        <v>25817.887468806002</v>
      </c>
      <c r="O5" s="17">
        <f>B69*B70*B71</f>
        <v>423.66333333333336</v>
      </c>
      <c r="P5" s="17">
        <f>B77*B78*B79/1000-B77*B78*B79/1000/B80</f>
        <v>724.5333333333333</v>
      </c>
    </row>
    <row r="6" spans="1:16">
      <c r="A6" s="16" t="s">
        <v>620</v>
      </c>
      <c r="B6" s="762">
        <f>kWh_PV_kleiner_dan_10kW</f>
        <v>4107.8215953954177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20863.410431597818</v>
      </c>
      <c r="C8" s="21">
        <f>C5</f>
        <v>0</v>
      </c>
      <c r="D8" s="21">
        <f>D5</f>
        <v>36476.260100049272</v>
      </c>
      <c r="E8" s="21">
        <f>E5</f>
        <v>21819.71073398443</v>
      </c>
      <c r="F8" s="21">
        <f>F5</f>
        <v>15538.265039789569</v>
      </c>
      <c r="G8" s="21"/>
      <c r="H8" s="21"/>
      <c r="I8" s="21"/>
      <c r="J8" s="21">
        <f>J5</f>
        <v>2276.5599721551121</v>
      </c>
      <c r="K8" s="21"/>
      <c r="L8" s="21">
        <f>L5</f>
        <v>0</v>
      </c>
      <c r="M8" s="21">
        <f>M5</f>
        <v>0</v>
      </c>
      <c r="N8" s="21">
        <f>N5</f>
        <v>25817.887468806002</v>
      </c>
      <c r="O8" s="21">
        <f>O5</f>
        <v>423.66333333333336</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0.20804909307814334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4340.6136188110013</v>
      </c>
      <c r="C12" s="23">
        <f ca="1">C10*C8</f>
        <v>0</v>
      </c>
      <c r="D12" s="23">
        <f>D8*D10</f>
        <v>7368.2045402099538</v>
      </c>
      <c r="E12" s="23">
        <f>E10*E8</f>
        <v>4953.0743366144661</v>
      </c>
      <c r="F12" s="23">
        <f>F10*F8</f>
        <v>4148.7167656238153</v>
      </c>
      <c r="G12" s="23"/>
      <c r="H12" s="23"/>
      <c r="I12" s="23"/>
      <c r="J12" s="23">
        <f>J10*J8</f>
        <v>805.90223014290962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4933</v>
      </c>
      <c r="C28" s="36"/>
      <c r="D28" s="228"/>
    </row>
    <row r="29" spans="1:7" s="15" customFormat="1">
      <c r="A29" s="230" t="s">
        <v>781</v>
      </c>
      <c r="B29" s="37">
        <f>SUM(HH_hh_gas_aantal,HH_rest_gas_aantal)</f>
        <v>2600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2600</v>
      </c>
      <c r="C32" s="167">
        <f>IF(ISERROR(B32/SUM($B$32,$B$34,$B$35,$B$36,$B$38,$B$39)*100),0,B32/SUM($B$32,$B$34,$B$35,$B$36,$B$38,$B$39)*100)</f>
        <v>53.115423901940751</v>
      </c>
      <c r="D32" s="233"/>
      <c r="G32" s="15"/>
    </row>
    <row r="33" spans="1:7">
      <c r="A33" s="171" t="s">
        <v>71</v>
      </c>
      <c r="B33" s="34" t="s">
        <v>110</v>
      </c>
      <c r="C33" s="167"/>
      <c r="D33" s="233"/>
      <c r="G33" s="15"/>
    </row>
    <row r="34" spans="1:7">
      <c r="A34" s="171" t="s">
        <v>72</v>
      </c>
      <c r="B34" s="33">
        <f>IF((($B$28-$B$32-$B$39-$B$77-$B$38)*C20/100)&lt;0,0,($B$28-$B$32-$B$39-$B$77-$B$38)*C20/100)</f>
        <v>412.65352112676061</v>
      </c>
      <c r="C34" s="167">
        <f>IF(ISERROR(B34/SUM($B$32,$B$34,$B$35,$B$36,$B$38,$B$39)*100),0,B34/SUM($B$32,$B$34,$B$35,$B$36,$B$38,$B$39)*100)</f>
        <v>8.4301025766447513</v>
      </c>
      <c r="D34" s="233"/>
      <c r="G34" s="15"/>
    </row>
    <row r="35" spans="1:7">
      <c r="A35" s="171" t="s">
        <v>73</v>
      </c>
      <c r="B35" s="33">
        <f>IF((($B$28-$B$32-$B$39-$B$77-$B$38)*C21/100)&lt;0,0,($B$28-$B$32-$B$39-$B$77-$B$38)*C21/100)</f>
        <v>615.08732394366211</v>
      </c>
      <c r="C35" s="167">
        <f>IF(ISERROR(B35/SUM($B$32,$B$34,$B$35,$B$36,$B$38,$B$39)*100),0,B35/SUM($B$32,$B$34,$B$35,$B$36,$B$38,$B$39)*100)</f>
        <v>12.565624595376141</v>
      </c>
      <c r="D35" s="233"/>
      <c r="G35" s="15"/>
    </row>
    <row r="36" spans="1:7">
      <c r="A36" s="171" t="s">
        <v>74</v>
      </c>
      <c r="B36" s="33">
        <f>IF((($B$28-$B$32-$B$39-$B$77-$B$38)*C22/100)&lt;0,0,($B$28-$B$32-$B$39-$B$77-$B$38)*C22/100)</f>
        <v>354.25915492957751</v>
      </c>
      <c r="C36" s="167">
        <f>IF(ISERROR(B36/SUM($B$32,$B$34,$B$35,$B$36,$B$38,$B$39)*100),0,B36/SUM($B$32,$B$34,$B$35,$B$36,$B$38,$B$39)*100)</f>
        <v>7.2371635327799293</v>
      </c>
      <c r="D36" s="233"/>
      <c r="G36" s="15"/>
    </row>
    <row r="37" spans="1:7">
      <c r="A37" s="171" t="s">
        <v>75</v>
      </c>
      <c r="B37" s="34" t="s">
        <v>110</v>
      </c>
      <c r="C37" s="167"/>
      <c r="D37" s="173"/>
      <c r="G37" s="15"/>
    </row>
    <row r="38" spans="1:7">
      <c r="A38" s="171" t="s">
        <v>76</v>
      </c>
      <c r="B38" s="33">
        <f>IF((B24-(B29-B18)*0.1)&lt;0,0,B24-(B29-B18)*0.1)</f>
        <v>168.1</v>
      </c>
      <c r="C38" s="167">
        <f>IF(ISERROR(B38/SUM($B$32,$B$34,$B$35,$B$36,$B$38,$B$39)*100),0,B38/SUM($B$32,$B$34,$B$35,$B$36,$B$38,$B$39)*100)</f>
        <v>3.4341164453524002</v>
      </c>
      <c r="D38" s="234"/>
      <c r="G38" s="15"/>
    </row>
    <row r="39" spans="1:7">
      <c r="A39" s="171" t="s">
        <v>77</v>
      </c>
      <c r="B39" s="33">
        <f>IF((B25-(B29-B18))&lt;0,0,B25-(B29-B18)*0.9)</f>
        <v>744.89999999999986</v>
      </c>
      <c r="C39" s="167">
        <f>IF(ISERROR(B39/SUM($B$32,$B$34,$B$35,$B$36,$B$38,$B$39)*100),0,B39/SUM($B$32,$B$34,$B$35,$B$36,$B$38,$B$39)*100)</f>
        <v>15.217568947906024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2600</v>
      </c>
      <c r="C44" s="34" t="s">
        <v>110</v>
      </c>
      <c r="D44" s="174"/>
    </row>
    <row r="45" spans="1:7">
      <c r="A45" s="171" t="s">
        <v>71</v>
      </c>
      <c r="B45" s="33" t="str">
        <f t="shared" si="0"/>
        <v>-</v>
      </c>
      <c r="C45" s="34" t="s">
        <v>110</v>
      </c>
      <c r="D45" s="174"/>
    </row>
    <row r="46" spans="1:7">
      <c r="A46" s="171" t="s">
        <v>72</v>
      </c>
      <c r="B46" s="33">
        <f t="shared" si="0"/>
        <v>412.65352112676061</v>
      </c>
      <c r="C46" s="34" t="s">
        <v>110</v>
      </c>
      <c r="D46" s="174"/>
    </row>
    <row r="47" spans="1:7">
      <c r="A47" s="171" t="s">
        <v>73</v>
      </c>
      <c r="B47" s="33">
        <f t="shared" si="0"/>
        <v>615.08732394366211</v>
      </c>
      <c r="C47" s="34" t="s">
        <v>110</v>
      </c>
      <c r="D47" s="174"/>
    </row>
    <row r="48" spans="1:7">
      <c r="A48" s="171" t="s">
        <v>74</v>
      </c>
      <c r="B48" s="33">
        <f t="shared" si="0"/>
        <v>354.25915492957751</v>
      </c>
      <c r="C48" s="33">
        <f>B48*10</f>
        <v>3542.5915492957752</v>
      </c>
      <c r="D48" s="234"/>
    </row>
    <row r="49" spans="1:6">
      <c r="A49" s="171" t="s">
        <v>75</v>
      </c>
      <c r="B49" s="33" t="str">
        <f t="shared" si="0"/>
        <v>-</v>
      </c>
      <c r="C49" s="34" t="s">
        <v>110</v>
      </c>
      <c r="D49" s="234"/>
    </row>
    <row r="50" spans="1:6">
      <c r="A50" s="171" t="s">
        <v>76</v>
      </c>
      <c r="B50" s="33">
        <f t="shared" si="0"/>
        <v>168.1</v>
      </c>
      <c r="C50" s="33">
        <f>B50*2</f>
        <v>336.2</v>
      </c>
      <c r="D50" s="234"/>
    </row>
    <row r="51" spans="1:6">
      <c r="A51" s="171" t="s">
        <v>77</v>
      </c>
      <c r="B51" s="33">
        <f t="shared" si="0"/>
        <v>744.89999999999986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13321.01204759185</v>
      </c>
      <c r="C5" s="17">
        <f>IF(ISERROR('Eigen informatie GS &amp; warmtenet'!B58),0,'Eigen informatie GS &amp; warmtenet'!B58)</f>
        <v>0</v>
      </c>
      <c r="D5" s="30">
        <f>SUM(D6:D12)</f>
        <v>11193.056016593808</v>
      </c>
      <c r="E5" s="17">
        <f>SUM(E6:E12)</f>
        <v>161.07449041207198</v>
      </c>
      <c r="F5" s="17">
        <f>SUM(F6:F12)</f>
        <v>2717.8614848483348</v>
      </c>
      <c r="G5" s="18"/>
      <c r="H5" s="17"/>
      <c r="I5" s="17"/>
      <c r="J5" s="17">
        <f>SUM(J6:J12)</f>
        <v>0.11457397189620497</v>
      </c>
      <c r="K5" s="17"/>
      <c r="L5" s="17"/>
      <c r="M5" s="17"/>
      <c r="N5" s="17">
        <f>SUM(N6:N12)</f>
        <v>4496.5813415375032</v>
      </c>
      <c r="O5" s="17">
        <f>B38*B39*B40</f>
        <v>3.1266666666666669</v>
      </c>
      <c r="P5" s="17">
        <f>B46*B47*B48/1000-B46*B47*B48/1000/B49</f>
        <v>19.066666666666666</v>
      </c>
      <c r="R5" s="32"/>
    </row>
    <row r="6" spans="1:18">
      <c r="A6" s="32" t="s">
        <v>53</v>
      </c>
      <c r="B6" s="37">
        <f>B26</f>
        <v>1229.08863852892</v>
      </c>
      <c r="C6" s="33"/>
      <c r="D6" s="37">
        <f>IF(ISERROR(TER_kantoor_gas_kWh/1000),0,TER_kantoor_gas_kWh/1000)*0.902</f>
        <v>971.50713383535413</v>
      </c>
      <c r="E6" s="33">
        <f>$C$26*'E Balans VL '!I12/100/3.6*1000000</f>
        <v>7.7035187978223441E-3</v>
      </c>
      <c r="F6" s="33">
        <f>$C$26*('E Balans VL '!L12+'E Balans VL '!N12)/100/3.6*1000000</f>
        <v>184.69767835881851</v>
      </c>
      <c r="G6" s="34"/>
      <c r="H6" s="33"/>
      <c r="I6" s="33"/>
      <c r="J6" s="33">
        <f>$C$26*('E Balans VL '!D12+'E Balans VL '!E12)/100/3.6*1000000</f>
        <v>0</v>
      </c>
      <c r="K6" s="33"/>
      <c r="L6" s="33"/>
      <c r="M6" s="33"/>
      <c r="N6" s="33">
        <f>$C$26*'E Balans VL '!Y12/100/3.6*1000000</f>
        <v>1.1754410503633084</v>
      </c>
      <c r="O6" s="33"/>
      <c r="P6" s="33"/>
      <c r="R6" s="32"/>
    </row>
    <row r="7" spans="1:18">
      <c r="A7" s="32" t="s">
        <v>52</v>
      </c>
      <c r="B7" s="37">
        <f t="shared" ref="B7:B12" si="0">B27</f>
        <v>979.95893257074601</v>
      </c>
      <c r="C7" s="33"/>
      <c r="D7" s="37">
        <f>IF(ISERROR(TER_horeca_gas_kWh/1000),0,TER_horeca_gas_kWh/1000)*0.902</f>
        <v>676.33410171103208</v>
      </c>
      <c r="E7" s="33">
        <f>$C$27*'E Balans VL '!I9/100/3.6*1000000</f>
        <v>14.032848684415212</v>
      </c>
      <c r="F7" s="33">
        <f>$C$27*('E Balans VL '!L9+'E Balans VL '!N9)/100/3.6*1000000</f>
        <v>124.09512115421975</v>
      </c>
      <c r="G7" s="34"/>
      <c r="H7" s="33"/>
      <c r="I7" s="33"/>
      <c r="J7" s="33">
        <f>$C$27*('E Balans VL '!D9+'E Balans VL '!E9)/100/3.6*1000000</f>
        <v>0</v>
      </c>
      <c r="K7" s="33"/>
      <c r="L7" s="33"/>
      <c r="M7" s="33"/>
      <c r="N7" s="33">
        <f>$C$27*'E Balans VL '!Y9/100/3.6*1000000</f>
        <v>0.28171658687429868</v>
      </c>
      <c r="O7" s="33"/>
      <c r="P7" s="33"/>
      <c r="R7" s="32"/>
    </row>
    <row r="8" spans="1:18">
      <c r="A8" s="6" t="s">
        <v>51</v>
      </c>
      <c r="B8" s="37">
        <f t="shared" si="0"/>
        <v>2751.4166965064101</v>
      </c>
      <c r="C8" s="33"/>
      <c r="D8" s="37">
        <f>IF(ISERROR(TER_handel_gas_kWh/1000),0,TER_handel_gas_kWh/1000)*0.902</f>
        <v>717.181004087725</v>
      </c>
      <c r="E8" s="33">
        <f>$C$28*'E Balans VL '!I13/100/3.6*1000000</f>
        <v>99.793544292781206</v>
      </c>
      <c r="F8" s="33">
        <f>$C$28*('E Balans VL '!L13+'E Balans VL '!N13)/100/3.6*1000000</f>
        <v>529.95071561246175</v>
      </c>
      <c r="G8" s="34"/>
      <c r="H8" s="33"/>
      <c r="I8" s="33"/>
      <c r="J8" s="33">
        <f>$C$28*('E Balans VL '!D13+'E Balans VL '!E13)/100/3.6*1000000</f>
        <v>0</v>
      </c>
      <c r="K8" s="33"/>
      <c r="L8" s="33"/>
      <c r="M8" s="33"/>
      <c r="N8" s="33">
        <f>$C$28*'E Balans VL '!Y13/100/3.6*1000000</f>
        <v>3.8113451974090462</v>
      </c>
      <c r="O8" s="33"/>
      <c r="P8" s="33"/>
      <c r="R8" s="32"/>
    </row>
    <row r="9" spans="1:18">
      <c r="A9" s="32" t="s">
        <v>50</v>
      </c>
      <c r="B9" s="37">
        <f t="shared" si="0"/>
        <v>128.88971159323799</v>
      </c>
      <c r="C9" s="33"/>
      <c r="D9" s="37">
        <f>IF(ISERROR(TER_gezond_gas_kWh/1000),0,TER_gezond_gas_kWh/1000)*0.902</f>
        <v>407.50350612265265</v>
      </c>
      <c r="E9" s="33">
        <f>$C$29*'E Balans VL '!I10/100/3.6*1000000</f>
        <v>8.0697685017381456E-3</v>
      </c>
      <c r="F9" s="33">
        <f>$C$29*('E Balans VL '!L10+'E Balans VL '!N10)/100/3.6*1000000</f>
        <v>19.146959088974075</v>
      </c>
      <c r="G9" s="34"/>
      <c r="H9" s="33"/>
      <c r="I9" s="33"/>
      <c r="J9" s="33">
        <f>$C$29*('E Balans VL '!D10+'E Balans VL '!E10)/100/3.6*1000000</f>
        <v>0</v>
      </c>
      <c r="K9" s="33"/>
      <c r="L9" s="33"/>
      <c r="M9" s="33"/>
      <c r="N9" s="33">
        <f>$C$29*'E Balans VL '!Y10/100/3.6*1000000</f>
        <v>1.9936784957182747</v>
      </c>
      <c r="O9" s="33"/>
      <c r="P9" s="33"/>
      <c r="R9" s="32"/>
    </row>
    <row r="10" spans="1:18">
      <c r="A10" s="32" t="s">
        <v>49</v>
      </c>
      <c r="B10" s="37">
        <f t="shared" si="0"/>
        <v>4918.0038342048201</v>
      </c>
      <c r="C10" s="33"/>
      <c r="D10" s="37">
        <f>IF(ISERROR(TER_ander_gas_kWh/1000),0,TER_ander_gas_kWh/1000)*0.902</f>
        <v>2439.3271605891891</v>
      </c>
      <c r="E10" s="33">
        <f>$C$30*'E Balans VL '!I14/100/3.6*1000000</f>
        <v>5.8620848306099127</v>
      </c>
      <c r="F10" s="33">
        <f>$C$30*('E Balans VL '!L14+'E Balans VL '!N14)/100/3.6*1000000</f>
        <v>1286.7684403059907</v>
      </c>
      <c r="G10" s="34"/>
      <c r="H10" s="33"/>
      <c r="I10" s="33"/>
      <c r="J10" s="33">
        <f>$C$30*('E Balans VL '!D14+'E Balans VL '!E14)/100/3.6*1000000</f>
        <v>0.10675058519786108</v>
      </c>
      <c r="K10" s="33"/>
      <c r="L10" s="33"/>
      <c r="M10" s="33"/>
      <c r="N10" s="33">
        <f>$C$30*'E Balans VL '!Y14/100/3.6*1000000</f>
        <v>4176.2485141468424</v>
      </c>
      <c r="O10" s="33"/>
      <c r="P10" s="33"/>
      <c r="R10" s="32"/>
    </row>
    <row r="11" spans="1:18">
      <c r="A11" s="32" t="s">
        <v>54</v>
      </c>
      <c r="B11" s="37">
        <f t="shared" si="0"/>
        <v>82.886047111954795</v>
      </c>
      <c r="C11" s="33"/>
      <c r="D11" s="37">
        <f>IF(ISERROR(TER_onderwijs_gas_kWh/1000),0,TER_onderwijs_gas_kWh/1000)*0.902</f>
        <v>349.63893319842606</v>
      </c>
      <c r="E11" s="33">
        <f>$C$31*'E Balans VL '!I11/100/3.6*1000000</f>
        <v>1.2506169502459858</v>
      </c>
      <c r="F11" s="33">
        <f>$C$31*('E Balans VL '!L11+'E Balans VL '!N11)/100/3.6*1000000</f>
        <v>14.522959598009933</v>
      </c>
      <c r="G11" s="34"/>
      <c r="H11" s="33"/>
      <c r="I11" s="33"/>
      <c r="J11" s="33">
        <f>$C$31*('E Balans VL '!D11+'E Balans VL '!E11)/100/3.6*1000000</f>
        <v>0</v>
      </c>
      <c r="K11" s="33"/>
      <c r="L11" s="33"/>
      <c r="M11" s="33"/>
      <c r="N11" s="33">
        <f>$C$31*'E Balans VL '!Y11/100/3.6*1000000</f>
        <v>0.23324763781030516</v>
      </c>
      <c r="O11" s="33"/>
      <c r="P11" s="33"/>
      <c r="R11" s="32"/>
    </row>
    <row r="12" spans="1:18">
      <c r="A12" s="32" t="s">
        <v>259</v>
      </c>
      <c r="B12" s="37">
        <f t="shared" si="0"/>
        <v>3230.7681870757601</v>
      </c>
      <c r="C12" s="33"/>
      <c r="D12" s="37">
        <f>IF(ISERROR(TER_rest_gas_kWh/1000),0,TER_rest_gas_kWh/1000)*0.902</f>
        <v>5631.5641770494294</v>
      </c>
      <c r="E12" s="33">
        <f>$C$32*'E Balans VL '!I8/100/3.6*1000000</f>
        <v>40.119622366720087</v>
      </c>
      <c r="F12" s="33">
        <f>$C$32*('E Balans VL '!L8+'E Balans VL '!N8)/100/3.6*1000000</f>
        <v>558.67961072985997</v>
      </c>
      <c r="G12" s="34"/>
      <c r="H12" s="33"/>
      <c r="I12" s="33"/>
      <c r="J12" s="33">
        <f>$C$32*('E Balans VL '!D8+'E Balans VL '!E8)/100/3.6*1000000</f>
        <v>7.8233866983438895E-3</v>
      </c>
      <c r="K12" s="33"/>
      <c r="L12" s="33"/>
      <c r="M12" s="33"/>
      <c r="N12" s="33">
        <f>$C$32*'E Balans VL '!Y8/100/3.6*1000000</f>
        <v>312.83739842248508</v>
      </c>
      <c r="O12" s="33"/>
      <c r="P12" s="33"/>
      <c r="R12" s="32"/>
    </row>
    <row r="13" spans="1:18">
      <c r="A13" s="16" t="s">
        <v>487</v>
      </c>
      <c r="B13" s="247">
        <f ca="1">'lokale energieproductie'!N38+'lokale energieproductie'!N31</f>
        <v>43.649999999999991</v>
      </c>
      <c r="C13" s="247">
        <f ca="1">'lokale energieproductie'!O38+'lokale energieproductie'!O31</f>
        <v>62.357142857142847</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-124.71428571428569</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13364.66204759185</v>
      </c>
      <c r="C16" s="21">
        <f t="shared" ca="1" si="1"/>
        <v>62.357142857142847</v>
      </c>
      <c r="D16" s="21">
        <f t="shared" ca="1" si="1"/>
        <v>11193.056016593808</v>
      </c>
      <c r="E16" s="21">
        <f t="shared" si="1"/>
        <v>161.07449041207198</v>
      </c>
      <c r="F16" s="21">
        <f t="shared" ca="1" si="1"/>
        <v>2717.8614848483348</v>
      </c>
      <c r="G16" s="21">
        <f t="shared" si="1"/>
        <v>0</v>
      </c>
      <c r="H16" s="21">
        <f t="shared" si="1"/>
        <v>0</v>
      </c>
      <c r="I16" s="21">
        <f t="shared" si="1"/>
        <v>0</v>
      </c>
      <c r="J16" s="21">
        <f t="shared" si="1"/>
        <v>0.11457397189620497</v>
      </c>
      <c r="K16" s="21">
        <f t="shared" si="1"/>
        <v>0</v>
      </c>
      <c r="L16" s="21">
        <f t="shared" ca="1" si="1"/>
        <v>0</v>
      </c>
      <c r="M16" s="21">
        <f t="shared" si="1"/>
        <v>0</v>
      </c>
      <c r="N16" s="21">
        <f t="shared" ca="1" si="1"/>
        <v>4371.8670558232179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0.20804909307814334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2780.5058182973667</v>
      </c>
      <c r="C20" s="23">
        <f t="shared" ref="C20:P20" ca="1" si="2">C16*C18</f>
        <v>0</v>
      </c>
      <c r="D20" s="23">
        <f t="shared" ca="1" si="2"/>
        <v>2260.9973153519495</v>
      </c>
      <c r="E20" s="23">
        <f t="shared" si="2"/>
        <v>36.563909323540344</v>
      </c>
      <c r="F20" s="23">
        <f t="shared" ca="1" si="2"/>
        <v>725.66901645450548</v>
      </c>
      <c r="G20" s="23">
        <f t="shared" si="2"/>
        <v>0</v>
      </c>
      <c r="H20" s="23">
        <f t="shared" si="2"/>
        <v>0</v>
      </c>
      <c r="I20" s="23">
        <f t="shared" si="2"/>
        <v>0</v>
      </c>
      <c r="J20" s="23">
        <f t="shared" si="2"/>
        <v>4.0559186051256559E-2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1229.08863852892</v>
      </c>
      <c r="C26" s="39">
        <f>IF(ISERROR(B26*3.6/1000000/'E Balans VL '!Z12*100),0,B26*3.6/1000000/'E Balans VL '!Z12*100)</f>
        <v>2.5980986784826157E-2</v>
      </c>
      <c r="D26" s="237" t="s">
        <v>744</v>
      </c>
      <c r="F26" s="6"/>
    </row>
    <row r="27" spans="1:18">
      <c r="A27" s="231" t="s">
        <v>52</v>
      </c>
      <c r="B27" s="33">
        <f>IF(ISERROR(TER_horeca_ele_kWh/1000),0,TER_horeca_ele_kWh/1000)</f>
        <v>979.95893257074601</v>
      </c>
      <c r="C27" s="39">
        <f>IF(ISERROR(B27*3.6/1000000/'E Balans VL '!Z9*100),0,B27*3.6/1000000/'E Balans VL '!Z9*100)</f>
        <v>7.7249797405211082E-2</v>
      </c>
      <c r="D27" s="237" t="s">
        <v>744</v>
      </c>
      <c r="F27" s="6"/>
    </row>
    <row r="28" spans="1:18">
      <c r="A28" s="171" t="s">
        <v>51</v>
      </c>
      <c r="B28" s="33">
        <f>IF(ISERROR(TER_handel_ele_kWh/1000),0,TER_handel_ele_kWh/1000)</f>
        <v>2751.4166965064101</v>
      </c>
      <c r="C28" s="39">
        <f>IF(ISERROR(B28*3.6/1000000/'E Balans VL '!Z13*100),0,B28*3.6/1000000/'E Balans VL '!Z13*100)</f>
        <v>7.9857229501794177E-2</v>
      </c>
      <c r="D28" s="237" t="s">
        <v>744</v>
      </c>
      <c r="F28" s="6"/>
    </row>
    <row r="29" spans="1:18">
      <c r="A29" s="231" t="s">
        <v>50</v>
      </c>
      <c r="B29" s="33">
        <f>IF(ISERROR(TER_gezond_ele_kWh/1000),0,TER_gezond_ele_kWh/1000)</f>
        <v>128.88971159323799</v>
      </c>
      <c r="C29" s="39">
        <f>IF(ISERROR(B29*3.6/1000000/'E Balans VL '!Z10*100),0,B29*3.6/1000000/'E Balans VL '!Z10*100)</f>
        <v>1.3574203055697757E-2</v>
      </c>
      <c r="D29" s="237" t="s">
        <v>744</v>
      </c>
      <c r="F29" s="6"/>
    </row>
    <row r="30" spans="1:18">
      <c r="A30" s="231" t="s">
        <v>49</v>
      </c>
      <c r="B30" s="33">
        <f>IF(ISERROR(TER_ander_ele_kWh/1000),0,TER_ander_ele_kWh/1000)</f>
        <v>4918.0038342048201</v>
      </c>
      <c r="C30" s="39">
        <f>IF(ISERROR(B30*3.6/1000000/'E Balans VL '!Z14*100),0,B30*3.6/1000000/'E Balans VL '!Z14*100)</f>
        <v>0.36275303099606676</v>
      </c>
      <c r="D30" s="237" t="s">
        <v>744</v>
      </c>
      <c r="F30" s="6"/>
    </row>
    <row r="31" spans="1:18">
      <c r="A31" s="231" t="s">
        <v>54</v>
      </c>
      <c r="B31" s="33">
        <f>IF(ISERROR(TER_onderwijs_ele_kWh/1000),0,TER_onderwijs_ele_kWh/1000)</f>
        <v>82.886047111954795</v>
      </c>
      <c r="C31" s="39">
        <f>IF(ISERROR(B31*3.6/1000000/'E Balans VL '!Z11*100),0,B31*3.6/1000000/'E Balans VL '!Z11*100)</f>
        <v>2.0584488109000064E-2</v>
      </c>
      <c r="D31" s="237" t="s">
        <v>744</v>
      </c>
    </row>
    <row r="32" spans="1:18">
      <c r="A32" s="231" t="s">
        <v>259</v>
      </c>
      <c r="B32" s="33">
        <f>IF(ISERROR(TER_rest_ele_kWh/1000),0,TER_rest_ele_kWh/1000)</f>
        <v>3230.7681870757601</v>
      </c>
      <c r="C32" s="39">
        <f>IF(ISERROR(B32*3.6/1000000/'E Balans VL '!Z8*100),0,B32*3.6/1000000/'E Balans VL '!Z8*100)</f>
        <v>2.6584933770793233E-2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85519.716584806883</v>
      </c>
      <c r="C5" s="17">
        <f>IF(ISERROR('Eigen informatie GS &amp; warmtenet'!B59),0,'Eigen informatie GS &amp; warmtenet'!B59)</f>
        <v>0</v>
      </c>
      <c r="D5" s="30">
        <f>SUM(D6:D15)</f>
        <v>91802.087665837535</v>
      </c>
      <c r="E5" s="17">
        <f>SUM(E6:E15)</f>
        <v>4016.901554177146</v>
      </c>
      <c r="F5" s="17">
        <f>SUM(F6:F15)</f>
        <v>17900.436734065835</v>
      </c>
      <c r="G5" s="18"/>
      <c r="H5" s="17"/>
      <c r="I5" s="17"/>
      <c r="J5" s="17">
        <f>SUM(J6:J15)</f>
        <v>226.39479344472679</v>
      </c>
      <c r="K5" s="17"/>
      <c r="L5" s="17"/>
      <c r="M5" s="17"/>
      <c r="N5" s="17">
        <f>SUM(N6:N15)</f>
        <v>7332.2351457365794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558.06105996757503</v>
      </c>
      <c r="C8" s="33"/>
      <c r="D8" s="37">
        <f>IF( ISERROR(IND_metaal_Gas_kWH/1000),0,IND_metaal_Gas_kWH/1000)*0.902</f>
        <v>376.12670295047434</v>
      </c>
      <c r="E8" s="33">
        <f>C30*'E Balans VL '!I18/100/3.6*1000000</f>
        <v>5.1308324659044144</v>
      </c>
      <c r="F8" s="33">
        <f>C30*'E Balans VL '!L18/100/3.6*1000000+C30*'E Balans VL '!N18/100/3.6*1000000</f>
        <v>52.327547691546421</v>
      </c>
      <c r="G8" s="34"/>
      <c r="H8" s="33"/>
      <c r="I8" s="33"/>
      <c r="J8" s="40">
        <f>C30*'E Balans VL '!D18/100/3.6*1000000+C30*'E Balans VL '!E18/100/3.6*1000000</f>
        <v>0</v>
      </c>
      <c r="K8" s="33"/>
      <c r="L8" s="33"/>
      <c r="M8" s="33"/>
      <c r="N8" s="33">
        <f>C30*'E Balans VL '!Y18/100/3.6*1000000</f>
        <v>7.961663255175325</v>
      </c>
      <c r="O8" s="33"/>
      <c r="P8" s="33"/>
      <c r="R8" s="32"/>
    </row>
    <row r="9" spans="1:18">
      <c r="A9" s="6" t="s">
        <v>32</v>
      </c>
      <c r="B9" s="37">
        <f t="shared" si="0"/>
        <v>1500.9778303327801</v>
      </c>
      <c r="C9" s="33"/>
      <c r="D9" s="37">
        <f>IF( ISERROR(IND_andere_gas_kWh/1000),0,IND_andere_gas_kWh/1000)*0.902</f>
        <v>1381.1403011701782</v>
      </c>
      <c r="E9" s="33">
        <f>C31*'E Balans VL '!I19/100/3.6*1000000</f>
        <v>438.76504039807929</v>
      </c>
      <c r="F9" s="33">
        <f>C31*'E Balans VL '!L19/100/3.6*1000000+C31*'E Balans VL '!N19/100/3.6*1000000</f>
        <v>1206.1493002546563</v>
      </c>
      <c r="G9" s="34"/>
      <c r="H9" s="33"/>
      <c r="I9" s="33"/>
      <c r="J9" s="40">
        <f>C31*'E Balans VL '!D19/100/3.6*1000000+C31*'E Balans VL '!E19/100/3.6*1000000</f>
        <v>0</v>
      </c>
      <c r="K9" s="33"/>
      <c r="L9" s="33"/>
      <c r="M9" s="33"/>
      <c r="N9" s="33">
        <f>C31*'E Balans VL '!Y19/100/3.6*1000000</f>
        <v>117.73466242993932</v>
      </c>
      <c r="O9" s="33"/>
      <c r="P9" s="33"/>
      <c r="R9" s="32"/>
    </row>
    <row r="10" spans="1:18">
      <c r="A10" s="6" t="s">
        <v>40</v>
      </c>
      <c r="B10" s="37">
        <f t="shared" si="0"/>
        <v>269.64139453612199</v>
      </c>
      <c r="C10" s="33"/>
      <c r="D10" s="37">
        <f>IF( ISERROR(IND_voed_gas_kWh/1000),0,IND_voed_gas_kWh/1000)*0.902</f>
        <v>331.31077915652656</v>
      </c>
      <c r="E10" s="33">
        <f>C32*'E Balans VL '!I20/100/3.6*1000000</f>
        <v>0.57043055098050555</v>
      </c>
      <c r="F10" s="33">
        <f>C32*'E Balans VL '!L20/100/3.6*1000000+C32*'E Balans VL '!N20/100/3.6*1000000</f>
        <v>17.144075295214272</v>
      </c>
      <c r="G10" s="34"/>
      <c r="H10" s="33"/>
      <c r="I10" s="33"/>
      <c r="J10" s="40">
        <f>C32*'E Balans VL '!D20/100/3.6*1000000+C32*'E Balans VL '!E20/100/3.6*1000000</f>
        <v>0</v>
      </c>
      <c r="K10" s="33"/>
      <c r="L10" s="33"/>
      <c r="M10" s="33"/>
      <c r="N10" s="33">
        <f>C32*'E Balans VL '!Y20/100/3.6*1000000</f>
        <v>18.607917109291343</v>
      </c>
      <c r="O10" s="33"/>
      <c r="P10" s="33"/>
      <c r="R10" s="32"/>
    </row>
    <row r="11" spans="1:18">
      <c r="A11" s="6" t="s">
        <v>39</v>
      </c>
      <c r="B11" s="37">
        <f t="shared" si="0"/>
        <v>14266.671002634599</v>
      </c>
      <c r="C11" s="33"/>
      <c r="D11" s="37">
        <f>IF( ISERROR(IND_textiel_gas_kWh/1000),0,IND_textiel_gas_kWh/1000)*0.902</f>
        <v>0</v>
      </c>
      <c r="E11" s="33">
        <f>C33*'E Balans VL '!I21/100/3.6*1000000</f>
        <v>42.370782854321455</v>
      </c>
      <c r="F11" s="33">
        <f>C33*'E Balans VL '!L21/100/3.6*1000000+C33*'E Balans VL '!N21/100/3.6*1000000</f>
        <v>1441.3254501154793</v>
      </c>
      <c r="G11" s="34"/>
      <c r="H11" s="33"/>
      <c r="I11" s="33"/>
      <c r="J11" s="40">
        <f>C33*'E Balans VL '!D21/100/3.6*1000000+C33*'E Balans VL '!E21/100/3.6*1000000</f>
        <v>0</v>
      </c>
      <c r="K11" s="33"/>
      <c r="L11" s="33"/>
      <c r="M11" s="33"/>
      <c r="N11" s="33">
        <f>C33*'E Balans VL '!Y21/100/3.6*1000000</f>
        <v>786.85243579645407</v>
      </c>
      <c r="O11" s="33"/>
      <c r="P11" s="33"/>
      <c r="R11" s="32"/>
    </row>
    <row r="12" spans="1:18">
      <c r="A12" s="6" t="s">
        <v>36</v>
      </c>
      <c r="B12" s="37">
        <f t="shared" si="0"/>
        <v>10509.287788849701</v>
      </c>
      <c r="C12" s="33"/>
      <c r="D12" s="37">
        <f>IF( ISERROR(IND_min_gas_kWh/1000),0,IND_min_gas_kWh/1000)*0.902</f>
        <v>0</v>
      </c>
      <c r="E12" s="33">
        <f>C34*'E Balans VL '!I22/100/3.6*1000000</f>
        <v>304.62097928138195</v>
      </c>
      <c r="F12" s="33">
        <f>C34*'E Balans VL '!L22/100/3.6*1000000+C34*'E Balans VL '!N22/100/3.6*1000000</f>
        <v>3613.2118994053026</v>
      </c>
      <c r="G12" s="34"/>
      <c r="H12" s="33"/>
      <c r="I12" s="33"/>
      <c r="J12" s="40">
        <f>C34*'E Balans VL '!D22/100/3.6*1000000+C34*'E Balans VL '!E22/100/3.6*1000000</f>
        <v>17.269926763716352</v>
      </c>
      <c r="K12" s="33"/>
      <c r="L12" s="33"/>
      <c r="M12" s="33"/>
      <c r="N12" s="33">
        <f>C34*'E Balans VL '!Y22/100/3.6*1000000</f>
        <v>2300.6557991666268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58415.077508486102</v>
      </c>
      <c r="C15" s="33"/>
      <c r="D15" s="37">
        <f>IF( ISERROR(IND_rest_gas_kWh/1000),0,IND_rest_gas_kWh/1000)*0.902</f>
        <v>89713.509882560349</v>
      </c>
      <c r="E15" s="33">
        <f>C37*'E Balans VL '!I15/100/3.6*1000000</f>
        <v>3225.443488626478</v>
      </c>
      <c r="F15" s="33">
        <f>C37*'E Balans VL '!L15/100/3.6*1000000+C37*'E Balans VL '!N15/100/3.6*1000000</f>
        <v>11570.278461303637</v>
      </c>
      <c r="G15" s="34"/>
      <c r="H15" s="33"/>
      <c r="I15" s="33"/>
      <c r="J15" s="40">
        <f>C37*'E Balans VL '!D15/100/3.6*1000000+C37*'E Balans VL '!E15/100/3.6*1000000</f>
        <v>209.12486668101045</v>
      </c>
      <c r="K15" s="33"/>
      <c r="L15" s="33"/>
      <c r="M15" s="33"/>
      <c r="N15" s="33">
        <f>C37*'E Balans VL '!Y15/100/3.6*1000000</f>
        <v>4100.4226679790927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85519.716584806883</v>
      </c>
      <c r="C18" s="21">
        <f>C5+C16</f>
        <v>0</v>
      </c>
      <c r="D18" s="21">
        <f>MAX((D5+D16),0)</f>
        <v>91802.087665837535</v>
      </c>
      <c r="E18" s="21">
        <f>MAX((E5+E16),0)</f>
        <v>4016.901554177146</v>
      </c>
      <c r="F18" s="21">
        <f>MAX((F5+F16),0)</f>
        <v>17900.436734065835</v>
      </c>
      <c r="G18" s="21"/>
      <c r="H18" s="21"/>
      <c r="I18" s="21"/>
      <c r="J18" s="21">
        <f>MAX((J5+J16),0)</f>
        <v>226.39479344472679</v>
      </c>
      <c r="K18" s="21"/>
      <c r="L18" s="21">
        <f>MAX((L5+L16),0)</f>
        <v>0</v>
      </c>
      <c r="M18" s="21"/>
      <c r="N18" s="21">
        <f>MAX((N5+N16),0)</f>
        <v>7332.2351457365794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0.20804909307814334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17792.299475768927</v>
      </c>
      <c r="C22" s="23">
        <f ca="1">C18*C20</f>
        <v>0</v>
      </c>
      <c r="D22" s="23">
        <f>D18*D20</f>
        <v>18544.021708499182</v>
      </c>
      <c r="E22" s="23">
        <f>E18*E20</f>
        <v>911.83665279821219</v>
      </c>
      <c r="F22" s="23">
        <f>F18*F20</f>
        <v>4779.4166079955785</v>
      </c>
      <c r="G22" s="23"/>
      <c r="H22" s="23"/>
      <c r="I22" s="23"/>
      <c r="J22" s="23">
        <f>J18*J20</f>
        <v>80.143756879433283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558.06105996757503</v>
      </c>
      <c r="C30" s="39">
        <f>IF(ISERROR(B30*3.6/1000000/'E Balans VL '!Z18*100),0,B30*3.6/1000000/'E Balans VL '!Z18*100)</f>
        <v>3.1626751230512083E-2</v>
      </c>
      <c r="D30" s="237" t="s">
        <v>744</v>
      </c>
    </row>
    <row r="31" spans="1:18">
      <c r="A31" s="6" t="s">
        <v>32</v>
      </c>
      <c r="B31" s="37">
        <f>IF( ISERROR(IND_ander_ele_kWh/1000),0,IND_ander_ele_kWh/1000)</f>
        <v>1500.9778303327801</v>
      </c>
      <c r="C31" s="39">
        <f>IF(ISERROR(B31*3.6/1000000/'E Balans VL '!Z19*100),0,B31*3.6/1000000/'E Balans VL '!Z19*100)</f>
        <v>6.8078104420988092E-2</v>
      </c>
      <c r="D31" s="237" t="s">
        <v>744</v>
      </c>
    </row>
    <row r="32" spans="1:18">
      <c r="A32" s="171" t="s">
        <v>40</v>
      </c>
      <c r="B32" s="37">
        <f>IF( ISERROR(IND_voed_ele_kWh/1000),0,IND_voed_ele_kWh/1000)</f>
        <v>269.64139453612199</v>
      </c>
      <c r="C32" s="39">
        <f>IF(ISERROR(B32*3.6/1000000/'E Balans VL '!Z20*100),0,B32*3.6/1000000/'E Balans VL '!Z20*100)</f>
        <v>8.3412324015786111E-3</v>
      </c>
      <c r="D32" s="237" t="s">
        <v>744</v>
      </c>
    </row>
    <row r="33" spans="1:5">
      <c r="A33" s="171" t="s">
        <v>39</v>
      </c>
      <c r="B33" s="37">
        <f>IF( ISERROR(IND_textiel_ele_kWh/1000),0,IND_textiel_ele_kWh/1000)</f>
        <v>14266.671002634599</v>
      </c>
      <c r="C33" s="39">
        <f>IF(ISERROR(B33*3.6/1000000/'E Balans VL '!Z21*100),0,B33*3.6/1000000/'E Balans VL '!Z21*100)</f>
        <v>1.8602153166203343</v>
      </c>
      <c r="D33" s="237" t="s">
        <v>744</v>
      </c>
    </row>
    <row r="34" spans="1:5">
      <c r="A34" s="171" t="s">
        <v>36</v>
      </c>
      <c r="B34" s="37">
        <f>IF( ISERROR(IND_min_ele_kWh/1000),0,IND_min_ele_kWh/1000)</f>
        <v>10509.287788849701</v>
      </c>
      <c r="C34" s="39">
        <f>IF(ISERROR(B34*3.6/1000000/'E Balans VL '!Z22*100),0,B34*3.6/1000000/'E Balans VL '!Z22*100)</f>
        <v>1.8902929872112844</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58415.077508486102</v>
      </c>
      <c r="C37" s="39">
        <f>IF(ISERROR(B37*3.6/1000000/'E Balans VL '!Z15*100),0,B37*3.6/1000000/'E Balans VL '!Z15*100)</f>
        <v>0.46301122979280324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6232.15982727549</v>
      </c>
      <c r="C5" s="17">
        <f>'Eigen informatie GS &amp; warmtenet'!B60</f>
        <v>0</v>
      </c>
      <c r="D5" s="30">
        <f>IF(ISERROR(SUM(LB_lb_gas_kWh,LB_rest_gas_kWh)/1000),0,SUM(LB_lb_gas_kWh,LB_rest_gas_kWh)/1000)*0.902</f>
        <v>1937.2407212963324</v>
      </c>
      <c r="E5" s="17">
        <f>B17*'E Balans VL '!I25/3.6*1000000/100</f>
        <v>183.18221253681202</v>
      </c>
      <c r="F5" s="17">
        <f>B17*('E Balans VL '!L25/3.6*1000000+'E Balans VL '!N25/3.6*1000000)/100</f>
        <v>25962.841072188807</v>
      </c>
      <c r="G5" s="18"/>
      <c r="H5" s="17"/>
      <c r="I5" s="17"/>
      <c r="J5" s="17">
        <f>('E Balans VL '!D25+'E Balans VL '!E25)/3.6*1000000*landbouw!B17/100</f>
        <v>902.9061218079089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6232.15982727549</v>
      </c>
      <c r="C8" s="21">
        <f>C5+C6</f>
        <v>0</v>
      </c>
      <c r="D8" s="21">
        <f>MAX((D5+D6),0)</f>
        <v>1937.2407212963324</v>
      </c>
      <c r="E8" s="21">
        <f>MAX((E5+E6),0)</f>
        <v>183.18221253681202</v>
      </c>
      <c r="F8" s="21">
        <f>MAX((F5+F6),0)</f>
        <v>25962.841072188807</v>
      </c>
      <c r="G8" s="21"/>
      <c r="H8" s="21"/>
      <c r="I8" s="21"/>
      <c r="J8" s="21">
        <f>MAX((J5+J6),0)</f>
        <v>902.9061218079089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0.20804909307814334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1296.5951999827041</v>
      </c>
      <c r="C12" s="23">
        <f ca="1">C8*C10</f>
        <v>0</v>
      </c>
      <c r="D12" s="23">
        <f>D8*D10</f>
        <v>391.32262570185918</v>
      </c>
      <c r="E12" s="23">
        <f>E8*E10</f>
        <v>41.582362245856331</v>
      </c>
      <c r="F12" s="23">
        <f>F8*F10</f>
        <v>6932.078566274412</v>
      </c>
      <c r="G12" s="23"/>
      <c r="H12" s="23"/>
      <c r="I12" s="23"/>
      <c r="J12" s="23">
        <f>J8*J10</f>
        <v>319.62876711999974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0.88436303229555047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817.99906509705386</v>
      </c>
      <c r="C26" s="247">
        <f>B26*'GWP N2O_CH4'!B5</f>
        <v>17177.98036703813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542.62713640100287</v>
      </c>
      <c r="C27" s="247">
        <f>B27*'GWP N2O_CH4'!B5</f>
        <v>11395.169864421061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11.41714524243352</v>
      </c>
      <c r="C28" s="247">
        <f>B28*'GWP N2O_CH4'!B4</f>
        <v>3539.3150251543912</v>
      </c>
      <c r="D28" s="50"/>
    </row>
    <row r="29" spans="1:4">
      <c r="A29" s="41" t="s">
        <v>276</v>
      </c>
      <c r="B29" s="247">
        <f>B34*'ha_N2O bodem landbouw'!B4</f>
        <v>32.714547779146102</v>
      </c>
      <c r="C29" s="247">
        <f>B29*'GWP N2O_CH4'!B4</f>
        <v>10141.509811535292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7.4653470638540486E-3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1.5000506656032161E-4</v>
      </c>
      <c r="C5" s="437" t="s">
        <v>210</v>
      </c>
      <c r="D5" s="422">
        <f>SUM(D6:D11)</f>
        <v>4.1004147377831236E-4</v>
      </c>
      <c r="E5" s="422">
        <f>SUM(E6:E11)</f>
        <v>7.7928326208391574E-4</v>
      </c>
      <c r="F5" s="435" t="s">
        <v>210</v>
      </c>
      <c r="G5" s="422">
        <f>SUM(G6:G11)</f>
        <v>0.37973709853463705</v>
      </c>
      <c r="H5" s="422">
        <f>SUM(H6:H11)</f>
        <v>7.0785675781988452E-2</v>
      </c>
      <c r="I5" s="437" t="s">
        <v>210</v>
      </c>
      <c r="J5" s="437" t="s">
        <v>210</v>
      </c>
      <c r="K5" s="437" t="s">
        <v>210</v>
      </c>
      <c r="L5" s="437" t="s">
        <v>210</v>
      </c>
      <c r="M5" s="422">
        <f>SUM(M6:M11)</f>
        <v>2.4270238965888959E-2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4.8028206040266305E-5</v>
      </c>
      <c r="C6" s="423"/>
      <c r="D6" s="865">
        <f>vkm_GW_PW*SUMIFS(TableVerdeelsleutelVkm[CNG],TableVerdeelsleutelVkm[Voertuigtype],"Lichte voertuigen")*SUMIFS(TableECFTransport[EnergieConsumptieFactor (PJ per km)],TableECFTransport[Index],CONCATENATE($A6,"_CNG_CNG"))</f>
        <v>1.1902562154154247E-4</v>
      </c>
      <c r="E6" s="865">
        <f>vkm_GW_PW*SUMIFS(TableVerdeelsleutelVkm[LPG],TableVerdeelsleutelVkm[Voertuigtype],"Lichte voertuigen")*SUMIFS(TableECFTransport[EnergieConsumptieFactor (PJ per km)],TableECFTransport[Index],CONCATENATE($A6,"_LPG_LPG"))</f>
        <v>2.043372698446786E-4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6.2611906857683808E-2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2.0222950319947138E-2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4.2535095953969869E-3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5.0575981545218009E-2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8.4604417476047113E-7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2.9549298429010274E-3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2.24463073602266E-5</v>
      </c>
      <c r="C8" s="423"/>
      <c r="D8" s="425">
        <f>vkm_NGW_PW*SUMIFS(TableVerdeelsleutelVkm[CNG],TableVerdeelsleutelVkm[Voertuigtype],"Lichte voertuigen")*SUMIFS(TableECFTransport[EnergieConsumptieFactor (PJ per km)],TableECFTransport[Index],CONCATENATE($A8,"_CNG_CNG"))</f>
        <v>9.4022426305708659E-5</v>
      </c>
      <c r="E8" s="425">
        <f>vkm_NGW_PW*SUMIFS(TableVerdeelsleutelVkm[LPG],TableVerdeelsleutelVkm[Voertuigtype],"Lichte voertuigen")*SUMIFS(TableECFTransport[EnergieConsumptieFactor (PJ per km)],TableECFTransport[Index],CONCATENATE($A8,"_LPG_LPG"))</f>
        <v>1.5328701006180531E-4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4.4180954411347451E-2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1.5623444337758868E-2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3.0412611780463745E-3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1.1083395328750344E-2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2.2839488269839364E-7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6.4755480035066655E-4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7.9530553159828699E-5</v>
      </c>
      <c r="C10" s="423"/>
      <c r="D10" s="425">
        <f>vkm_SW_PW*SUMIFS(TableVerdeelsleutelVkm[CNG],TableVerdeelsleutelVkm[Voertuigtype],"Lichte voertuigen")*SUMIFS(TableECFTransport[EnergieConsumptieFactor (PJ per km)],TableECFTransport[Index],CONCATENATE($A10,"_CNG_CNG"))</f>
        <v>1.9699342593106122E-4</v>
      </c>
      <c r="E10" s="425">
        <f>vkm_SW_PW*SUMIFS(TableVerdeelsleutelVkm[LPG],TableVerdeelsleutelVkm[Voertuigtype],"Lichte voertuigen")*SUMIFS(TableECFTransport[EnergieConsumptieFactor (PJ per km)],TableECFTransport[Index],CONCATENATE($A10,"_LPG_LPG"))</f>
        <v>4.2165898217743177E-4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0.11558880093240013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3.4936501398790398E-2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7.7818849909459609E-3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9.5696059459237301E-2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1.7052864345925353E-6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5.5910985582479419E-3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41.668074044533782</v>
      </c>
      <c r="C14" s="21"/>
      <c r="D14" s="21">
        <f t="shared" ref="D14:M14" si="0">((D5)*10^9/3600)+D12</f>
        <v>113.90040938286455</v>
      </c>
      <c r="E14" s="21">
        <f t="shared" si="0"/>
        <v>216.4675728010877</v>
      </c>
      <c r="F14" s="21"/>
      <c r="G14" s="21">
        <f t="shared" si="0"/>
        <v>105482.52737073251</v>
      </c>
      <c r="H14" s="21">
        <f t="shared" si="0"/>
        <v>19662.687717219014</v>
      </c>
      <c r="I14" s="21"/>
      <c r="J14" s="21"/>
      <c r="K14" s="21"/>
      <c r="L14" s="21"/>
      <c r="M14" s="21">
        <f t="shared" si="0"/>
        <v>6741.7330460802659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0.20804909307814334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8.6690050152781772</v>
      </c>
      <c r="C18" s="23"/>
      <c r="D18" s="23">
        <f t="shared" ref="D18:M18" si="1">D14*D16</f>
        <v>23.00788269533864</v>
      </c>
      <c r="E18" s="23">
        <f t="shared" si="1"/>
        <v>49.138139025846911</v>
      </c>
      <c r="F18" s="23"/>
      <c r="G18" s="23">
        <f t="shared" si="1"/>
        <v>28163.834807985582</v>
      </c>
      <c r="H18" s="23">
        <f t="shared" si="1"/>
        <v>4896.0092415875342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3.5775110587957441E-3</v>
      </c>
      <c r="H50" s="319">
        <f t="shared" si="2"/>
        <v>0</v>
      </c>
      <c r="I50" s="319">
        <f t="shared" si="2"/>
        <v>0</v>
      </c>
      <c r="J50" s="319">
        <f t="shared" si="2"/>
        <v>0</v>
      </c>
      <c r="K50" s="319">
        <f t="shared" si="2"/>
        <v>0</v>
      </c>
      <c r="L50" s="319">
        <f t="shared" si="2"/>
        <v>0</v>
      </c>
      <c r="M50" s="319">
        <f t="shared" si="2"/>
        <v>2.0317148638389983E-4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3.5775110587957441E-3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2.0317148638389983E-4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993.75307188770671</v>
      </c>
      <c r="H54" s="21">
        <f t="shared" si="3"/>
        <v>0</v>
      </c>
      <c r="I54" s="21">
        <f t="shared" si="3"/>
        <v>0</v>
      </c>
      <c r="J54" s="21">
        <f t="shared" si="3"/>
        <v>0</v>
      </c>
      <c r="K54" s="21">
        <f t="shared" si="3"/>
        <v>0</v>
      </c>
      <c r="L54" s="21">
        <f t="shared" si="3"/>
        <v>0</v>
      </c>
      <c r="M54" s="21">
        <f t="shared" si="3"/>
        <v>56.436523995527729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0.20804909307814334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265.33207019401772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14171.265047591849</v>
      </c>
      <c r="D10" s="979">
        <f ca="1">tertiair!C16</f>
        <v>62.357142857142847</v>
      </c>
      <c r="E10" s="979">
        <f ca="1">tertiair!D16</f>
        <v>11193.056016593808</v>
      </c>
      <c r="F10" s="979">
        <f>tertiair!E16</f>
        <v>161.07449041207198</v>
      </c>
      <c r="G10" s="979">
        <f ca="1">tertiair!F16</f>
        <v>2717.8614848483348</v>
      </c>
      <c r="H10" s="979">
        <f>tertiair!G16</f>
        <v>0</v>
      </c>
      <c r="I10" s="979">
        <f>tertiair!H16</f>
        <v>0</v>
      </c>
      <c r="J10" s="979">
        <f>tertiair!I16</f>
        <v>0</v>
      </c>
      <c r="K10" s="979">
        <f>tertiair!J16</f>
        <v>0.11457397189620497</v>
      </c>
      <c r="L10" s="979">
        <f>tertiair!K16</f>
        <v>0</v>
      </c>
      <c r="M10" s="979">
        <f ca="1">tertiair!L16</f>
        <v>0</v>
      </c>
      <c r="N10" s="979">
        <f>tertiair!M16</f>
        <v>0</v>
      </c>
      <c r="O10" s="979">
        <f ca="1">tertiair!N16</f>
        <v>4371.8670558232179</v>
      </c>
      <c r="P10" s="979">
        <f>tertiair!O16</f>
        <v>3.1266666666666669</v>
      </c>
      <c r="Q10" s="980">
        <f>tertiair!P16</f>
        <v>19.066666666666666</v>
      </c>
      <c r="R10" s="674">
        <f ca="1">SUM(C10:Q10)</f>
        <v>32699.789145431656</v>
      </c>
      <c r="S10" s="67"/>
    </row>
    <row r="11" spans="1:19" s="447" customFormat="1">
      <c r="A11" s="783" t="s">
        <v>224</v>
      </c>
      <c r="B11" s="788"/>
      <c r="C11" s="979">
        <f>huishoudens!B8</f>
        <v>20863.410431597818</v>
      </c>
      <c r="D11" s="979">
        <f>huishoudens!C8</f>
        <v>0</v>
      </c>
      <c r="E11" s="979">
        <f>huishoudens!D8</f>
        <v>36476.260100049272</v>
      </c>
      <c r="F11" s="979">
        <f>huishoudens!E8</f>
        <v>21819.71073398443</v>
      </c>
      <c r="G11" s="979">
        <f>huishoudens!F8</f>
        <v>15538.265039789569</v>
      </c>
      <c r="H11" s="979">
        <f>huishoudens!G8</f>
        <v>0</v>
      </c>
      <c r="I11" s="979">
        <f>huishoudens!H8</f>
        <v>0</v>
      </c>
      <c r="J11" s="979">
        <f>huishoudens!I8</f>
        <v>0</v>
      </c>
      <c r="K11" s="979">
        <f>huishoudens!J8</f>
        <v>2276.5599721551121</v>
      </c>
      <c r="L11" s="979">
        <f>huishoudens!K8</f>
        <v>0</v>
      </c>
      <c r="M11" s="979">
        <f>huishoudens!L8</f>
        <v>0</v>
      </c>
      <c r="N11" s="979">
        <f>huishoudens!M8</f>
        <v>0</v>
      </c>
      <c r="O11" s="979">
        <f>huishoudens!N8</f>
        <v>25817.887468806002</v>
      </c>
      <c r="P11" s="979">
        <f>huishoudens!O8</f>
        <v>423.66333333333336</v>
      </c>
      <c r="Q11" s="980">
        <f>huishoudens!P8</f>
        <v>724.5333333333333</v>
      </c>
      <c r="R11" s="674">
        <f>SUM(C11:Q11)</f>
        <v>123940.29041304888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85519.716584806883</v>
      </c>
      <c r="D13" s="979">
        <f>industrie!C18</f>
        <v>0</v>
      </c>
      <c r="E13" s="979">
        <f>industrie!D18</f>
        <v>91802.087665837535</v>
      </c>
      <c r="F13" s="979">
        <f>industrie!E18</f>
        <v>4016.901554177146</v>
      </c>
      <c r="G13" s="979">
        <f>industrie!F18</f>
        <v>17900.436734065835</v>
      </c>
      <c r="H13" s="979">
        <f>industrie!G18</f>
        <v>0</v>
      </c>
      <c r="I13" s="979">
        <f>industrie!H18</f>
        <v>0</v>
      </c>
      <c r="J13" s="979">
        <f>industrie!I18</f>
        <v>0</v>
      </c>
      <c r="K13" s="979">
        <f>industrie!J18</f>
        <v>226.39479344472679</v>
      </c>
      <c r="L13" s="979">
        <f>industrie!K18</f>
        <v>0</v>
      </c>
      <c r="M13" s="979">
        <f>industrie!L18</f>
        <v>0</v>
      </c>
      <c r="N13" s="979">
        <f>industrie!M18</f>
        <v>0</v>
      </c>
      <c r="O13" s="979">
        <f>industrie!N18</f>
        <v>7332.2351457365794</v>
      </c>
      <c r="P13" s="979">
        <f>industrie!O18</f>
        <v>0</v>
      </c>
      <c r="Q13" s="980">
        <f>industrie!P18</f>
        <v>0</v>
      </c>
      <c r="R13" s="674">
        <f>SUM(C13:Q13)</f>
        <v>206797.77247806868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120554.39206399655</v>
      </c>
      <c r="D16" s="706">
        <f t="shared" ref="D16:R16" ca="1" si="0">SUM(D9:D15)</f>
        <v>62.357142857142847</v>
      </c>
      <c r="E16" s="706">
        <f t="shared" ca="1" si="0"/>
        <v>139471.40378248063</v>
      </c>
      <c r="F16" s="706">
        <f t="shared" si="0"/>
        <v>25997.686778573647</v>
      </c>
      <c r="G16" s="706">
        <f t="shared" ca="1" si="0"/>
        <v>36156.56325870374</v>
      </c>
      <c r="H16" s="706">
        <f t="shared" si="0"/>
        <v>0</v>
      </c>
      <c r="I16" s="706">
        <f t="shared" si="0"/>
        <v>0</v>
      </c>
      <c r="J16" s="706">
        <f t="shared" si="0"/>
        <v>0</v>
      </c>
      <c r="K16" s="706">
        <f t="shared" si="0"/>
        <v>2503.0693395717353</v>
      </c>
      <c r="L16" s="706">
        <f t="shared" si="0"/>
        <v>0</v>
      </c>
      <c r="M16" s="706">
        <f t="shared" ca="1" si="0"/>
        <v>0</v>
      </c>
      <c r="N16" s="706">
        <f t="shared" si="0"/>
        <v>0</v>
      </c>
      <c r="O16" s="706">
        <f t="shared" ca="1" si="0"/>
        <v>37521.989670365801</v>
      </c>
      <c r="P16" s="706">
        <f t="shared" si="0"/>
        <v>426.79</v>
      </c>
      <c r="Q16" s="706">
        <f t="shared" si="0"/>
        <v>743.6</v>
      </c>
      <c r="R16" s="706">
        <f t="shared" ca="1" si="0"/>
        <v>363437.85203654924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993.75307188770671</v>
      </c>
      <c r="I19" s="979">
        <f>transport!H54</f>
        <v>0</v>
      </c>
      <c r="J19" s="979">
        <f>transport!I54</f>
        <v>0</v>
      </c>
      <c r="K19" s="979">
        <f>transport!J54</f>
        <v>0</v>
      </c>
      <c r="L19" s="979">
        <f>transport!K54</f>
        <v>0</v>
      </c>
      <c r="M19" s="979">
        <f>transport!L54</f>
        <v>0</v>
      </c>
      <c r="N19" s="979">
        <f>transport!M54</f>
        <v>56.436523995527729</v>
      </c>
      <c r="O19" s="979">
        <f>transport!N54</f>
        <v>0</v>
      </c>
      <c r="P19" s="979">
        <f>transport!O54</f>
        <v>0</v>
      </c>
      <c r="Q19" s="980">
        <f>transport!P54</f>
        <v>0</v>
      </c>
      <c r="R19" s="674">
        <f>SUM(C19:Q19)</f>
        <v>1050.1895958832345</v>
      </c>
      <c r="S19" s="67"/>
    </row>
    <row r="20" spans="1:19" s="447" customFormat="1">
      <c r="A20" s="783" t="s">
        <v>306</v>
      </c>
      <c r="B20" s="788"/>
      <c r="C20" s="979">
        <f>transport!B14</f>
        <v>41.668074044533782</v>
      </c>
      <c r="D20" s="979">
        <f>transport!C14</f>
        <v>0</v>
      </c>
      <c r="E20" s="979">
        <f>transport!D14</f>
        <v>113.90040938286455</v>
      </c>
      <c r="F20" s="979">
        <f>transport!E14</f>
        <v>216.4675728010877</v>
      </c>
      <c r="G20" s="979">
        <f>transport!F14</f>
        <v>0</v>
      </c>
      <c r="H20" s="979">
        <f>transport!G14</f>
        <v>105482.52737073251</v>
      </c>
      <c r="I20" s="979">
        <f>transport!H14</f>
        <v>19662.687717219014</v>
      </c>
      <c r="J20" s="979">
        <f>transport!I14</f>
        <v>0</v>
      </c>
      <c r="K20" s="979">
        <f>transport!J14</f>
        <v>0</v>
      </c>
      <c r="L20" s="979">
        <f>transport!K14</f>
        <v>0</v>
      </c>
      <c r="M20" s="979">
        <f>transport!L14</f>
        <v>0</v>
      </c>
      <c r="N20" s="979">
        <f>transport!M14</f>
        <v>6741.7330460802659</v>
      </c>
      <c r="O20" s="979">
        <f>transport!N14</f>
        <v>0</v>
      </c>
      <c r="P20" s="979">
        <f>transport!O14</f>
        <v>0</v>
      </c>
      <c r="Q20" s="980">
        <f>transport!P14</f>
        <v>0</v>
      </c>
      <c r="R20" s="674">
        <f>SUM(C20:Q20)</f>
        <v>132258.98419026029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41.668074044533782</v>
      </c>
      <c r="D22" s="786">
        <f t="shared" ref="D22:R22" si="1">SUM(D18:D21)</f>
        <v>0</v>
      </c>
      <c r="E22" s="786">
        <f t="shared" si="1"/>
        <v>113.90040938286455</v>
      </c>
      <c r="F22" s="786">
        <f t="shared" si="1"/>
        <v>216.4675728010877</v>
      </c>
      <c r="G22" s="786">
        <f t="shared" si="1"/>
        <v>0</v>
      </c>
      <c r="H22" s="786">
        <f t="shared" si="1"/>
        <v>106476.28044262022</v>
      </c>
      <c r="I22" s="786">
        <f t="shared" si="1"/>
        <v>19662.687717219014</v>
      </c>
      <c r="J22" s="786">
        <f t="shared" si="1"/>
        <v>0</v>
      </c>
      <c r="K22" s="786">
        <f t="shared" si="1"/>
        <v>0</v>
      </c>
      <c r="L22" s="786">
        <f t="shared" si="1"/>
        <v>0</v>
      </c>
      <c r="M22" s="786">
        <f t="shared" si="1"/>
        <v>0</v>
      </c>
      <c r="N22" s="786">
        <f t="shared" si="1"/>
        <v>6798.1695700757937</v>
      </c>
      <c r="O22" s="786">
        <f t="shared" si="1"/>
        <v>0</v>
      </c>
      <c r="P22" s="786">
        <f t="shared" si="1"/>
        <v>0</v>
      </c>
      <c r="Q22" s="786">
        <f t="shared" si="1"/>
        <v>0</v>
      </c>
      <c r="R22" s="786">
        <f t="shared" si="1"/>
        <v>133309.17378614354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6232.15982727549</v>
      </c>
      <c r="D24" s="979">
        <f>+landbouw!C8</f>
        <v>0</v>
      </c>
      <c r="E24" s="979">
        <f>+landbouw!D8</f>
        <v>1937.2407212963324</v>
      </c>
      <c r="F24" s="979">
        <f>+landbouw!E8</f>
        <v>183.18221253681202</v>
      </c>
      <c r="G24" s="979">
        <f>+landbouw!F8</f>
        <v>25962.841072188807</v>
      </c>
      <c r="H24" s="979">
        <f>+landbouw!G8</f>
        <v>0</v>
      </c>
      <c r="I24" s="979">
        <f>+landbouw!H8</f>
        <v>0</v>
      </c>
      <c r="J24" s="979">
        <f>+landbouw!I8</f>
        <v>0</v>
      </c>
      <c r="K24" s="979">
        <f>+landbouw!J8</f>
        <v>902.9061218079089</v>
      </c>
      <c r="L24" s="979">
        <f>+landbouw!K8</f>
        <v>0</v>
      </c>
      <c r="M24" s="979">
        <f>+landbouw!L8</f>
        <v>0</v>
      </c>
      <c r="N24" s="979">
        <f>+landbouw!M8</f>
        <v>0</v>
      </c>
      <c r="O24" s="979">
        <f>+landbouw!N8</f>
        <v>0</v>
      </c>
      <c r="P24" s="979">
        <f>+landbouw!O8</f>
        <v>0</v>
      </c>
      <c r="Q24" s="980">
        <f>+landbouw!P8</f>
        <v>0</v>
      </c>
      <c r="R24" s="674">
        <f>SUM(C24:Q24)</f>
        <v>35218.32995510535</v>
      </c>
      <c r="S24" s="67"/>
    </row>
    <row r="25" spans="1:19" s="447" customFormat="1" ht="15" thickBot="1">
      <c r="A25" s="805" t="s">
        <v>823</v>
      </c>
      <c r="B25" s="982"/>
      <c r="C25" s="983">
        <f>IF(Onbekend_ele_kWh="---",0,Onbekend_ele_kWh)/1000+IF(REST_rest_ele_kWh="---",0,REST_rest_ele_kWh)/1000</f>
        <v>653.79665029330897</v>
      </c>
      <c r="D25" s="983"/>
      <c r="E25" s="983">
        <f>IF(onbekend_gas_kWh="---",0,onbekend_gas_kWh)/1000+IF(REST_rest_gas_kWh="---",0,REST_rest_gas_kWh)/1000</f>
        <v>1172.6043175674099</v>
      </c>
      <c r="F25" s="983"/>
      <c r="G25" s="983"/>
      <c r="H25" s="983"/>
      <c r="I25" s="983"/>
      <c r="J25" s="983"/>
      <c r="K25" s="983"/>
      <c r="L25" s="983"/>
      <c r="M25" s="983"/>
      <c r="N25" s="983"/>
      <c r="O25" s="983"/>
      <c r="P25" s="983"/>
      <c r="Q25" s="984"/>
      <c r="R25" s="674">
        <f>SUM(C25:Q25)</f>
        <v>1826.400967860719</v>
      </c>
      <c r="S25" s="67"/>
    </row>
    <row r="26" spans="1:19" s="447" customFormat="1" ht="15.75" thickBot="1">
      <c r="A26" s="679" t="s">
        <v>824</v>
      </c>
      <c r="B26" s="791"/>
      <c r="C26" s="786">
        <f>SUM(C24:C25)</f>
        <v>6885.9564775687986</v>
      </c>
      <c r="D26" s="786">
        <f t="shared" ref="D26:R26" si="2">SUM(D24:D25)</f>
        <v>0</v>
      </c>
      <c r="E26" s="786">
        <f t="shared" si="2"/>
        <v>3109.845038863742</v>
      </c>
      <c r="F26" s="786">
        <f t="shared" si="2"/>
        <v>183.18221253681202</v>
      </c>
      <c r="G26" s="786">
        <f t="shared" si="2"/>
        <v>25962.841072188807</v>
      </c>
      <c r="H26" s="786">
        <f t="shared" si="2"/>
        <v>0</v>
      </c>
      <c r="I26" s="786">
        <f t="shared" si="2"/>
        <v>0</v>
      </c>
      <c r="J26" s="786">
        <f t="shared" si="2"/>
        <v>0</v>
      </c>
      <c r="K26" s="786">
        <f t="shared" si="2"/>
        <v>902.9061218079089</v>
      </c>
      <c r="L26" s="786">
        <f t="shared" si="2"/>
        <v>0</v>
      </c>
      <c r="M26" s="786">
        <f t="shared" si="2"/>
        <v>0</v>
      </c>
      <c r="N26" s="786">
        <f t="shared" si="2"/>
        <v>0</v>
      </c>
      <c r="O26" s="786">
        <f t="shared" si="2"/>
        <v>0</v>
      </c>
      <c r="P26" s="786">
        <f t="shared" si="2"/>
        <v>0</v>
      </c>
      <c r="Q26" s="786">
        <f t="shared" si="2"/>
        <v>0</v>
      </c>
      <c r="R26" s="786">
        <f t="shared" si="2"/>
        <v>37044.730922966068</v>
      </c>
      <c r="S26" s="67"/>
    </row>
    <row r="27" spans="1:19" s="447" customFormat="1" ht="17.25" thickTop="1" thickBot="1">
      <c r="A27" s="680" t="s">
        <v>115</v>
      </c>
      <c r="B27" s="779"/>
      <c r="C27" s="681">
        <f ca="1">C22+C16+C26</f>
        <v>127482.01661560989</v>
      </c>
      <c r="D27" s="681">
        <f t="shared" ref="D27:R27" ca="1" si="3">D22+D16+D26</f>
        <v>62.357142857142847</v>
      </c>
      <c r="E27" s="681">
        <f t="shared" ca="1" si="3"/>
        <v>142695.14923072723</v>
      </c>
      <c r="F27" s="681">
        <f t="shared" si="3"/>
        <v>26397.336563911547</v>
      </c>
      <c r="G27" s="681">
        <f t="shared" ca="1" si="3"/>
        <v>62119.404330892547</v>
      </c>
      <c r="H27" s="681">
        <f t="shared" si="3"/>
        <v>106476.28044262022</v>
      </c>
      <c r="I27" s="681">
        <f t="shared" si="3"/>
        <v>19662.687717219014</v>
      </c>
      <c r="J27" s="681">
        <f t="shared" si="3"/>
        <v>0</v>
      </c>
      <c r="K27" s="681">
        <f t="shared" si="3"/>
        <v>3405.975461379644</v>
      </c>
      <c r="L27" s="681">
        <f t="shared" si="3"/>
        <v>0</v>
      </c>
      <c r="M27" s="681">
        <f t="shared" ca="1" si="3"/>
        <v>0</v>
      </c>
      <c r="N27" s="681">
        <f t="shared" si="3"/>
        <v>6798.1695700757937</v>
      </c>
      <c r="O27" s="681">
        <f t="shared" ca="1" si="3"/>
        <v>37521.989670365801</v>
      </c>
      <c r="P27" s="681">
        <f t="shared" si="3"/>
        <v>426.79</v>
      </c>
      <c r="Q27" s="681">
        <f t="shared" si="3"/>
        <v>743.6</v>
      </c>
      <c r="R27" s="681">
        <f t="shared" ca="1" si="3"/>
        <v>533791.75674565881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2948.3188409214763</v>
      </c>
      <c r="D40" s="979">
        <f ca="1">tertiair!C20</f>
        <v>0</v>
      </c>
      <c r="E40" s="979">
        <f ca="1">tertiair!D20</f>
        <v>2260.9973153519495</v>
      </c>
      <c r="F40" s="979">
        <f>tertiair!E20</f>
        <v>36.563909323540344</v>
      </c>
      <c r="G40" s="979">
        <f ca="1">tertiair!F20</f>
        <v>725.66901645450548</v>
      </c>
      <c r="H40" s="979">
        <f>tertiair!G20</f>
        <v>0</v>
      </c>
      <c r="I40" s="979">
        <f>tertiair!H20</f>
        <v>0</v>
      </c>
      <c r="J40" s="979">
        <f>tertiair!I20</f>
        <v>0</v>
      </c>
      <c r="K40" s="979">
        <f>tertiair!J20</f>
        <v>4.0559186051256559E-2</v>
      </c>
      <c r="L40" s="979">
        <f>tertiair!K20</f>
        <v>0</v>
      </c>
      <c r="M40" s="979">
        <f ca="1">tertiair!L20</f>
        <v>0</v>
      </c>
      <c r="N40" s="979">
        <f>tertiair!M20</f>
        <v>0</v>
      </c>
      <c r="O40" s="979">
        <f ca="1">tertiair!N20</f>
        <v>0</v>
      </c>
      <c r="P40" s="979">
        <f>tertiair!O20</f>
        <v>0</v>
      </c>
      <c r="Q40" s="748">
        <f>tertiair!P20</f>
        <v>0</v>
      </c>
      <c r="R40" s="824">
        <f t="shared" ca="1" si="4"/>
        <v>5971.5896412375223</v>
      </c>
    </row>
    <row r="41" spans="1:18">
      <c r="A41" s="796" t="s">
        <v>224</v>
      </c>
      <c r="B41" s="803"/>
      <c r="C41" s="979">
        <f ca="1">huishoudens!B12</f>
        <v>4340.6136188110013</v>
      </c>
      <c r="D41" s="979">
        <f ca="1">huishoudens!C12</f>
        <v>0</v>
      </c>
      <c r="E41" s="979">
        <f>huishoudens!D12</f>
        <v>7368.2045402099538</v>
      </c>
      <c r="F41" s="979">
        <f>huishoudens!E12</f>
        <v>4953.0743366144661</v>
      </c>
      <c r="G41" s="979">
        <f>huishoudens!F12</f>
        <v>4148.7167656238153</v>
      </c>
      <c r="H41" s="979">
        <f>huishoudens!G12</f>
        <v>0</v>
      </c>
      <c r="I41" s="979">
        <f>huishoudens!H12</f>
        <v>0</v>
      </c>
      <c r="J41" s="979">
        <f>huishoudens!I12</f>
        <v>0</v>
      </c>
      <c r="K41" s="979">
        <f>huishoudens!J12</f>
        <v>805.90223014290962</v>
      </c>
      <c r="L41" s="979">
        <f>huishoudens!K12</f>
        <v>0</v>
      </c>
      <c r="M41" s="979">
        <f>huishoudens!L12</f>
        <v>0</v>
      </c>
      <c r="N41" s="979">
        <f>huishoudens!M12</f>
        <v>0</v>
      </c>
      <c r="O41" s="979">
        <f>huishoudens!N12</f>
        <v>0</v>
      </c>
      <c r="P41" s="979">
        <f>huishoudens!O12</f>
        <v>0</v>
      </c>
      <c r="Q41" s="748">
        <f>huishoudens!P12</f>
        <v>0</v>
      </c>
      <c r="R41" s="824">
        <f t="shared" ca="1" si="4"/>
        <v>21616.511491402147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17792.299475768927</v>
      </c>
      <c r="D43" s="979">
        <f ca="1">industrie!C22</f>
        <v>0</v>
      </c>
      <c r="E43" s="979">
        <f>industrie!D22</f>
        <v>18544.021708499182</v>
      </c>
      <c r="F43" s="979">
        <f>industrie!E22</f>
        <v>911.83665279821219</v>
      </c>
      <c r="G43" s="979">
        <f>industrie!F22</f>
        <v>4779.4166079955785</v>
      </c>
      <c r="H43" s="979">
        <f>industrie!G22</f>
        <v>0</v>
      </c>
      <c r="I43" s="979">
        <f>industrie!H22</f>
        <v>0</v>
      </c>
      <c r="J43" s="979">
        <f>industrie!I22</f>
        <v>0</v>
      </c>
      <c r="K43" s="979">
        <f>industrie!J22</f>
        <v>80.143756879433283</v>
      </c>
      <c r="L43" s="979">
        <f>industrie!K22</f>
        <v>0</v>
      </c>
      <c r="M43" s="979">
        <f>industrie!L22</f>
        <v>0</v>
      </c>
      <c r="N43" s="979">
        <f>industrie!M22</f>
        <v>0</v>
      </c>
      <c r="O43" s="979">
        <f>industrie!N22</f>
        <v>0</v>
      </c>
      <c r="P43" s="979">
        <f>industrie!O22</f>
        <v>0</v>
      </c>
      <c r="Q43" s="748">
        <f>industrie!P22</f>
        <v>0</v>
      </c>
      <c r="R43" s="823">
        <f t="shared" ca="1" si="4"/>
        <v>42107.71820194133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25081.231935501404</v>
      </c>
      <c r="D46" s="706">
        <f t="shared" ref="D46:Q46" ca="1" si="5">SUM(D39:D45)</f>
        <v>0</v>
      </c>
      <c r="E46" s="706">
        <f t="shared" ca="1" si="5"/>
        <v>28173.223564061085</v>
      </c>
      <c r="F46" s="706">
        <f t="shared" si="5"/>
        <v>5901.4748987362191</v>
      </c>
      <c r="G46" s="706">
        <f t="shared" ca="1" si="5"/>
        <v>9653.802390073899</v>
      </c>
      <c r="H46" s="706">
        <f t="shared" si="5"/>
        <v>0</v>
      </c>
      <c r="I46" s="706">
        <f t="shared" si="5"/>
        <v>0</v>
      </c>
      <c r="J46" s="706">
        <f t="shared" si="5"/>
        <v>0</v>
      </c>
      <c r="K46" s="706">
        <f t="shared" si="5"/>
        <v>886.08654620839411</v>
      </c>
      <c r="L46" s="706">
        <f t="shared" si="5"/>
        <v>0</v>
      </c>
      <c r="M46" s="706">
        <f t="shared" ca="1" si="5"/>
        <v>0</v>
      </c>
      <c r="N46" s="706">
        <f t="shared" si="5"/>
        <v>0</v>
      </c>
      <c r="O46" s="706">
        <f t="shared" ca="1" si="5"/>
        <v>0</v>
      </c>
      <c r="P46" s="706">
        <f t="shared" si="5"/>
        <v>0</v>
      </c>
      <c r="Q46" s="706">
        <f t="shared" si="5"/>
        <v>0</v>
      </c>
      <c r="R46" s="706">
        <f ca="1">SUM(R39:R45)</f>
        <v>69695.819334581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265.33207019401772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265.33207019401772</v>
      </c>
    </row>
    <row r="50" spans="1:18">
      <c r="A50" s="799" t="s">
        <v>306</v>
      </c>
      <c r="B50" s="809"/>
      <c r="C50" s="677">
        <f ca="1">transport!B18</f>
        <v>8.6690050152781772</v>
      </c>
      <c r="D50" s="677">
        <f>transport!C18</f>
        <v>0</v>
      </c>
      <c r="E50" s="677">
        <f>transport!D18</f>
        <v>23.00788269533864</v>
      </c>
      <c r="F50" s="677">
        <f>transport!E18</f>
        <v>49.138139025846911</v>
      </c>
      <c r="G50" s="677">
        <f>transport!F18</f>
        <v>0</v>
      </c>
      <c r="H50" s="677">
        <f>transport!G18</f>
        <v>28163.834807985582</v>
      </c>
      <c r="I50" s="677">
        <f>transport!H18</f>
        <v>4896.0092415875342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33140.659076309581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8.6690050152781772</v>
      </c>
      <c r="D52" s="706">
        <f t="shared" ref="D52:Q52" ca="1" si="6">SUM(D48:D51)</f>
        <v>0</v>
      </c>
      <c r="E52" s="706">
        <f t="shared" si="6"/>
        <v>23.00788269533864</v>
      </c>
      <c r="F52" s="706">
        <f t="shared" si="6"/>
        <v>49.138139025846911</v>
      </c>
      <c r="G52" s="706">
        <f t="shared" si="6"/>
        <v>0</v>
      </c>
      <c r="H52" s="706">
        <f t="shared" si="6"/>
        <v>28429.1668781796</v>
      </c>
      <c r="I52" s="706">
        <f t="shared" si="6"/>
        <v>4896.0092415875342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33405.991146503598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1296.5951999827041</v>
      </c>
      <c r="D54" s="677">
        <f ca="1">+landbouw!C12</f>
        <v>0</v>
      </c>
      <c r="E54" s="677">
        <f>+landbouw!D12</f>
        <v>391.32262570185918</v>
      </c>
      <c r="F54" s="677">
        <f>+landbouw!E12</f>
        <v>41.582362245856331</v>
      </c>
      <c r="G54" s="677">
        <f>+landbouw!F12</f>
        <v>6932.078566274412</v>
      </c>
      <c r="H54" s="677">
        <f>+landbouw!G12</f>
        <v>0</v>
      </c>
      <c r="I54" s="677">
        <f>+landbouw!H12</f>
        <v>0</v>
      </c>
      <c r="J54" s="677">
        <f>+landbouw!I12</f>
        <v>0</v>
      </c>
      <c r="K54" s="677">
        <f>+landbouw!J12</f>
        <v>319.62876711999974</v>
      </c>
      <c r="L54" s="677">
        <f>+landbouw!K12</f>
        <v>0</v>
      </c>
      <c r="M54" s="677">
        <f>+landbouw!L12</f>
        <v>0</v>
      </c>
      <c r="N54" s="677">
        <f>+landbouw!M12</f>
        <v>0</v>
      </c>
      <c r="O54" s="677">
        <f>+landbouw!N12</f>
        <v>0</v>
      </c>
      <c r="P54" s="677">
        <f>+landbouw!O12</f>
        <v>0</v>
      </c>
      <c r="Q54" s="678">
        <f>+landbouw!P12</f>
        <v>0</v>
      </c>
      <c r="R54" s="705">
        <f ca="1">SUM(C54:Q54)</f>
        <v>8981.2075213248299</v>
      </c>
    </row>
    <row r="55" spans="1:18" ht="15" thickBot="1">
      <c r="A55" s="799" t="s">
        <v>823</v>
      </c>
      <c r="B55" s="809"/>
      <c r="C55" s="677">
        <f ca="1">C25*'EF ele_warmte'!B12</f>
        <v>136.02180015105097</v>
      </c>
      <c r="D55" s="677"/>
      <c r="E55" s="677">
        <f>E25*EF_CO2_aardgas</f>
        <v>236.86607214861681</v>
      </c>
      <c r="F55" s="677"/>
      <c r="G55" s="677"/>
      <c r="H55" s="677"/>
      <c r="I55" s="677"/>
      <c r="J55" s="677"/>
      <c r="K55" s="677"/>
      <c r="L55" s="677"/>
      <c r="M55" s="677"/>
      <c r="N55" s="677"/>
      <c r="O55" s="677"/>
      <c r="P55" s="677"/>
      <c r="Q55" s="678"/>
      <c r="R55" s="705">
        <f ca="1">SUM(C55:Q55)</f>
        <v>372.88787229966778</v>
      </c>
    </row>
    <row r="56" spans="1:18" ht="15.75" thickBot="1">
      <c r="A56" s="797" t="s">
        <v>824</v>
      </c>
      <c r="B56" s="810"/>
      <c r="C56" s="706">
        <f ca="1">SUM(C54:C55)</f>
        <v>1432.617000133755</v>
      </c>
      <c r="D56" s="706">
        <f t="shared" ref="D56:Q56" ca="1" si="7">SUM(D54:D55)</f>
        <v>0</v>
      </c>
      <c r="E56" s="706">
        <f t="shared" si="7"/>
        <v>628.18869785047605</v>
      </c>
      <c r="F56" s="706">
        <f t="shared" si="7"/>
        <v>41.582362245856331</v>
      </c>
      <c r="G56" s="706">
        <f t="shared" si="7"/>
        <v>6932.078566274412</v>
      </c>
      <c r="H56" s="706">
        <f t="shared" si="7"/>
        <v>0</v>
      </c>
      <c r="I56" s="706">
        <f t="shared" si="7"/>
        <v>0</v>
      </c>
      <c r="J56" s="706">
        <f t="shared" si="7"/>
        <v>0</v>
      </c>
      <c r="K56" s="706">
        <f t="shared" si="7"/>
        <v>319.62876711999974</v>
      </c>
      <c r="L56" s="706">
        <f t="shared" si="7"/>
        <v>0</v>
      </c>
      <c r="M56" s="706">
        <f t="shared" si="7"/>
        <v>0</v>
      </c>
      <c r="N56" s="706">
        <f t="shared" si="7"/>
        <v>0</v>
      </c>
      <c r="O56" s="706">
        <f t="shared" si="7"/>
        <v>0</v>
      </c>
      <c r="P56" s="706">
        <f t="shared" si="7"/>
        <v>0</v>
      </c>
      <c r="Q56" s="707">
        <f t="shared" si="7"/>
        <v>0</v>
      </c>
      <c r="R56" s="708">
        <f ca="1">SUM(R54:R55)</f>
        <v>9354.0953936244969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26522.517940650439</v>
      </c>
      <c r="D61" s="714">
        <f t="shared" ref="D61:Q61" ca="1" si="8">D46+D52+D56</f>
        <v>0</v>
      </c>
      <c r="E61" s="714">
        <f t="shared" ca="1" si="8"/>
        <v>28824.420144606902</v>
      </c>
      <c r="F61" s="714">
        <f t="shared" si="8"/>
        <v>5992.1954000079222</v>
      </c>
      <c r="G61" s="714">
        <f t="shared" ca="1" si="8"/>
        <v>16585.880956348312</v>
      </c>
      <c r="H61" s="714">
        <f t="shared" si="8"/>
        <v>28429.1668781796</v>
      </c>
      <c r="I61" s="714">
        <f t="shared" si="8"/>
        <v>4896.0092415875342</v>
      </c>
      <c r="J61" s="714">
        <f t="shared" si="8"/>
        <v>0</v>
      </c>
      <c r="K61" s="714">
        <f t="shared" si="8"/>
        <v>1205.7153133283939</v>
      </c>
      <c r="L61" s="714">
        <f t="shared" si="8"/>
        <v>0</v>
      </c>
      <c r="M61" s="714">
        <f t="shared" ca="1" si="8"/>
        <v>0</v>
      </c>
      <c r="N61" s="714">
        <f t="shared" si="8"/>
        <v>0</v>
      </c>
      <c r="O61" s="714">
        <f t="shared" ca="1" si="8"/>
        <v>0</v>
      </c>
      <c r="P61" s="714">
        <f t="shared" si="8"/>
        <v>0</v>
      </c>
      <c r="Q61" s="714">
        <f t="shared" si="8"/>
        <v>0</v>
      </c>
      <c r="R61" s="714">
        <f ca="1">R46+R52+R56</f>
        <v>112455.90587470909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0.20804909307814337</v>
      </c>
      <c r="D63" s="755">
        <f t="shared" ca="1" si="9"/>
        <v>0</v>
      </c>
      <c r="E63" s="990">
        <f t="shared" ca="1" si="9"/>
        <v>0.20200000000000001</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7426.9732190015684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7470.623219001568</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7426.9732190015684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7470.623219001568</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33037</v>
      </c>
      <c r="C28" s="770">
        <v>8980</v>
      </c>
      <c r="D28" s="627" t="s">
        <v>887</v>
      </c>
      <c r="E28" s="626" t="s">
        <v>888</v>
      </c>
      <c r="F28" s="626" t="s">
        <v>889</v>
      </c>
      <c r="G28" s="626" t="s">
        <v>890</v>
      </c>
      <c r="H28" s="626" t="s">
        <v>891</v>
      </c>
      <c r="I28" s="626" t="s">
        <v>888</v>
      </c>
      <c r="J28" s="769">
        <v>41379</v>
      </c>
      <c r="K28" s="769">
        <v>41379</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9.6999999999999993</v>
      </c>
      <c r="N31" s="584">
        <f ca="1">SUMIF($Z$28:AD28,"tertiair",N28:N28)</f>
        <v>43.649999999999991</v>
      </c>
      <c r="O31" s="584">
        <f ca="1">SUMIF($Z$28:AE28,"tertiair",O28:O28)</f>
        <v>62.357142857142847</v>
      </c>
      <c r="P31" s="584">
        <f ca="1">SUMIF($Z$28:AF28,"tertiair",P28:P28)</f>
        <v>0</v>
      </c>
      <c r="Q31" s="584">
        <f ca="1">SUMIF($Z$28:AG28,"tertiair",Q28:Q28)</f>
        <v>124.71428571428569</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20863.410431597818</v>
      </c>
      <c r="C4" s="451">
        <f>huishoudens!C8</f>
        <v>0</v>
      </c>
      <c r="D4" s="451">
        <f>huishoudens!D8</f>
        <v>36476.260100049272</v>
      </c>
      <c r="E4" s="451">
        <f>huishoudens!E8</f>
        <v>21819.71073398443</v>
      </c>
      <c r="F4" s="451">
        <f>huishoudens!F8</f>
        <v>15538.265039789569</v>
      </c>
      <c r="G4" s="451">
        <f>huishoudens!G8</f>
        <v>0</v>
      </c>
      <c r="H4" s="451">
        <f>huishoudens!H8</f>
        <v>0</v>
      </c>
      <c r="I4" s="451">
        <f>huishoudens!I8</f>
        <v>0</v>
      </c>
      <c r="J4" s="451">
        <f>huishoudens!J8</f>
        <v>2276.5599721551121</v>
      </c>
      <c r="K4" s="451">
        <f>huishoudens!K8</f>
        <v>0</v>
      </c>
      <c r="L4" s="451">
        <f>huishoudens!L8</f>
        <v>0</v>
      </c>
      <c r="M4" s="451">
        <f>huishoudens!M8</f>
        <v>0</v>
      </c>
      <c r="N4" s="451">
        <f>huishoudens!N8</f>
        <v>25817.887468806002</v>
      </c>
      <c r="O4" s="451">
        <f>huishoudens!O8</f>
        <v>423.66333333333336</v>
      </c>
      <c r="P4" s="452">
        <f>huishoudens!P8</f>
        <v>724.5333333333333</v>
      </c>
      <c r="Q4" s="453">
        <f>SUM(B4:P4)</f>
        <v>123940.29041304888</v>
      </c>
    </row>
    <row r="5" spans="1:17">
      <c r="A5" s="450" t="s">
        <v>155</v>
      </c>
      <c r="B5" s="451">
        <f ca="1">tertiair!B16</f>
        <v>13364.66204759185</v>
      </c>
      <c r="C5" s="451">
        <f ca="1">tertiair!C16</f>
        <v>62.357142857142847</v>
      </c>
      <c r="D5" s="451">
        <f ca="1">tertiair!D16</f>
        <v>11193.056016593808</v>
      </c>
      <c r="E5" s="451">
        <f>tertiair!E16</f>
        <v>161.07449041207198</v>
      </c>
      <c r="F5" s="451">
        <f ca="1">tertiair!F16</f>
        <v>2717.8614848483348</v>
      </c>
      <c r="G5" s="451">
        <f>tertiair!G16</f>
        <v>0</v>
      </c>
      <c r="H5" s="451">
        <f>tertiair!H16</f>
        <v>0</v>
      </c>
      <c r="I5" s="451">
        <f>tertiair!I16</f>
        <v>0</v>
      </c>
      <c r="J5" s="451">
        <f>tertiair!J16</f>
        <v>0.11457397189620497</v>
      </c>
      <c r="K5" s="451">
        <f>tertiair!K16</f>
        <v>0</v>
      </c>
      <c r="L5" s="451">
        <f ca="1">tertiair!L16</f>
        <v>0</v>
      </c>
      <c r="M5" s="451">
        <f>tertiair!M16</f>
        <v>0</v>
      </c>
      <c r="N5" s="451">
        <f ca="1">tertiair!N16</f>
        <v>4371.8670558232179</v>
      </c>
      <c r="O5" s="451">
        <f>tertiair!O16</f>
        <v>3.1266666666666669</v>
      </c>
      <c r="P5" s="452">
        <f>tertiair!P16</f>
        <v>19.066666666666666</v>
      </c>
      <c r="Q5" s="450">
        <f t="shared" ref="Q5:Q14" ca="1" si="0">SUM(B5:P5)</f>
        <v>31893.186145431653</v>
      </c>
    </row>
    <row r="6" spans="1:17">
      <c r="A6" s="450" t="s">
        <v>193</v>
      </c>
      <c r="B6" s="451">
        <f>'openbare verlichting'!B8</f>
        <v>806.60299999999995</v>
      </c>
      <c r="C6" s="451"/>
      <c r="D6" s="451"/>
      <c r="E6" s="451"/>
      <c r="F6" s="451"/>
      <c r="G6" s="451"/>
      <c r="H6" s="451"/>
      <c r="I6" s="451"/>
      <c r="J6" s="451"/>
      <c r="K6" s="451"/>
      <c r="L6" s="451"/>
      <c r="M6" s="451"/>
      <c r="N6" s="451"/>
      <c r="O6" s="451"/>
      <c r="P6" s="452"/>
      <c r="Q6" s="450">
        <f t="shared" si="0"/>
        <v>806.60299999999995</v>
      </c>
    </row>
    <row r="7" spans="1:17">
      <c r="A7" s="450" t="s">
        <v>111</v>
      </c>
      <c r="B7" s="451">
        <f>landbouw!B8</f>
        <v>6232.15982727549</v>
      </c>
      <c r="C7" s="451">
        <f>landbouw!C8</f>
        <v>0</v>
      </c>
      <c r="D7" s="451">
        <f>landbouw!D8</f>
        <v>1937.2407212963324</v>
      </c>
      <c r="E7" s="451">
        <f>landbouw!E8</f>
        <v>183.18221253681202</v>
      </c>
      <c r="F7" s="451">
        <f>landbouw!F8</f>
        <v>25962.841072188807</v>
      </c>
      <c r="G7" s="451">
        <f>landbouw!G8</f>
        <v>0</v>
      </c>
      <c r="H7" s="451">
        <f>landbouw!H8</f>
        <v>0</v>
      </c>
      <c r="I7" s="451">
        <f>landbouw!I8</f>
        <v>0</v>
      </c>
      <c r="J7" s="451">
        <f>landbouw!J8</f>
        <v>902.9061218079089</v>
      </c>
      <c r="K7" s="451">
        <f>landbouw!K8</f>
        <v>0</v>
      </c>
      <c r="L7" s="451">
        <f>landbouw!L8</f>
        <v>0</v>
      </c>
      <c r="M7" s="451">
        <f>landbouw!M8</f>
        <v>0</v>
      </c>
      <c r="N7" s="451">
        <f>landbouw!N8</f>
        <v>0</v>
      </c>
      <c r="O7" s="451">
        <f>landbouw!O8</f>
        <v>0</v>
      </c>
      <c r="P7" s="452">
        <f>landbouw!P8</f>
        <v>0</v>
      </c>
      <c r="Q7" s="450">
        <f t="shared" si="0"/>
        <v>35218.32995510535</v>
      </c>
    </row>
    <row r="8" spans="1:17">
      <c r="A8" s="450" t="s">
        <v>634</v>
      </c>
      <c r="B8" s="451">
        <f>industrie!B18</f>
        <v>85519.716584806883</v>
      </c>
      <c r="C8" s="451">
        <f>industrie!C18</f>
        <v>0</v>
      </c>
      <c r="D8" s="451">
        <f>industrie!D18</f>
        <v>91802.087665837535</v>
      </c>
      <c r="E8" s="451">
        <f>industrie!E18</f>
        <v>4016.901554177146</v>
      </c>
      <c r="F8" s="451">
        <f>industrie!F18</f>
        <v>17900.436734065835</v>
      </c>
      <c r="G8" s="451">
        <f>industrie!G18</f>
        <v>0</v>
      </c>
      <c r="H8" s="451">
        <f>industrie!H18</f>
        <v>0</v>
      </c>
      <c r="I8" s="451">
        <f>industrie!I18</f>
        <v>0</v>
      </c>
      <c r="J8" s="451">
        <f>industrie!J18</f>
        <v>226.39479344472679</v>
      </c>
      <c r="K8" s="451">
        <f>industrie!K18</f>
        <v>0</v>
      </c>
      <c r="L8" s="451">
        <f>industrie!L18</f>
        <v>0</v>
      </c>
      <c r="M8" s="451">
        <f>industrie!M18</f>
        <v>0</v>
      </c>
      <c r="N8" s="451">
        <f>industrie!N18</f>
        <v>7332.2351457365794</v>
      </c>
      <c r="O8" s="451">
        <f>industrie!O18</f>
        <v>0</v>
      </c>
      <c r="P8" s="452">
        <f>industrie!P18</f>
        <v>0</v>
      </c>
      <c r="Q8" s="450">
        <f t="shared" si="0"/>
        <v>206797.77247806868</v>
      </c>
    </row>
    <row r="9" spans="1:17" s="456" customFormat="1">
      <c r="A9" s="454" t="s">
        <v>560</v>
      </c>
      <c r="B9" s="455">
        <f>transport!B14</f>
        <v>41.668074044533782</v>
      </c>
      <c r="C9" s="455">
        <f>transport!C14</f>
        <v>0</v>
      </c>
      <c r="D9" s="455">
        <f>transport!D14</f>
        <v>113.90040938286455</v>
      </c>
      <c r="E9" s="455">
        <f>transport!E14</f>
        <v>216.4675728010877</v>
      </c>
      <c r="F9" s="455">
        <f>transport!F14</f>
        <v>0</v>
      </c>
      <c r="G9" s="455">
        <f>transport!G14</f>
        <v>105482.52737073251</v>
      </c>
      <c r="H9" s="455">
        <f>transport!H14</f>
        <v>19662.687717219014</v>
      </c>
      <c r="I9" s="455">
        <f>transport!I14</f>
        <v>0</v>
      </c>
      <c r="J9" s="455">
        <f>transport!J14</f>
        <v>0</v>
      </c>
      <c r="K9" s="455">
        <f>transport!K14</f>
        <v>0</v>
      </c>
      <c r="L9" s="455">
        <f>transport!L14</f>
        <v>0</v>
      </c>
      <c r="M9" s="455">
        <f>transport!M14</f>
        <v>6741.7330460802659</v>
      </c>
      <c r="N9" s="455">
        <f>transport!N14</f>
        <v>0</v>
      </c>
      <c r="O9" s="455">
        <f>transport!O14</f>
        <v>0</v>
      </c>
      <c r="P9" s="455">
        <f>transport!P14</f>
        <v>0</v>
      </c>
      <c r="Q9" s="454">
        <f>SUM(B9:P9)</f>
        <v>132258.98419026029</v>
      </c>
    </row>
    <row r="10" spans="1:17">
      <c r="A10" s="450" t="s">
        <v>550</v>
      </c>
      <c r="B10" s="451">
        <f>transport!B54</f>
        <v>0</v>
      </c>
      <c r="C10" s="451">
        <f>transport!C54</f>
        <v>0</v>
      </c>
      <c r="D10" s="451">
        <f>transport!D54</f>
        <v>0</v>
      </c>
      <c r="E10" s="451">
        <f>transport!E54</f>
        <v>0</v>
      </c>
      <c r="F10" s="451">
        <f>transport!F54</f>
        <v>0</v>
      </c>
      <c r="G10" s="451">
        <f>transport!G54</f>
        <v>993.75307188770671</v>
      </c>
      <c r="H10" s="451">
        <f>transport!H54</f>
        <v>0</v>
      </c>
      <c r="I10" s="451">
        <f>transport!I54</f>
        <v>0</v>
      </c>
      <c r="J10" s="451">
        <f>transport!J54</f>
        <v>0</v>
      </c>
      <c r="K10" s="451">
        <f>transport!K54</f>
        <v>0</v>
      </c>
      <c r="L10" s="451">
        <f>transport!L54</f>
        <v>0</v>
      </c>
      <c r="M10" s="451">
        <f>transport!M54</f>
        <v>56.436523995527729</v>
      </c>
      <c r="N10" s="451">
        <f>transport!N54</f>
        <v>0</v>
      </c>
      <c r="O10" s="451">
        <f>transport!O54</f>
        <v>0</v>
      </c>
      <c r="P10" s="452">
        <f>transport!P54</f>
        <v>0</v>
      </c>
      <c r="Q10" s="450">
        <f t="shared" si="0"/>
        <v>1050.1895958832345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653.79665029330897</v>
      </c>
      <c r="C14" s="458"/>
      <c r="D14" s="458">
        <f>'SEAP template'!E25</f>
        <v>1172.6043175674099</v>
      </c>
      <c r="E14" s="458"/>
      <c r="F14" s="458"/>
      <c r="G14" s="458"/>
      <c r="H14" s="458"/>
      <c r="I14" s="458"/>
      <c r="J14" s="458"/>
      <c r="K14" s="458"/>
      <c r="L14" s="458"/>
      <c r="M14" s="458"/>
      <c r="N14" s="458"/>
      <c r="O14" s="458"/>
      <c r="P14" s="459"/>
      <c r="Q14" s="450">
        <f t="shared" si="0"/>
        <v>1826.400967860719</v>
      </c>
    </row>
    <row r="15" spans="1:17" s="460" customFormat="1">
      <c r="A15" s="1005" t="s">
        <v>554</v>
      </c>
      <c r="B15" s="953">
        <f ca="1">SUM(B4:B14)</f>
        <v>127482.01661560989</v>
      </c>
      <c r="C15" s="953">
        <f t="shared" ref="C15:Q15" ca="1" si="1">SUM(C4:C14)</f>
        <v>62.357142857142847</v>
      </c>
      <c r="D15" s="953">
        <f t="shared" ca="1" si="1"/>
        <v>142695.1492307272</v>
      </c>
      <c r="E15" s="953">
        <f t="shared" si="1"/>
        <v>26397.336563911547</v>
      </c>
      <c r="F15" s="953">
        <f t="shared" ca="1" si="1"/>
        <v>62119.404330892547</v>
      </c>
      <c r="G15" s="953">
        <f t="shared" si="1"/>
        <v>106476.28044262022</v>
      </c>
      <c r="H15" s="953">
        <f t="shared" si="1"/>
        <v>19662.687717219014</v>
      </c>
      <c r="I15" s="953">
        <f t="shared" si="1"/>
        <v>0</v>
      </c>
      <c r="J15" s="953">
        <f t="shared" si="1"/>
        <v>3405.975461379644</v>
      </c>
      <c r="K15" s="953">
        <f t="shared" si="1"/>
        <v>0</v>
      </c>
      <c r="L15" s="953">
        <f t="shared" ca="1" si="1"/>
        <v>0</v>
      </c>
      <c r="M15" s="953">
        <f t="shared" si="1"/>
        <v>6798.1695700757937</v>
      </c>
      <c r="N15" s="953">
        <f t="shared" ca="1" si="1"/>
        <v>37521.989670365801</v>
      </c>
      <c r="O15" s="953">
        <f t="shared" si="1"/>
        <v>426.79</v>
      </c>
      <c r="P15" s="953">
        <f t="shared" si="1"/>
        <v>743.6</v>
      </c>
      <c r="Q15" s="953">
        <f t="shared" ca="1" si="1"/>
        <v>533791.75674565881</v>
      </c>
    </row>
    <row r="17" spans="1:17">
      <c r="A17" s="461" t="s">
        <v>555</v>
      </c>
      <c r="B17" s="760">
        <f ca="1">huishoudens!B10</f>
        <v>0.20804909307814334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4340.6136188110013</v>
      </c>
      <c r="C22" s="451">
        <f t="shared" ref="C22:C32" ca="1" si="3">C4*$C$17</f>
        <v>0</v>
      </c>
      <c r="D22" s="451">
        <f t="shared" ref="D22:D32" si="4">D4*$D$17</f>
        <v>7368.2045402099538</v>
      </c>
      <c r="E22" s="451">
        <f t="shared" ref="E22:E32" si="5">E4*$E$17</f>
        <v>4953.0743366144661</v>
      </c>
      <c r="F22" s="451">
        <f t="shared" ref="F22:F32" si="6">F4*$F$17</f>
        <v>4148.7167656238153</v>
      </c>
      <c r="G22" s="451">
        <f t="shared" ref="G22:G32" si="7">G4*$G$17</f>
        <v>0</v>
      </c>
      <c r="H22" s="451">
        <f t="shared" ref="H22:H32" si="8">H4*$H$17</f>
        <v>0</v>
      </c>
      <c r="I22" s="451">
        <f t="shared" ref="I22:I32" si="9">I4*$I$17</f>
        <v>0</v>
      </c>
      <c r="J22" s="451">
        <f t="shared" ref="J22:J32" si="10">J4*$J$17</f>
        <v>805.90223014290962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21616.511491402147</v>
      </c>
    </row>
    <row r="23" spans="1:17">
      <c r="A23" s="450" t="s">
        <v>155</v>
      </c>
      <c r="B23" s="451">
        <f t="shared" ca="1" si="2"/>
        <v>2780.5058182973667</v>
      </c>
      <c r="C23" s="451">
        <f t="shared" ca="1" si="3"/>
        <v>0</v>
      </c>
      <c r="D23" s="451">
        <f t="shared" ca="1" si="4"/>
        <v>2260.9973153519495</v>
      </c>
      <c r="E23" s="451">
        <f t="shared" si="5"/>
        <v>36.563909323540344</v>
      </c>
      <c r="F23" s="451">
        <f t="shared" ca="1" si="6"/>
        <v>725.66901645450548</v>
      </c>
      <c r="G23" s="451">
        <f t="shared" si="7"/>
        <v>0</v>
      </c>
      <c r="H23" s="451">
        <f t="shared" si="8"/>
        <v>0</v>
      </c>
      <c r="I23" s="451">
        <f t="shared" si="9"/>
        <v>0</v>
      </c>
      <c r="J23" s="451">
        <f t="shared" si="10"/>
        <v>4.0559186051256559E-2</v>
      </c>
      <c r="K23" s="451">
        <f t="shared" si="11"/>
        <v>0</v>
      </c>
      <c r="L23" s="451">
        <f t="shared" ca="1" si="12"/>
        <v>0</v>
      </c>
      <c r="M23" s="451">
        <f t="shared" si="13"/>
        <v>0</v>
      </c>
      <c r="N23" s="451">
        <f t="shared" ca="1" si="14"/>
        <v>0</v>
      </c>
      <c r="O23" s="451">
        <f t="shared" si="15"/>
        <v>0</v>
      </c>
      <c r="P23" s="452">
        <f t="shared" si="16"/>
        <v>0</v>
      </c>
      <c r="Q23" s="450">
        <f t="shared" ref="Q23:Q32" ca="1" si="17">SUM(B23:P23)</f>
        <v>5803.7766186134122</v>
      </c>
    </row>
    <row r="24" spans="1:17">
      <c r="A24" s="450" t="s">
        <v>193</v>
      </c>
      <c r="B24" s="451">
        <f t="shared" ca="1" si="2"/>
        <v>167.81302262410964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167.81302262410964</v>
      </c>
    </row>
    <row r="25" spans="1:17">
      <c r="A25" s="450" t="s">
        <v>111</v>
      </c>
      <c r="B25" s="451">
        <f t="shared" ca="1" si="2"/>
        <v>1296.5951999827041</v>
      </c>
      <c r="C25" s="451">
        <f t="shared" ca="1" si="3"/>
        <v>0</v>
      </c>
      <c r="D25" s="451">
        <f t="shared" si="4"/>
        <v>391.32262570185918</v>
      </c>
      <c r="E25" s="451">
        <f t="shared" si="5"/>
        <v>41.582362245856331</v>
      </c>
      <c r="F25" s="451">
        <f t="shared" si="6"/>
        <v>6932.078566274412</v>
      </c>
      <c r="G25" s="451">
        <f t="shared" si="7"/>
        <v>0</v>
      </c>
      <c r="H25" s="451">
        <f t="shared" si="8"/>
        <v>0</v>
      </c>
      <c r="I25" s="451">
        <f t="shared" si="9"/>
        <v>0</v>
      </c>
      <c r="J25" s="451">
        <f t="shared" si="10"/>
        <v>319.62876711999974</v>
      </c>
      <c r="K25" s="451">
        <f t="shared" si="11"/>
        <v>0</v>
      </c>
      <c r="L25" s="451">
        <f t="shared" si="12"/>
        <v>0</v>
      </c>
      <c r="M25" s="451">
        <f t="shared" si="13"/>
        <v>0</v>
      </c>
      <c r="N25" s="451">
        <f t="shared" si="14"/>
        <v>0</v>
      </c>
      <c r="O25" s="451">
        <f t="shared" si="15"/>
        <v>0</v>
      </c>
      <c r="P25" s="452">
        <f t="shared" si="16"/>
        <v>0</v>
      </c>
      <c r="Q25" s="450">
        <f t="shared" ca="1" si="17"/>
        <v>8981.2075213248299</v>
      </c>
    </row>
    <row r="26" spans="1:17">
      <c r="A26" s="450" t="s">
        <v>634</v>
      </c>
      <c r="B26" s="451">
        <f t="shared" ca="1" si="2"/>
        <v>17792.299475768927</v>
      </c>
      <c r="C26" s="451">
        <f t="shared" ca="1" si="3"/>
        <v>0</v>
      </c>
      <c r="D26" s="451">
        <f t="shared" si="4"/>
        <v>18544.021708499182</v>
      </c>
      <c r="E26" s="451">
        <f t="shared" si="5"/>
        <v>911.83665279821219</v>
      </c>
      <c r="F26" s="451">
        <f t="shared" si="6"/>
        <v>4779.4166079955785</v>
      </c>
      <c r="G26" s="451">
        <f t="shared" si="7"/>
        <v>0</v>
      </c>
      <c r="H26" s="451">
        <f t="shared" si="8"/>
        <v>0</v>
      </c>
      <c r="I26" s="451">
        <f t="shared" si="9"/>
        <v>0</v>
      </c>
      <c r="J26" s="451">
        <f t="shared" si="10"/>
        <v>80.143756879433283</v>
      </c>
      <c r="K26" s="451">
        <f t="shared" si="11"/>
        <v>0</v>
      </c>
      <c r="L26" s="451">
        <f t="shared" si="12"/>
        <v>0</v>
      </c>
      <c r="M26" s="451">
        <f t="shared" si="13"/>
        <v>0</v>
      </c>
      <c r="N26" s="451">
        <f t="shared" si="14"/>
        <v>0</v>
      </c>
      <c r="O26" s="451">
        <f t="shared" si="15"/>
        <v>0</v>
      </c>
      <c r="P26" s="452">
        <f t="shared" si="16"/>
        <v>0</v>
      </c>
      <c r="Q26" s="450">
        <f t="shared" ca="1" si="17"/>
        <v>42107.71820194133</v>
      </c>
    </row>
    <row r="27" spans="1:17" s="456" customFormat="1">
      <c r="A27" s="454" t="s">
        <v>560</v>
      </c>
      <c r="B27" s="754">
        <f t="shared" ca="1" si="2"/>
        <v>8.6690050152781772</v>
      </c>
      <c r="C27" s="455">
        <f t="shared" ca="1" si="3"/>
        <v>0</v>
      </c>
      <c r="D27" s="455">
        <f t="shared" si="4"/>
        <v>23.00788269533864</v>
      </c>
      <c r="E27" s="455">
        <f t="shared" si="5"/>
        <v>49.138139025846911</v>
      </c>
      <c r="F27" s="455">
        <f t="shared" si="6"/>
        <v>0</v>
      </c>
      <c r="G27" s="455">
        <f t="shared" si="7"/>
        <v>28163.834807985582</v>
      </c>
      <c r="H27" s="455">
        <f t="shared" si="8"/>
        <v>4896.0092415875342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33140.659076309581</v>
      </c>
    </row>
    <row r="28" spans="1:17">
      <c r="A28" s="450" t="s">
        <v>550</v>
      </c>
      <c r="B28" s="451">
        <f t="shared" ca="1" si="2"/>
        <v>0</v>
      </c>
      <c r="C28" s="451">
        <f t="shared" ca="1" si="3"/>
        <v>0</v>
      </c>
      <c r="D28" s="451">
        <f t="shared" si="4"/>
        <v>0</v>
      </c>
      <c r="E28" s="451">
        <f t="shared" si="5"/>
        <v>0</v>
      </c>
      <c r="F28" s="451">
        <f t="shared" si="6"/>
        <v>0</v>
      </c>
      <c r="G28" s="451">
        <f t="shared" si="7"/>
        <v>265.33207019401772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265.33207019401772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136.02180015105097</v>
      </c>
      <c r="C32" s="451">
        <f t="shared" ca="1" si="3"/>
        <v>0</v>
      </c>
      <c r="D32" s="451">
        <f t="shared" si="4"/>
        <v>236.86607214861681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372.88787229966778</v>
      </c>
    </row>
    <row r="33" spans="1:17" s="460" customFormat="1">
      <c r="A33" s="1005" t="s">
        <v>554</v>
      </c>
      <c r="B33" s="953">
        <f ca="1">SUM(B22:B32)</f>
        <v>26522.517940650439</v>
      </c>
      <c r="C33" s="953">
        <f t="shared" ref="C33:Q33" ca="1" si="18">SUM(C22:C32)</f>
        <v>0</v>
      </c>
      <c r="D33" s="953">
        <f t="shared" ca="1" si="18"/>
        <v>28824.420144606898</v>
      </c>
      <c r="E33" s="953">
        <f t="shared" si="18"/>
        <v>5992.1954000079222</v>
      </c>
      <c r="F33" s="953">
        <f t="shared" ca="1" si="18"/>
        <v>16585.880956348312</v>
      </c>
      <c r="G33" s="953">
        <f t="shared" si="18"/>
        <v>28429.1668781796</v>
      </c>
      <c r="H33" s="953">
        <f t="shared" si="18"/>
        <v>4896.0092415875342</v>
      </c>
      <c r="I33" s="953">
        <f t="shared" si="18"/>
        <v>0</v>
      </c>
      <c r="J33" s="953">
        <f t="shared" si="18"/>
        <v>1205.7153133283939</v>
      </c>
      <c r="K33" s="953">
        <f t="shared" si="18"/>
        <v>0</v>
      </c>
      <c r="L33" s="953">
        <f t="shared" ca="1" si="18"/>
        <v>0</v>
      </c>
      <c r="M33" s="953">
        <f t="shared" si="18"/>
        <v>0</v>
      </c>
      <c r="N33" s="953">
        <f t="shared" ca="1" si="18"/>
        <v>0</v>
      </c>
      <c r="O33" s="953">
        <f t="shared" si="18"/>
        <v>0</v>
      </c>
      <c r="P33" s="953">
        <f t="shared" si="18"/>
        <v>0</v>
      </c>
      <c r="Q33" s="953">
        <f t="shared" ca="1" si="18"/>
        <v>112455.90587470912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7426.9732190015684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7470.623219001568</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0.20804909307814334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0.20804909307814334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2020-06-20T15:44:00Z</dcterms:modified>
</cp:coreProperties>
</file>