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J9" i="18" s="1"/>
  <c r="J77" i="14" s="1"/>
  <c r="J9" i="61" s="1"/>
  <c r="U40" i="18"/>
  <c r="T40" i="18"/>
  <c r="I9" i="18" s="1"/>
  <c r="S40" i="18"/>
  <c r="R40" i="18"/>
  <c r="Q40" i="18"/>
  <c r="P40" i="18"/>
  <c r="C9" i="18" s="1"/>
  <c r="O40" i="18"/>
  <c r="N40" i="18"/>
  <c r="B9" i="18" s="1"/>
  <c r="M40" i="18"/>
  <c r="W36" i="18"/>
  <c r="V36" i="18"/>
  <c r="U36" i="18"/>
  <c r="T36" i="18"/>
  <c r="S36" i="18"/>
  <c r="R36" i="18"/>
  <c r="N6" i="17" s="1"/>
  <c r="Q36" i="18"/>
  <c r="P36" i="18"/>
  <c r="O36" i="18"/>
  <c r="N36" i="18"/>
  <c r="M36" i="18"/>
  <c r="W35" i="18"/>
  <c r="V35" i="18"/>
  <c r="U35" i="18"/>
  <c r="T35" i="18"/>
  <c r="S35" i="18"/>
  <c r="R35" i="18"/>
  <c r="Q35" i="18"/>
  <c r="P35" i="18"/>
  <c r="D13" i="15" s="1"/>
  <c r="O35" i="18"/>
  <c r="C13" i="15" s="1"/>
  <c r="N35" i="18"/>
  <c r="M35" i="18"/>
  <c r="W34" i="18"/>
  <c r="V34" i="18"/>
  <c r="U34" i="18"/>
  <c r="T34" i="18"/>
  <c r="S34" i="18"/>
  <c r="R34" i="18"/>
  <c r="Q34" i="18"/>
  <c r="P34" i="18"/>
  <c r="O34" i="18"/>
  <c r="N34" i="18"/>
  <c r="M34" i="18"/>
  <c r="W33" i="18"/>
  <c r="V33" i="18"/>
  <c r="U33" i="18"/>
  <c r="T33" i="18"/>
  <c r="S33" i="18"/>
  <c r="R33" i="18"/>
  <c r="Q33" i="18"/>
  <c r="P33" i="18"/>
  <c r="O33" i="18"/>
  <c r="B49" i="18" s="1"/>
  <c r="N33" i="18"/>
  <c r="M33"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F13" i="15" l="1"/>
  <c r="H9" i="18"/>
  <c r="O9" i="18" s="1"/>
  <c r="F6" i="17"/>
  <c r="C49" i="18"/>
  <c r="C5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52" i="18"/>
  <c r="F52" i="18"/>
  <c r="H52" i="18"/>
  <c r="D52" i="18"/>
  <c r="I53" i="18"/>
  <c r="H17" i="18" s="1"/>
  <c r="E53" i="18"/>
  <c r="E17" i="18" s="1"/>
  <c r="C53" i="18"/>
  <c r="B53" i="18"/>
  <c r="C17" i="18" s="1"/>
  <c r="H53" i="18"/>
  <c r="D53" i="18"/>
  <c r="G53" i="18"/>
  <c r="F53"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2" i="18" l="1"/>
  <c r="H8" i="18" s="1"/>
  <c r="I8" i="18"/>
  <c r="B52" i="18"/>
  <c r="C8" i="18" s="1"/>
  <c r="O8" i="18" s="1"/>
  <c r="O10" i="18" s="1"/>
  <c r="M77" i="14"/>
  <c r="M9" i="61" s="1"/>
  <c r="E52" i="18"/>
  <c r="E8" i="18" s="1"/>
  <c r="F76" i="14" s="1"/>
  <c r="H78" i="14"/>
  <c r="H9" i="61"/>
  <c r="H10" i="61" s="1"/>
  <c r="O90" i="14"/>
  <c r="O18" i="61"/>
  <c r="O20" i="61" s="1"/>
  <c r="B88" i="14"/>
  <c r="B18" i="61" s="1"/>
  <c r="Q77" i="14"/>
  <c r="P9" i="61" s="1"/>
  <c r="J17" i="18"/>
  <c r="H20" i="18"/>
  <c r="M87" i="14"/>
  <c r="J8" i="18"/>
  <c r="M76" i="14"/>
  <c r="H10" i="18"/>
  <c r="E20" i="18"/>
  <c r="F87" i="14"/>
  <c r="C77" i="14"/>
  <c r="C9" i="61" s="1"/>
  <c r="C20" i="18"/>
  <c r="D87" i="14"/>
  <c r="D17" i="61" s="1"/>
  <c r="D20" i="61" s="1"/>
  <c r="D76" i="14"/>
  <c r="D8" i="61" s="1"/>
  <c r="D10" i="61" s="1"/>
  <c r="C88" i="14"/>
  <c r="C18" i="61" s="1"/>
  <c r="E10" i="18"/>
  <c r="I17" i="18"/>
  <c r="I10" i="18"/>
  <c r="I76" i="14"/>
  <c r="I8" i="61" s="1"/>
  <c r="I10" i="61" s="1"/>
  <c r="Q88" i="14"/>
  <c r="P18" i="61" s="1"/>
  <c r="I33" i="48"/>
  <c r="B77" i="14" l="1"/>
  <c r="B9" i="61" s="1"/>
  <c r="C10" i="18"/>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Q16" i="14" l="1"/>
  <c r="Q27" i="14" s="1"/>
  <c r="J7" i="48"/>
  <c r="J25" i="48" s="1"/>
  <c r="K24" i="14"/>
  <c r="K26" i="14" s="1"/>
  <c r="P8" i="48"/>
  <c r="P26" i="48" s="1"/>
  <c r="Q13" i="14"/>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D18" i="16"/>
  <c r="G31" i="20"/>
  <c r="H48" i="14" s="1"/>
  <c r="G12" i="22"/>
  <c r="D16" i="15"/>
  <c r="E8" i="17"/>
  <c r="O18" i="16"/>
  <c r="B36" i="13"/>
  <c r="B48" i="13" s="1"/>
  <c r="C48" i="13" s="1"/>
  <c r="N5" i="13" s="1"/>
  <c r="N8" i="13" s="1"/>
  <c r="H12" i="22"/>
  <c r="B34" i="13"/>
  <c r="B46" i="13" s="1"/>
  <c r="E5" i="13" s="1"/>
  <c r="E8" i="13" s="1"/>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C50" i="13"/>
  <c r="J5" i="13" s="1"/>
  <c r="J8" i="13" s="1"/>
  <c r="E12" i="17"/>
  <c r="F54" i="14" s="1"/>
  <c r="F56" i="14" s="1"/>
  <c r="O8" i="48" l="1"/>
  <c r="O26" i="48" s="1"/>
  <c r="P13" i="14"/>
  <c r="P16" i="14"/>
  <c r="P27" i="14" s="1"/>
  <c r="F24" i="14"/>
  <c r="F26" i="14" s="1"/>
  <c r="E7" i="48"/>
  <c r="E25" i="48"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M18" i="22"/>
  <c r="N50" i="14" s="1"/>
  <c r="N52" i="14" s="1"/>
  <c r="N61"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F63" i="14" s="1"/>
  <c r="K13" i="14"/>
  <c r="K16" i="14" s="1"/>
  <c r="K27" i="14" s="1"/>
  <c r="J8" i="48"/>
  <c r="J26" i="48" s="1"/>
  <c r="J33" i="48" s="1"/>
  <c r="E33" i="48"/>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<sst xmlns="http://schemas.openxmlformats.org/spreadsheetml/2006/main" count="2450" uniqueCount="915">
  <si>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</si>
  <si>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</si>
  <si>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</si>
  <si>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</si>
  <si>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</si>
  <si>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</si>
  <si>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</si>
  <si>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</si>
  <si>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</si>
  <si>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</si>
  <si>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</si>
  <si>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</si>
  <si>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</si>
  <si>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</si>
  <si>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</si>
  <si>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</si>
  <si>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</si>
  <si>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</si>
  <si>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</si>
  <si>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</si>
  <si>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</si>
  <si>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</si>
  <si>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</si>
  <si>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</si>
  <si>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</si>
  <si>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</si>
  <si>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</si>
  <si>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</si>
  <si>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</si>
  <si>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</si>
  <si>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</si>
  <si>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</si>
  <si>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</si>
  <si>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</si>
  <si>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</si>
  <si>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</si>
  <si>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</si>
  <si>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</si>
  <si>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</si>
  <si>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</si>
  <si>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</si>
  <si>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</si>
  <si>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</si>
  <si>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</si>
  <si>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</si>
  <si>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</si>
  <si>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</si>
  <si>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</si>
  <si>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</si>
  <si>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</si>
  <si>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</si>
  <si>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</si>
  <si>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</si>
  <si>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</si>
  <si>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</si>
  <si>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</si>
  <si>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</si>
  <si>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</si>
  <si>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</si>
  <si>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</si>
  <si>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</si>
  <si>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</si>
  <si>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</si>
  <si>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</si>
  <si>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</si>
  <si>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</si>
  <si>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</si>
  <si>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</si>
  <si>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</si>
  <si>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</si>
  <si>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</si>
  <si>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</si>
  <si>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</si>
  <si>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</si>
  <si>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</si>
  <si>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</si>
  <si>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</si>
  <si>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</si>
  <si>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</si>
  <si>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</si>
  <si>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</si>
  <si>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</si>
  <si>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</si>
  <si>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</si>
  <si>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</si>
  <si>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</si>
  <si>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</si>
  <si>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</si>
  <si>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</si>
  <si>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</si>
  <si>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</si>
  <si>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</si>
  <si>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</si>
  <si>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</si>
  <si>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</si>
  <si>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</si>
  <si>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</si>
  <si>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</si>
  <si>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</si>
  <si>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</si>
  <si>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</si>
  <si>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</si>
  <si>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</si>
  <si>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</si>
  <si>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</si>
  <si>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</si>
  <si>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</si>
  <si>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</si>
  <si>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</si>
  <si>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</si>
  <si>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</si>
  <si>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</si>
  <si>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</si>
  <si>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</si>
  <si>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</si>
  <si>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</si>
  <si>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</si>
  <si>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</si>
  <si>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</si>
  <si>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</si>
  <si>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</si>
  <si>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</si>
  <si>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</si>
  <si>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</si>
  <si>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</si>
  <si>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</si>
  <si>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</si>
  <si>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</si>
  <si>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</si>
  <si>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</si>
  <si>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</si>
  <si>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</si>
  <si>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</si>
  <si>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</si>
  <si>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</si>
  <si>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</si>
  <si>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</si>
  <si>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</si>
  <si>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</si>
  <si>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</si>
  <si>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</si>
  <si>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</si>
  <si>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</si>
  <si>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</si>
  <si>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</si>
  <si>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</si>
  <si>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</si>
  <si>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</si>
  <si>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</si>
  <si>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</si>
  <si>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</si>
  <si>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</si>
  <si>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</si>
  <si>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</si>
  <si>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</si>
  <si>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</si>
  <si>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</si>
  <si>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</si>
  <si>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</si>
  <si>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</si>
  <si>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</si>
  <si>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</si>
  <si>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</si>
  <si>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</si>
  <si>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</si>
  <si>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</si>
  <si>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</si>
  <si>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</si>
  <si>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</si>
  <si>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</si>
  <si>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</si>
  <si>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</si>
  <si>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</si>
  <si>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</si>
  <si>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</si>
  <si>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</si>
  <si>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</si>
  <si>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</si>
  <si>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</si>
  <si>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</si>
  <si>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</si>
  <si>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</si>
  <si>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</si>
  <si>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</si>
  <si>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</si>
  <si>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</si>
  <si>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</si>
  <si>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</si>
  <si>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</si>
  <si>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</si>
  <si>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</si>
  <si>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</si>
  <si>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</si>
  <si>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</si>
  <si>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</si>
  <si>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</si>
  <si>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</si>
  <si>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</si>
  <si>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</si>
  <si>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</si>
  <si>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</si>
  <si>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</si>
  <si>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</si>
  <si>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</si>
  <si>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</si>
  <si>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</si>
  <si>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</si>
  <si>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</si>
  <si>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</si>
  <si>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</si>
  <si>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</si>
  <si>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</si>
  <si>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</si>
  <si>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</si>
  <si>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</si>
  <si>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</si>
  <si>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</si>
  <si>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</si>
  <si>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</si>
  <si>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</si>
  <si>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</si>
  <si>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</si>
  <si>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</si>
  <si>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</si>
  <si>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</si>
  <si>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</si>
  <si>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</si>
  <si>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</si>
  <si>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</si>
  <si>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</si>
  <si>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</si>
  <si>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</si>
  <si>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</si>
  <si>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</si>
  <si>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</si>
  <si>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</si>
  <si>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</si>
  <si>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</si>
  <si>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</si>
  <si>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</si>
  <si>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</si>
  <si>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</si>
  <si>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</si>
  <si>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</si>
  <si>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</si>
  <si>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</si>
  <si>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</si>
  <si>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</si>
  <si>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</si>
  <si>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</si>
  <si>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</si>
  <si>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</si>
  <si>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</si>
  <si>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</si>
  <si>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</si>
  <si>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</si>
  <si>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</si>
  <si>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</si>
  <si>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</si>
  <si>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</si>
  <si>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</si>
  <si>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</si>
  <si>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</si>
  <si>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</si>
  <si>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</si>
  <si>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</si>
  <si>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</si>
  <si>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</si>
  <si>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</si>
  <si>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</si>
  <si>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</si>
  <si>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</si>
  <si>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</si>
  <si>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</si>
  <si>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</si>
  <si>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</si>
  <si>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</si>
  <si>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</si>
  <si>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</si>
  <si>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</si>
  <si>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</si>
  <si>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</si>
  <si>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</si>
  <si>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</si>
  <si>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</si>
  <si>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</si>
  <si>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</si>
  <si>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</si>
  <si>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</si>
  <si>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</si>
  <si>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</si>
  <si>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</si>
  <si>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</si>
  <si>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</si>
  <si>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</si>
  <si>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</si>
  <si>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</si>
  <si>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</si>
  <si>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</si>
  <si>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</si>
  <si>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</si>
  <si>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</si>
  <si>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</si>
  <si>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</si>
  <si>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</si>
  <si>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</si>
  <si>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</si>
  <si>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</si>
  <si>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</si>
  <si>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</si>
  <si>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</si>
  <si>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</si>
  <si>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</si>
  <si>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</si>
  <si>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</si>
  <si>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</si>
  <si>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</si>
  <si>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</si>
  <si>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</si>
  <si>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</si>
  <si>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</si>
  <si>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</si>
  <si>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</si>
  <si>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</si>
  <si>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</si>
  <si>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</si>
  <si>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</si>
  <si>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</si>
  <si>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</si>
  <si>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</si>
  <si>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</si>
  <si>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</si>
  <si>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</si>
  <si>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</si>
  <si>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</si>
  <si>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</si>
  <si>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</si>
  <si>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</si>
  <si>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</si>
  <si>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</si>
  <si>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</si>
  <si>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</si>
  <si>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</si>
  <si>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</si>
  <si>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</si>
  <si>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</si>
  <si>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</si>
  <si>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</si>
  <si>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</si>
  <si>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</si>
  <si>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</si>
  <si>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</si>
  <si>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</si>
  <si>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</si>
  <si>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</si>
  <si>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</si>
  <si>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</si>
  <si>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</si>
  <si>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</si>
  <si>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</si>
  <si>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</si>
  <si>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</si>
  <si>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</si>
  <si>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</si>
  <si>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</si>
  <si>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</si>
  <si>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</si>
  <si>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</si>
  <si>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</si>
  <si>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</si>
  <si>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</si>
  <si>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</si>
  <si>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</si>
  <si>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</si>
  <si>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</si>
  <si>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</si>
  <si>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</si>
  <si>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</si>
  <si>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</si>
  <si>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</si>
  <si>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</si>
  <si>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</si>
  <si>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</si>
  <si>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</si>
  <si>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</si>
  <si>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</si>
  <si>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</si>
  <si>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</si>
  <si>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</si>
  <si>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</si>
  <si>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</si>
  <si>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</si>
  <si>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</si>
  <si>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</si>
  <si>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</si>
  <si>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</si>
  <si>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</si>
  <si>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</si>
  <si>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</si>
  <si>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</si>
  <si>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</si>
  <si>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</si>
  <si>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</si>
  <si>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</si>
  <si>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</si>
  <si>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</si>
  <si>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</si>
  <si>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</si>
  <si>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</si>
  <si>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</si>
  <si>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</si>
  <si>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</si>
  <si>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</si>
  <si>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</si>
  <si>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</si>
  <si>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</si>
  <si>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</si>
  <si>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</si>
  <si>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</si>
  <si>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</si>
  <si>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</si>
  <si>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</si>
  <si>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</si>
  <si>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</si>
  <si>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</si>
  <si>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</si>
  <si>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</si>
  <si>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</si>
  <si>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</si>
  <si>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</si>
  <si>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</si>
  <si>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</si>
  <si>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</si>
  <si>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</si>
  <si>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</si>
  <si>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</si>
  <si>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</si>
  <si>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</si>
  <si>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</si>
  <si>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</si>
  <si>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</si>
  <si>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</si>
  <si>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</si>
  <si>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</si>
  <si>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</si>
  <si>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</si>
  <si>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</si>
  <si>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</si>
  <si>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</si>
  <si>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</si>
  <si>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</si>
  <si>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</si>
  <si>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</si>
  <si>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</si>
  <si>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</si>
  <si>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</si>
  <si>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</si>
  <si>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</si>
  <si>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</si>
  <si>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</si>
  <si>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</si>
  <si>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</si>
  <si>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</si>
  <si>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</si>
  <si>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</si>
  <si>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</si>
  <si>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</si>
  <si>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</si>
  <si>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</si>
  <si>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</si>
  <si>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</si>
  <si>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</si>
  <si>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</si>
  <si>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</si>
  <si>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</si>
  <si>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</si>
  <si>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</si>
  <si>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</si>
  <si>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</si>
  <si>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</si>
  <si>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</si>
  <si>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</si>
  <si>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</si>
  <si>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</si>
  <si>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</si>
  <si>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</si>
  <si>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</si>
  <si>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</si>
  <si>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</si>
  <si>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</si>
  <si>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</si>
  <si>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</si>
  <si>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</si>
  <si>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</si>
  <si>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</si>
  <si>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</si>
  <si>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</si>
  <si>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</si>
  <si>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</si>
  <si>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</si>
  <si>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</si>
  <si>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</si>
  <si>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</si>
  <si>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</si>
  <si>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</si>
  <si>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</si>
  <si>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</si>
  <si>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</si>
  <si>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</si>
  <si>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</si>
  <si>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</si>
  <si>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</si>
  <si>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</si>
  <si>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</si>
  <si>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</si>
  <si>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</si>
  <si>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</si>
  <si>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</si>
  <si>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</si>
  <si>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</si>
  <si>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</si>
  <si>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</si>
  <si>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</si>
  <si>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</si>
  <si>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</si>
  <si>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</si>
  <si>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</si>
  <si>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</si>
  <si>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</si>
  <si>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</si>
  <si>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</si>
  <si>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</si>
  <si>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</si>
  <si>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</si>
  <si>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</si>
  <si>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</si>
  <si>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</si>
  <si>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</si>
  <si>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</si>
  <si>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</si>
  <si>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</si>
  <si>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</si>
  <si>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</si>
  <si>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</si>
  <si>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</si>
  <si>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</si>
  <si>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</si>
  <si>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</si>
  <si>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</si>
  <si>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</si>
  <si>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</si>
  <si>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</si>
  <si>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</si>
  <si>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</si>
  <si>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</si>
  <si>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</si>
  <si>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</si>
  <si>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</si>
  <si>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</si>
  <si>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</si>
  <si>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</si>
  <si>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</si>
  <si>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</si>
  <si>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</si>
  <si>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</si>
  <si>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</si>
  <si>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</si>
  <si>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</si>
  <si>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</si>
  <si>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</si>
  <si>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</si>
  <si>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</si>
  <si>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</si>
  <si>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</si>
  <si>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</si>
  <si>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</si>
  <si>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</si>
  <si>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</si>
  <si>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</si>
  <si>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</si>
  <si>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</si>
  <si>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</si>
  <si>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</si>
  <si>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</si>
  <si>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</si>
  <si>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</si>
  <si>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</si>
  <si>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</si>
  <si>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</si>
  <si>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</si>
  <si>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</si>
  <si>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</si>
  <si>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</si>
  <si>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</si>
  <si>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</si>
  <si>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</si>
  <si>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</si>
  <si>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</si>
  <si>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</si>
  <si>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</si>
  <si>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</si>
  <si>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</si>
  <si>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</si>
  <si>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</si>
  <si>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</si>
  <si>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</si>
  <si>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</si>
  <si>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</si>
  <si>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</si>
  <si>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</si>
  <si>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</si>
  <si>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</si>
  <si>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</si>
  <si>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</si>
  <si>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</si>
  <si>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</si>
  <si>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</si>
  <si>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</si>
  <si>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</si>
  <si>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</si>
  <si>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</si>
  <si>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</si>
  <si>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</si>
  <si>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</si>
  <si>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</si>
  <si>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</si>
  <si>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</si>
  <si>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</si>
  <si>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</si>
  <si>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</si>
  <si>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</si>
  <si>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</si>
  <si>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</si>
  <si>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</si>
  <si>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</si>
  <si>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</si>
  <si>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</si>
  <si>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</si>
  <si>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</si>
  <si>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</si>
  <si>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</si>
  <si>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</si>
  <si>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</si>
  <si>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</si>
  <si>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</si>
  <si>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</si>
  <si>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</si>
  <si>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</si>
  <si>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</si>
  <si>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</si>
  <si>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</si>
  <si>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</si>
  <si>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</si>
  <si>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</si>
  <si>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</si>
  <si>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</si>
  <si>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</si>
  <si>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</si>
  <si>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</si>
  <si>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</si>
  <si>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</si>
  <si>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</si>
  <si>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</si>
  <si>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</si>
  <si>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</si>
  <si>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</si>
  <si>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</si>
  <si>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</si>
  <si>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</si>
  <si>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</si>
  <si>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</si>
  <si>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</si>
  <si>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</si>
  <si>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</si>
  <si>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</si>
  <si>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</si>
  <si>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</si>
  <si>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</si>
  <si>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</si>
  <si>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</si>
  <si>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</si>
  <si>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</si>
  <si>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</si>
  <si>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</si>
  <si>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</si>
  <si>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</si>
  <si>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</si>
  <si>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</si>
  <si>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</si>
  <si>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</si>
  <si>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</si>
  <si>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</si>
  <si>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</si>
  <si>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</si>
  <si>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</si>
  <si>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</si>
  <si>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</si>
  <si>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</si>
  <si>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</si>
  <si>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</si>
  <si>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</si>
  <si>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</si>
  <si>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</si>
  <si>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</si>
  <si>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</si>
  <si>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</si>
  <si>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</si>
  <si>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</si>
  <si>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</si>
  <si>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</si>
  <si>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</si>
  <si>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</si>
  <si>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</si>
  <si>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</si>
  <si>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</si>
  <si>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</si>
  <si>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</si>
  <si>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</si>
  <si>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</si>
  <si>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</si>
  <si>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</si>
  <si>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</si>
  <si>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</si>
  <si>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</si>
  <si>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</si>
  <si>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</si>
  <si>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</si>
  <si>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</si>
  <si>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</si>
  <si>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</si>
  <si>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</si>
  <si>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</si>
  <si>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</si>
  <si>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</si>
  <si>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</si>
  <si>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</si>
  <si>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</si>
  <si>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</si>
  <si>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</si>
  <si>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</si>
  <si>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</si>
  <si>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</si>
  <si>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</si>
  <si>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</si>
  <si>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</si>
  <si>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</si>
  <si>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</si>
  <si>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</si>
  <si>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</si>
  <si>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</si>
  <si>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</si>
  <si>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</si>
  <si>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</si>
  <si>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</si>
  <si>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</si>
  <si>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</si>
  <si>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</si>
  <si>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</si>
  <si>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</si>
  <si>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</si>
  <si>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</si>
  <si>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</si>
  <si>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</si>
  <si>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</si>
  <si>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</si>
  <si>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</si>
  <si>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</si>
  <si>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</si>
  <si>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</si>
  <si>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</si>
  <si>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</si>
  <si>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</si>
  <si>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</si>
  <si>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</si>
  <si>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</si>
  <si>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</si>
  <si>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</si>
  <si>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</si>
  <si>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</si>
  <si>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</si>
  <si>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</si>
  <si>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</si>
  <si>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</si>
  <si>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</si>
  <si>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</si>
  <si>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</si>
  <si>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</si>
  <si>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</si>
  <si>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</si>
  <si>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</si>
  <si>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</si>
  <si>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</si>
  <si>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</si>
  <si>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</si>
  <si>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</si>
  <si>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</si>
  <si>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</si>
  <si>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</si>
  <si>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</si>
  <si>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</si>
  <si>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</si>
  <si>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</si>
  <si>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</si>
  <si>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</si>
  <si>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</si>
  <si>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</si>
  <si>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</si>
  <si>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</si>
  <si>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</si>
  <si>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</si>
  <si>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</si>
  <si>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</si>
  <si>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</si>
  <si>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</si>
  <si>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</si>
  <si>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</si>
  <si>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</si>
  <si>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</si>
  <si>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</si>
  <si>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</si>
  <si>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</si>
  <si>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</si>
  <si>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</si>
  <si>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</si>
  <si>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</si>
  <si>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</si>
  <si>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</si>
  <si>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</si>
  <si>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</si>
  <si>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</si>
  <si>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</si>
  <si>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</si>
  <si>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</si>
  <si>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</si>
  <si>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</si>
  <si>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</si>
  <si>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</si>
  <si>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</si>
  <si>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</si>
  <si>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</si>
  <si>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</si>
  <si>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</si>
  <si>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</si>
  <si>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</si>
  <si>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</si>
  <si>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</si>
  <si>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</si>
  <si>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</si>
  <si>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</si>
  <si>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</si>
  <si>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</si>
  <si>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</si>
  <si>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</si>
  <si>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</si>
  <si>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</si>
  <si>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</si>
  <si>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</si>
  <si>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</si>
  <si>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</si>
  <si>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</si>
  <si>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</si>
  <si>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</si>
  <si>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</si>
  <si>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</si>
  <si>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</si>
  <si>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</si>
  <si>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</si>
  <si>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</si>
  <si>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</si>
  <si>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</si>
  <si>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</si>
  <si>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</si>
  <si>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</si>
  <si>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</si>
  <si>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</si>
  <si>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</si>
  <si>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</si>
  <si>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</si>
  <si>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</si>
  <si>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</si>
  <si>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</si>
  <si>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</si>
  <si>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</si>
  <si>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33011</t>
  </si>
  <si>
    <t>IEPER</t>
  </si>
  <si>
    <t>Fluvius</t>
  </si>
  <si>
    <t>referentietaak LNE (2017); Jaarverslag De Lijn</t>
  </si>
  <si>
    <t>Biomass Center Ieper bvba</t>
  </si>
  <si>
    <t>Bargiestraat 1, 8900 Ieper</t>
  </si>
  <si>
    <t>WKK-0102 Biomass Center Ieper</t>
  </si>
  <si>
    <t>interne verbrandingsmotor</t>
  </si>
  <si>
    <t>WKK interne verbrandinsgmotor (gas)</t>
  </si>
  <si>
    <t>GASELWEST</t>
  </si>
  <si>
    <t>Jan Yperman Ziekenhuis VZW</t>
  </si>
  <si>
    <t>Briekestraat 12 , 8900 Ieper</t>
  </si>
  <si>
    <t>WKK-0571 Jan Yperman Ziekenhuis</t>
  </si>
  <si>
    <t>Waterleau Newenergy Ieper nv</t>
  </si>
  <si>
    <t>Nieuwstraat 26 , 3150 Wespelaar</t>
  </si>
  <si>
    <t>WKK-0507 Waterleau Newenergy Ieper</t>
  </si>
  <si>
    <t>Bargiestraat 4 , 8900 Ieper</t>
  </si>
  <si>
    <t>Jurgen Debaene</t>
  </si>
  <si>
    <t>WKK-0786</t>
  </si>
  <si>
    <t>Biogas - hoofdzakelijk agrarische stromen</t>
  </si>
  <si>
    <t>Poperingseweg 48, 8908 Vlamertinge, BE</t>
  </si>
  <si>
    <t>GASELWEST (via EANDIS)</t>
  </si>
  <si>
    <t>IVVO</t>
  </si>
  <si>
    <t>WKK-0267</t>
  </si>
  <si>
    <t>Interne verbrandingsmotor</t>
  </si>
  <si>
    <t>Bargiestraat 6, 8900 Ieper, BE</t>
  </si>
  <si>
    <t>IVVO cvba</t>
  </si>
  <si>
    <t>Bargiestraat 6 , 8900 Ieper</t>
  </si>
  <si>
    <t>BGS-0028</t>
  </si>
  <si>
    <t>biogas - GFT met compostering</t>
  </si>
  <si>
    <t>niet WKK interne verbrandingsmotor (gas)</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</si>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</sst>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277531.20936604764</c:v>
                </c:pt>
                <c:pt idx="1">
                  <c:v>225043.4168426551</c:v>
                </c:pt>
                <c:pt idx="2">
                  <c:v>2812.6460000000002</c:v>
                </c:pt>
                <c:pt idx="3">
                  <c:v>69156.514241096054</c:v>
                </c:pt>
                <c:pt idx="4">
                  <c:v>459883.41160996619</c:v>
                </c:pt>
                <c:pt idx="5">
                  <c:v>233601.17678561524</c:v>
                </c:pt>
                <c:pt idx="6">
                  <c:v>3619.6048301571368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277531.20936604764</c:v>
                </c:pt>
                <c:pt idx="1">
                  <c:v>225043.4168426551</c:v>
                </c:pt>
                <c:pt idx="2">
                  <c:v>2812.6460000000002</c:v>
                </c:pt>
                <c:pt idx="3">
                  <c:v>69156.514241096054</c:v>
                </c:pt>
                <c:pt idx="4">
                  <c:v>459883.41160996619</c:v>
                </c:pt>
                <c:pt idx="5">
                  <c:v>233601.17678561524</c:v>
                </c:pt>
                <c:pt idx="6">
                  <c:v>3619.6048301571368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48258.297296237055</c:v>
                </c:pt>
                <c:pt idx="2">
                  <c:v>37855.083593699957</c:v>
                </c:pt>
                <c:pt idx="3">
                  <c:v>470.17128269870346</c:v>
                </c:pt>
                <c:pt idx="4">
                  <c:v>14035.313382257531</c:v>
                </c:pt>
                <c:pt idx="5">
                  <c:v>87828.976868287267</c:v>
                </c:pt>
                <c:pt idx="6">
                  <c:v>58514.872091644276</c:v>
                </c:pt>
                <c:pt idx="7">
                  <c:v>914.49891203896573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48258.297296237055</c:v>
                </c:pt>
                <c:pt idx="2">
                  <c:v>37855.083593699957</c:v>
                </c:pt>
                <c:pt idx="3">
                  <c:v>470.17128269870346</c:v>
                </c:pt>
                <c:pt idx="4">
                  <c:v>14035.313382257531</c:v>
                </c:pt>
                <c:pt idx="5">
                  <c:v>87828.976868287267</c:v>
                </c:pt>
                <c:pt idx="6">
                  <c:v>58514.872091644276</c:v>
                </c:pt>
                <c:pt idx="7">
                  <c:v>914.49891203896573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33011</v>
      </c>
      <c r="B6" s="390"/>
      <c r="C6" s="391"/>
    </row>
    <row r="7" spans="1:7" s="388" customFormat="1" ht="15.75" customHeight="1">
      <c r="A7" s="392" t="str">
        <f>txtMunicipality</f>
        <v>IEPER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0.16716333399180111</v>
      </c>
      <c r="C17" s="498">
        <f ca="1">'EF ele_warmte'!B22</f>
        <v>1.0796150912603384E-2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0.16716333399180111</v>
      </c>
      <c r="C29" s="499">
        <f ca="1">'EF ele_warmte'!B22</f>
        <v>1.0796150912603384E-2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15207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9129.28999999999</v>
      </c>
      <c r="C14" s="330"/>
      <c r="D14" s="330"/>
      <c r="E14" s="330"/>
      <c r="F14" s="330"/>
    </row>
    <row r="15" spans="1:6">
      <c r="A15" s="1293" t="s">
        <v>183</v>
      </c>
      <c r="B15" s="1294">
        <v>119</v>
      </c>
      <c r="C15" s="330"/>
      <c r="D15" s="330"/>
      <c r="E15" s="330"/>
      <c r="F15" s="330"/>
    </row>
    <row r="16" spans="1:6">
      <c r="A16" s="1293" t="s">
        <v>6</v>
      </c>
      <c r="B16" s="1294">
        <v>4486</v>
      </c>
      <c r="C16" s="330"/>
      <c r="D16" s="330"/>
      <c r="E16" s="330"/>
      <c r="F16" s="330"/>
    </row>
    <row r="17" spans="1:6">
      <c r="A17" s="1293" t="s">
        <v>7</v>
      </c>
      <c r="B17" s="1294">
        <v>2502</v>
      </c>
      <c r="C17" s="330"/>
      <c r="D17" s="330"/>
      <c r="E17" s="330"/>
      <c r="F17" s="330"/>
    </row>
    <row r="18" spans="1:6">
      <c r="A18" s="1293" t="s">
        <v>8</v>
      </c>
      <c r="B18" s="1294">
        <v>4033</v>
      </c>
      <c r="C18" s="330"/>
      <c r="D18" s="330"/>
      <c r="E18" s="330"/>
      <c r="F18" s="330"/>
    </row>
    <row r="19" spans="1:6">
      <c r="A19" s="1293" t="s">
        <v>9</v>
      </c>
      <c r="B19" s="1294">
        <v>3648</v>
      </c>
      <c r="C19" s="330"/>
      <c r="D19" s="330"/>
      <c r="E19" s="330"/>
      <c r="F19" s="330"/>
    </row>
    <row r="20" spans="1:6">
      <c r="A20" s="1293" t="s">
        <v>10</v>
      </c>
      <c r="B20" s="1294">
        <v>2392</v>
      </c>
      <c r="C20" s="330"/>
      <c r="D20" s="330"/>
      <c r="E20" s="330"/>
      <c r="F20" s="330"/>
    </row>
    <row r="21" spans="1:6">
      <c r="A21" s="1293" t="s">
        <v>11</v>
      </c>
      <c r="B21" s="1294">
        <v>47754</v>
      </c>
      <c r="C21" s="330"/>
      <c r="D21" s="330"/>
      <c r="E21" s="330"/>
      <c r="F21" s="330"/>
    </row>
    <row r="22" spans="1:6">
      <c r="A22" s="1293" t="s">
        <v>12</v>
      </c>
      <c r="B22" s="1294">
        <v>99399</v>
      </c>
      <c r="C22" s="330"/>
      <c r="D22" s="330"/>
      <c r="E22" s="330"/>
      <c r="F22" s="330"/>
    </row>
    <row r="23" spans="1:6">
      <c r="A23" s="1293" t="s">
        <v>13</v>
      </c>
      <c r="B23" s="1294">
        <v>1922</v>
      </c>
      <c r="C23" s="330"/>
      <c r="D23" s="330"/>
      <c r="E23" s="330"/>
      <c r="F23" s="330"/>
    </row>
    <row r="24" spans="1:6">
      <c r="A24" s="1293" t="s">
        <v>14</v>
      </c>
      <c r="B24" s="1294">
        <v>94</v>
      </c>
      <c r="C24" s="330"/>
      <c r="D24" s="330"/>
      <c r="E24" s="330"/>
      <c r="F24" s="330"/>
    </row>
    <row r="25" spans="1:6">
      <c r="A25" s="1293" t="s">
        <v>15</v>
      </c>
      <c r="B25" s="1294">
        <v>12187</v>
      </c>
      <c r="C25" s="330"/>
      <c r="D25" s="330"/>
      <c r="E25" s="330"/>
      <c r="F25" s="330"/>
    </row>
    <row r="26" spans="1:6">
      <c r="A26" s="1293" t="s">
        <v>16</v>
      </c>
      <c r="B26" s="1294">
        <v>909</v>
      </c>
      <c r="C26" s="330"/>
      <c r="D26" s="330"/>
      <c r="E26" s="330"/>
      <c r="F26" s="330"/>
    </row>
    <row r="27" spans="1:6">
      <c r="A27" s="1293" t="s">
        <v>17</v>
      </c>
      <c r="B27" s="1294">
        <v>19</v>
      </c>
      <c r="C27" s="330"/>
      <c r="D27" s="330"/>
      <c r="E27" s="330"/>
      <c r="F27" s="330"/>
    </row>
    <row r="28" spans="1:6" s="43" customFormat="1">
      <c r="A28" s="1295" t="s">
        <v>18</v>
      </c>
      <c r="B28" s="1296">
        <v>517826</v>
      </c>
      <c r="C28" s="336"/>
      <c r="D28" s="336"/>
      <c r="E28" s="336"/>
      <c r="F28" s="336"/>
    </row>
    <row r="29" spans="1:6">
      <c r="A29" s="1295" t="s">
        <v>734</v>
      </c>
      <c r="B29" s="1296">
        <v>189</v>
      </c>
      <c r="C29" s="336"/>
      <c r="D29" s="336"/>
      <c r="E29" s="336"/>
      <c r="F29" s="336"/>
    </row>
    <row r="30" spans="1:6">
      <c r="A30" s="1288" t="s">
        <v>735</v>
      </c>
      <c r="B30" s="1297">
        <v>24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15</v>
      </c>
      <c r="F36" s="1294">
        <v>61054.1072584867</v>
      </c>
    </row>
    <row r="37" spans="1:6">
      <c r="A37" s="1293" t="s">
        <v>24</v>
      </c>
      <c r="B37" s="1293" t="s">
        <v>27</v>
      </c>
      <c r="C37" s="1294">
        <v>0</v>
      </c>
      <c r="D37" s="1294">
        <v>0</v>
      </c>
      <c r="E37" s="1294">
        <v>0</v>
      </c>
      <c r="F37" s="1294">
        <v>0</v>
      </c>
    </row>
    <row r="38" spans="1:6">
      <c r="A38" s="1293" t="s">
        <v>24</v>
      </c>
      <c r="B38" s="1293" t="s">
        <v>28</v>
      </c>
      <c r="C38" s="1294">
        <v>3</v>
      </c>
      <c r="D38" s="1294">
        <v>303748.12652746798</v>
      </c>
      <c r="E38" s="1294">
        <v>3</v>
      </c>
      <c r="F38" s="1294">
        <v>5580</v>
      </c>
    </row>
    <row r="39" spans="1:6">
      <c r="A39" s="1293" t="s">
        <v>29</v>
      </c>
      <c r="B39" s="1293" t="s">
        <v>30</v>
      </c>
      <c r="C39" s="1294">
        <v>10810</v>
      </c>
      <c r="D39" s="1294">
        <v>157892115.30839199</v>
      </c>
      <c r="E39" s="1294">
        <v>14478</v>
      </c>
      <c r="F39" s="1294">
        <v>49509985.744015902</v>
      </c>
    </row>
    <row r="40" spans="1:6">
      <c r="A40" s="1293" t="s">
        <v>29</v>
      </c>
      <c r="B40" s="1293" t="s">
        <v>28</v>
      </c>
      <c r="C40" s="1294">
        <v>0</v>
      </c>
      <c r="D40" s="1294">
        <v>0</v>
      </c>
      <c r="E40" s="1294">
        <v>0</v>
      </c>
      <c r="F40" s="1294">
        <v>0</v>
      </c>
    </row>
    <row r="41" spans="1:6">
      <c r="A41" s="1293" t="s">
        <v>31</v>
      </c>
      <c r="B41" s="1293" t="s">
        <v>32</v>
      </c>
      <c r="C41" s="1294">
        <v>120</v>
      </c>
      <c r="D41" s="1294">
        <v>2331475.6909516598</v>
      </c>
      <c r="E41" s="1294">
        <v>257</v>
      </c>
      <c r="F41" s="1294">
        <v>14937963.328125101</v>
      </c>
    </row>
    <row r="42" spans="1:6">
      <c r="A42" s="1293" t="s">
        <v>31</v>
      </c>
      <c r="B42" s="1293" t="s">
        <v>33</v>
      </c>
      <c r="C42" s="1294">
        <v>5</v>
      </c>
      <c r="D42" s="1294">
        <v>3956159.4302912899</v>
      </c>
      <c r="E42" s="1294">
        <v>6</v>
      </c>
      <c r="F42" s="1294">
        <v>19271201.677390799</v>
      </c>
    </row>
    <row r="43" spans="1:6">
      <c r="A43" s="1293" t="s">
        <v>31</v>
      </c>
      <c r="B43" s="1293" t="s">
        <v>34</v>
      </c>
      <c r="C43" s="1294">
        <v>0</v>
      </c>
      <c r="D43" s="1294">
        <v>0</v>
      </c>
      <c r="E43" s="1294">
        <v>0</v>
      </c>
      <c r="F43" s="1294">
        <v>0</v>
      </c>
    </row>
    <row r="44" spans="1:6">
      <c r="A44" s="1293" t="s">
        <v>31</v>
      </c>
      <c r="B44" s="1293" t="s">
        <v>35</v>
      </c>
      <c r="C44" s="1294">
        <v>17</v>
      </c>
      <c r="D44" s="1294">
        <v>26750932.450392101</v>
      </c>
      <c r="E44" s="1294">
        <v>37</v>
      </c>
      <c r="F44" s="1294">
        <v>5021171.6094052698</v>
      </c>
    </row>
    <row r="45" spans="1:6">
      <c r="A45" s="1293" t="s">
        <v>31</v>
      </c>
      <c r="B45" s="1293" t="s">
        <v>36</v>
      </c>
      <c r="C45" s="1294">
        <v>5</v>
      </c>
      <c r="D45" s="1294">
        <v>269971.57200636202</v>
      </c>
      <c r="E45" s="1294">
        <v>5</v>
      </c>
      <c r="F45" s="1294">
        <v>96025</v>
      </c>
    </row>
    <row r="46" spans="1:6">
      <c r="A46" s="1293" t="s">
        <v>31</v>
      </c>
      <c r="B46" s="1293" t="s">
        <v>37</v>
      </c>
      <c r="C46" s="1294">
        <v>0</v>
      </c>
      <c r="D46" s="1294">
        <v>0</v>
      </c>
      <c r="E46" s="1294">
        <v>0</v>
      </c>
      <c r="F46" s="1294">
        <v>0</v>
      </c>
    </row>
    <row r="47" spans="1:6">
      <c r="A47" s="1293" t="s">
        <v>31</v>
      </c>
      <c r="B47" s="1293" t="s">
        <v>38</v>
      </c>
      <c r="C47" s="1294">
        <v>10</v>
      </c>
      <c r="D47" s="1294">
        <v>168341.729068752</v>
      </c>
      <c r="E47" s="1294">
        <v>12</v>
      </c>
      <c r="F47" s="1294">
        <v>116530.22239248001</v>
      </c>
    </row>
    <row r="48" spans="1:6">
      <c r="A48" s="1293" t="s">
        <v>31</v>
      </c>
      <c r="B48" s="1293" t="s">
        <v>28</v>
      </c>
      <c r="C48" s="1294">
        <v>92</v>
      </c>
      <c r="D48" s="1294">
        <v>217344361.59675601</v>
      </c>
      <c r="E48" s="1294">
        <v>127</v>
      </c>
      <c r="F48" s="1294">
        <v>115151557.306517</v>
      </c>
    </row>
    <row r="49" spans="1:6">
      <c r="A49" s="1293" t="s">
        <v>31</v>
      </c>
      <c r="B49" s="1293" t="s">
        <v>39</v>
      </c>
      <c r="C49" s="1294">
        <v>0</v>
      </c>
      <c r="D49" s="1294">
        <v>0</v>
      </c>
      <c r="E49" s="1294">
        <v>7</v>
      </c>
      <c r="F49" s="1294">
        <v>66608.848066076898</v>
      </c>
    </row>
    <row r="50" spans="1:6">
      <c r="A50" s="1293" t="s">
        <v>31</v>
      </c>
      <c r="B50" s="1293" t="s">
        <v>40</v>
      </c>
      <c r="C50" s="1294">
        <v>33</v>
      </c>
      <c r="D50" s="1294">
        <v>15314297.2259009</v>
      </c>
      <c r="E50" s="1294">
        <v>41</v>
      </c>
      <c r="F50" s="1294">
        <v>7555610.1792973103</v>
      </c>
    </row>
    <row r="51" spans="1:6">
      <c r="A51" s="1293" t="s">
        <v>41</v>
      </c>
      <c r="B51" s="1293" t="s">
        <v>42</v>
      </c>
      <c r="C51" s="1294">
        <v>64</v>
      </c>
      <c r="D51" s="1294">
        <v>1240640.18955909</v>
      </c>
      <c r="E51" s="1294">
        <v>373</v>
      </c>
      <c r="F51" s="1294">
        <v>9681860.3830950502</v>
      </c>
    </row>
    <row r="52" spans="1:6">
      <c r="A52" s="1293" t="s">
        <v>41</v>
      </c>
      <c r="B52" s="1293" t="s">
        <v>28</v>
      </c>
      <c r="C52" s="1294">
        <v>7</v>
      </c>
      <c r="D52" s="1294">
        <v>190730.635015134</v>
      </c>
      <c r="E52" s="1294">
        <v>22</v>
      </c>
      <c r="F52" s="1294">
        <v>508847.373907328</v>
      </c>
    </row>
    <row r="53" spans="1:6">
      <c r="A53" s="1293" t="s">
        <v>43</v>
      </c>
      <c r="B53" s="1293" t="s">
        <v>44</v>
      </c>
      <c r="C53" s="1294">
        <v>356</v>
      </c>
      <c r="D53" s="1294">
        <v>5837402.5034434097</v>
      </c>
      <c r="E53" s="1294">
        <v>609</v>
      </c>
      <c r="F53" s="1294">
        <v>2373946.0493435799</v>
      </c>
    </row>
    <row r="54" spans="1:6">
      <c r="A54" s="1293" t="s">
        <v>45</v>
      </c>
      <c r="B54" s="1293" t="s">
        <v>46</v>
      </c>
      <c r="C54" s="1294">
        <v>0</v>
      </c>
      <c r="D54" s="1294">
        <v>0</v>
      </c>
      <c r="E54" s="1294">
        <v>2</v>
      </c>
      <c r="F54" s="1294">
        <v>2812646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134</v>
      </c>
      <c r="D57" s="1294">
        <v>9243786.2118224297</v>
      </c>
      <c r="E57" s="1294">
        <v>215</v>
      </c>
      <c r="F57" s="1294">
        <v>8637301.7655764297</v>
      </c>
    </row>
    <row r="58" spans="1:6">
      <c r="A58" s="1293" t="s">
        <v>48</v>
      </c>
      <c r="B58" s="1293" t="s">
        <v>50</v>
      </c>
      <c r="C58" s="1294">
        <v>140</v>
      </c>
      <c r="D58" s="1294">
        <v>26288748.2690074</v>
      </c>
      <c r="E58" s="1294">
        <v>172</v>
      </c>
      <c r="F58" s="1294">
        <v>14407181.360421499</v>
      </c>
    </row>
    <row r="59" spans="1:6">
      <c r="A59" s="1293" t="s">
        <v>48</v>
      </c>
      <c r="B59" s="1293" t="s">
        <v>51</v>
      </c>
      <c r="C59" s="1294">
        <v>290</v>
      </c>
      <c r="D59" s="1294">
        <v>11625980.386540201</v>
      </c>
      <c r="E59" s="1294">
        <v>548</v>
      </c>
      <c r="F59" s="1294">
        <v>16779159.554630399</v>
      </c>
    </row>
    <row r="60" spans="1:6">
      <c r="A60" s="1293" t="s">
        <v>48</v>
      </c>
      <c r="B60" s="1293" t="s">
        <v>52</v>
      </c>
      <c r="C60" s="1294">
        <v>217</v>
      </c>
      <c r="D60" s="1294">
        <v>15411199.3170559</v>
      </c>
      <c r="E60" s="1294">
        <v>258</v>
      </c>
      <c r="F60" s="1294">
        <v>7760564.8066935502</v>
      </c>
    </row>
    <row r="61" spans="1:6">
      <c r="A61" s="1293" t="s">
        <v>48</v>
      </c>
      <c r="B61" s="1293" t="s">
        <v>53</v>
      </c>
      <c r="C61" s="1294">
        <v>371</v>
      </c>
      <c r="D61" s="1294">
        <v>18742987.2989235</v>
      </c>
      <c r="E61" s="1294">
        <v>891</v>
      </c>
      <c r="F61" s="1294">
        <v>13469488.7690266</v>
      </c>
    </row>
    <row r="62" spans="1:6">
      <c r="A62" s="1293" t="s">
        <v>48</v>
      </c>
      <c r="B62" s="1293" t="s">
        <v>54</v>
      </c>
      <c r="C62" s="1294">
        <v>30</v>
      </c>
      <c r="D62" s="1294">
        <v>1309346.95897154</v>
      </c>
      <c r="E62" s="1294">
        <v>36</v>
      </c>
      <c r="F62" s="1294">
        <v>516349.03877618501</v>
      </c>
    </row>
    <row r="63" spans="1:6">
      <c r="A63" s="1293" t="s">
        <v>48</v>
      </c>
      <c r="B63" s="1293" t="s">
        <v>28</v>
      </c>
      <c r="C63" s="1294">
        <v>259</v>
      </c>
      <c r="D63" s="1294">
        <v>14984886.348138001</v>
      </c>
      <c r="E63" s="1294">
        <v>325</v>
      </c>
      <c r="F63" s="1294">
        <v>16310914.535151901</v>
      </c>
    </row>
    <row r="64" spans="1:6">
      <c r="A64" s="1293" t="s">
        <v>55</v>
      </c>
      <c r="B64" s="1293" t="s">
        <v>56</v>
      </c>
      <c r="C64" s="1294">
        <v>0</v>
      </c>
      <c r="D64" s="1294">
        <v>0</v>
      </c>
      <c r="E64" s="1294">
        <v>0</v>
      </c>
      <c r="F64" s="1294">
        <v>0</v>
      </c>
    </row>
    <row r="65" spans="1:6">
      <c r="A65" s="1293" t="s">
        <v>55</v>
      </c>
      <c r="B65" s="1293" t="s">
        <v>28</v>
      </c>
      <c r="C65" s="1294">
        <v>9</v>
      </c>
      <c r="D65" s="1294">
        <v>13734093.3869249</v>
      </c>
      <c r="E65" s="1294">
        <v>14</v>
      </c>
      <c r="F65" s="1294">
        <v>1901142.8742839501</v>
      </c>
    </row>
    <row r="66" spans="1:6">
      <c r="A66" s="1293" t="s">
        <v>55</v>
      </c>
      <c r="B66" s="1293" t="s">
        <v>57</v>
      </c>
      <c r="C66" s="1294">
        <v>0</v>
      </c>
      <c r="D66" s="1294">
        <v>0</v>
      </c>
      <c r="E66" s="1294">
        <v>22</v>
      </c>
      <c r="F66" s="1294">
        <v>531542.35983431805</v>
      </c>
    </row>
    <row r="67" spans="1:6">
      <c r="A67" s="1295" t="s">
        <v>55</v>
      </c>
      <c r="B67" s="1295" t="s">
        <v>58</v>
      </c>
      <c r="C67" s="1294">
        <v>0</v>
      </c>
      <c r="D67" s="1294">
        <v>0</v>
      </c>
      <c r="E67" s="1294">
        <v>0</v>
      </c>
      <c r="F67" s="1294">
        <v>0</v>
      </c>
    </row>
    <row r="68" spans="1:6">
      <c r="A68" s="1288" t="s">
        <v>55</v>
      </c>
      <c r="B68" s="1288" t="s">
        <v>59</v>
      </c>
      <c r="C68" s="1297">
        <v>8</v>
      </c>
      <c r="D68" s="1297">
        <v>321157.247403735</v>
      </c>
      <c r="E68" s="1297">
        <v>23</v>
      </c>
      <c r="F68" s="1297">
        <v>536334.76456376398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183333207</v>
      </c>
      <c r="E73" s="449"/>
      <c r="F73" s="330"/>
    </row>
    <row r="74" spans="1:6">
      <c r="A74" s="1293" t="s">
        <v>63</v>
      </c>
      <c r="B74" s="1293" t="s">
        <v>656</v>
      </c>
      <c r="C74" s="1307" t="s">
        <v>658</v>
      </c>
      <c r="D74" s="1308">
        <v>24119490.5</v>
      </c>
      <c r="E74" s="449"/>
      <c r="F74" s="330"/>
    </row>
    <row r="75" spans="1:6">
      <c r="A75" s="1293" t="s">
        <v>64</v>
      </c>
      <c r="B75" s="1293" t="s">
        <v>655</v>
      </c>
      <c r="C75" s="1307" t="s">
        <v>659</v>
      </c>
      <c r="D75" s="1308">
        <v>39527041</v>
      </c>
      <c r="E75" s="449"/>
      <c r="F75" s="330"/>
    </row>
    <row r="76" spans="1:6">
      <c r="A76" s="1293" t="s">
        <v>64</v>
      </c>
      <c r="B76" s="1293" t="s">
        <v>656</v>
      </c>
      <c r="C76" s="1307" t="s">
        <v>660</v>
      </c>
      <c r="D76" s="1308">
        <v>2438975.5</v>
      </c>
      <c r="E76" s="449"/>
      <c r="F76" s="330"/>
    </row>
    <row r="77" spans="1:6">
      <c r="A77" s="1293" t="s">
        <v>65</v>
      </c>
      <c r="B77" s="1293" t="s">
        <v>655</v>
      </c>
      <c r="C77" s="1307" t="s">
        <v>661</v>
      </c>
      <c r="D77" s="1308">
        <v>8184455</v>
      </c>
      <c r="E77" s="449"/>
      <c r="F77" s="330"/>
    </row>
    <row r="78" spans="1:6">
      <c r="A78" s="1288" t="s">
        <v>65</v>
      </c>
      <c r="B78" s="1288" t="s">
        <v>656</v>
      </c>
      <c r="C78" s="1288" t="s">
        <v>662</v>
      </c>
      <c r="D78" s="1309">
        <v>1525563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987181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35654.676192770887</v>
      </c>
      <c r="C90" s="330"/>
      <c r="D90" s="330"/>
      <c r="E90" s="330"/>
      <c r="F90" s="330"/>
    </row>
    <row r="91" spans="1:6">
      <c r="A91" s="1293" t="s">
        <v>67</v>
      </c>
      <c r="B91" s="1294">
        <v>7321.2272005163159</v>
      </c>
      <c r="C91" s="330"/>
      <c r="D91" s="330"/>
      <c r="E91" s="330"/>
      <c r="F91" s="330"/>
    </row>
    <row r="92" spans="1:6">
      <c r="A92" s="1288" t="s">
        <v>68</v>
      </c>
      <c r="B92" s="1289">
        <v>8482.5301608904883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7879</v>
      </c>
      <c r="C97" s="330"/>
      <c r="D97" s="330"/>
      <c r="E97" s="330"/>
      <c r="F97" s="330"/>
    </row>
    <row r="98" spans="1:6">
      <c r="A98" s="1293" t="s">
        <v>71</v>
      </c>
      <c r="B98" s="1294">
        <v>2</v>
      </c>
      <c r="C98" s="330"/>
      <c r="D98" s="330"/>
      <c r="E98" s="330"/>
      <c r="F98" s="330"/>
    </row>
    <row r="99" spans="1:6">
      <c r="A99" s="1293" t="s">
        <v>72</v>
      </c>
      <c r="B99" s="1294">
        <v>295</v>
      </c>
      <c r="C99" s="330"/>
      <c r="D99" s="330"/>
      <c r="E99" s="330"/>
      <c r="F99" s="330"/>
    </row>
    <row r="100" spans="1:6">
      <c r="A100" s="1293" t="s">
        <v>73</v>
      </c>
      <c r="B100" s="1294">
        <v>1386</v>
      </c>
      <c r="C100" s="330"/>
      <c r="D100" s="330"/>
      <c r="E100" s="330"/>
      <c r="F100" s="330"/>
    </row>
    <row r="101" spans="1:6">
      <c r="A101" s="1293" t="s">
        <v>74</v>
      </c>
      <c r="B101" s="1294">
        <v>247</v>
      </c>
      <c r="C101" s="330"/>
      <c r="D101" s="330"/>
      <c r="E101" s="330"/>
      <c r="F101" s="330"/>
    </row>
    <row r="102" spans="1:6">
      <c r="A102" s="1293" t="s">
        <v>75</v>
      </c>
      <c r="B102" s="1294">
        <v>262</v>
      </c>
      <c r="C102" s="330"/>
      <c r="D102" s="330"/>
      <c r="E102" s="330"/>
      <c r="F102" s="330"/>
    </row>
    <row r="103" spans="1:6">
      <c r="A103" s="1293" t="s">
        <v>76</v>
      </c>
      <c r="B103" s="1294">
        <v>465</v>
      </c>
      <c r="C103" s="330"/>
      <c r="D103" s="330"/>
      <c r="E103" s="330"/>
      <c r="F103" s="330"/>
    </row>
    <row r="104" spans="1:6">
      <c r="A104" s="1293" t="s">
        <v>77</v>
      </c>
      <c r="B104" s="1294">
        <v>3046</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31</v>
      </c>
      <c r="C123" s="1294">
        <v>43</v>
      </c>
      <c r="D123" s="330"/>
      <c r="E123" s="330"/>
      <c r="F123" s="330"/>
    </row>
    <row r="124" spans="1:6" s="43" customFormat="1">
      <c r="A124" s="1295" t="s">
        <v>88</v>
      </c>
      <c r="B124" s="1316">
        <v>3</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477</v>
      </c>
      <c r="C129" s="330"/>
      <c r="D129" s="330"/>
      <c r="E129" s="330"/>
      <c r="F129" s="330"/>
    </row>
    <row r="130" spans="1:6">
      <c r="A130" s="1293" t="s">
        <v>294</v>
      </c>
      <c r="B130" s="1294">
        <v>9</v>
      </c>
      <c r="C130" s="330"/>
      <c r="D130" s="330"/>
      <c r="E130" s="330"/>
      <c r="F130" s="330"/>
    </row>
    <row r="131" spans="1:6">
      <c r="A131" s="1293" t="s">
        <v>295</v>
      </c>
      <c r="B131" s="1294">
        <v>5</v>
      </c>
      <c r="C131" s="330"/>
      <c r="D131" s="330"/>
      <c r="E131" s="330"/>
      <c r="F131" s="330"/>
    </row>
    <row r="132" spans="1:6">
      <c r="A132" s="1288" t="s">
        <v>296</v>
      </c>
      <c r="B132" s="1289">
        <v>30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334307.41037371592</v>
      </c>
      <c r="C3" s="43" t="s">
        <v>169</v>
      </c>
      <c r="D3" s="43"/>
      <c r="E3" s="154"/>
      <c r="F3" s="43"/>
      <c r="G3" s="43"/>
      <c r="H3" s="43"/>
      <c r="I3" s="43"/>
      <c r="J3" s="43"/>
      <c r="K3" s="96"/>
    </row>
    <row r="4" spans="1:11">
      <c r="A4" s="358" t="s">
        <v>170</v>
      </c>
      <c r="B4" s="49">
        <f>IF(ISERROR('SEAP template'!B78+'SEAP template'!C78),0,'SEAP template'!B78+'SEAP template'!C78)</f>
        <v>82793.808554177682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299.43529411764717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0.16716333399180111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427.76470588235304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39621.96428571429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1.0796150912603384E-2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2812.6460000000002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2812.6460000000002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0.16716333399180111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470.17128269870346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49509.985744015903</v>
      </c>
      <c r="C5" s="17">
        <f>IF(ISERROR('Eigen informatie GS &amp; warmtenet'!B57),0,'Eigen informatie GS &amp; warmtenet'!B57)</f>
        <v>0</v>
      </c>
      <c r="D5" s="30">
        <f>(SUM(HH_hh_gas_kWh,HH_rest_gas_kWh)/1000)*0.902</f>
        <v>142418.68800816956</v>
      </c>
      <c r="E5" s="17">
        <f>B46*B57</f>
        <v>30363.860282854428</v>
      </c>
      <c r="F5" s="17">
        <f>B51*B62</f>
        <v>8512.7748190872899</v>
      </c>
      <c r="G5" s="18"/>
      <c r="H5" s="17"/>
      <c r="I5" s="17"/>
      <c r="J5" s="17">
        <f>B50*B61+C50*C61</f>
        <v>2328.02295784333</v>
      </c>
      <c r="K5" s="17"/>
      <c r="L5" s="17"/>
      <c r="M5" s="17"/>
      <c r="N5" s="17">
        <f>B48*B59+C48*C59</f>
        <v>35040.323686894153</v>
      </c>
      <c r="O5" s="17">
        <f>B69*B70*B71</f>
        <v>816.06000000000006</v>
      </c>
      <c r="P5" s="17">
        <f>B77*B78*B79/1000-B77*B78*B79/1000/B80</f>
        <v>1220.2666666666667</v>
      </c>
    </row>
    <row r="6" spans="1:16">
      <c r="A6" s="16" t="s">
        <v>620</v>
      </c>
      <c r="B6" s="762">
        <f>kWh_PV_kleiner_dan_10kW</f>
        <v>7321.2272005163159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56831.212944532221</v>
      </c>
      <c r="C8" s="21">
        <f>C5</f>
        <v>0</v>
      </c>
      <c r="D8" s="21">
        <f>D5</f>
        <v>142418.68800816956</v>
      </c>
      <c r="E8" s="21">
        <f>E5</f>
        <v>30363.860282854428</v>
      </c>
      <c r="F8" s="21">
        <f>F5</f>
        <v>8512.7748190872899</v>
      </c>
      <c r="G8" s="21"/>
      <c r="H8" s="21"/>
      <c r="I8" s="21"/>
      <c r="J8" s="21">
        <f>J5</f>
        <v>2328.02295784333</v>
      </c>
      <c r="K8" s="21"/>
      <c r="L8" s="21">
        <f>L5</f>
        <v>0</v>
      </c>
      <c r="M8" s="21">
        <f>M5</f>
        <v>0</v>
      </c>
      <c r="N8" s="21">
        <f>N5</f>
        <v>35040.323686894153</v>
      </c>
      <c r="O8" s="21">
        <f>O5</f>
        <v>816.06000000000006</v>
      </c>
      <c r="P8" s="21">
        <f>P5</f>
        <v>1220.2666666666667</v>
      </c>
    </row>
    <row r="9" spans="1:16">
      <c r="B9" s="19"/>
      <c r="C9" s="19"/>
      <c r="D9" s="258"/>
      <c r="E9" s="19"/>
      <c r="F9" s="19"/>
      <c r="G9" s="19"/>
      <c r="H9" s="19"/>
      <c r="I9" s="19"/>
      <c r="J9" s="19"/>
      <c r="K9" s="19"/>
      <c r="L9" s="19"/>
      <c r="M9" s="19"/>
      <c r="N9" s="19"/>
      <c r="O9" s="19"/>
      <c r="P9" s="19"/>
    </row>
    <row r="10" spans="1:16">
      <c r="A10" s="24" t="s">
        <v>213</v>
      </c>
      <c r="B10" s="25">
        <f ca="1">'EF ele_warmte'!B12</f>
        <v>0.16716333399180111</v>
      </c>
      <c r="C10" s="25">
        <f ca="1">'EF ele_warmte'!B22</f>
        <v>1.0796150912603384E-2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9500.0950306060095</v>
      </c>
      <c r="C12" s="23">
        <f ca="1">C10*C8</f>
        <v>0</v>
      </c>
      <c r="D12" s="23">
        <f>D8*D10</f>
        <v>28768.574977650253</v>
      </c>
      <c r="E12" s="23">
        <f>E10*E8</f>
        <v>6892.5962842079553</v>
      </c>
      <c r="F12" s="23">
        <f>F10*F8</f>
        <v>2272.9108766963063</v>
      </c>
      <c r="G12" s="23"/>
      <c r="H12" s="23"/>
      <c r="I12" s="23"/>
      <c r="J12" s="23">
        <f>J10*J8</f>
        <v>824.12012707653878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7879</v>
      </c>
      <c r="C18" s="166" t="s">
        <v>110</v>
      </c>
      <c r="D18" s="228"/>
      <c r="E18" s="15"/>
    </row>
    <row r="19" spans="1:7">
      <c r="A19" s="171" t="s">
        <v>71</v>
      </c>
      <c r="B19" s="37">
        <f>aantalw2001_ander</f>
        <v>2</v>
      </c>
      <c r="C19" s="166" t="s">
        <v>110</v>
      </c>
      <c r="D19" s="229"/>
      <c r="E19" s="15"/>
    </row>
    <row r="20" spans="1:7">
      <c r="A20" s="171" t="s">
        <v>72</v>
      </c>
      <c r="B20" s="37">
        <f>aantalw2001_propaan</f>
        <v>295</v>
      </c>
      <c r="C20" s="167">
        <f>IF(ISERROR(B20/SUM($B$20,$B$21,$B$22)*100),0,B20/SUM($B$20,$B$21,$B$22)*100)</f>
        <v>15.300829875518673</v>
      </c>
      <c r="D20" s="229"/>
      <c r="E20" s="15"/>
    </row>
    <row r="21" spans="1:7">
      <c r="A21" s="171" t="s">
        <v>73</v>
      </c>
      <c r="B21" s="37">
        <f>aantalw2001_elektriciteit</f>
        <v>1386</v>
      </c>
      <c r="C21" s="167">
        <f>IF(ISERROR(B21/SUM($B$20,$B$21,$B$22)*100),0,B21/SUM($B$20,$B$21,$B$22)*100)</f>
        <v>71.887966804979257</v>
      </c>
      <c r="D21" s="229"/>
      <c r="E21" s="15"/>
    </row>
    <row r="22" spans="1:7">
      <c r="A22" s="171" t="s">
        <v>74</v>
      </c>
      <c r="B22" s="37">
        <f>aantalw2001_hout</f>
        <v>247</v>
      </c>
      <c r="C22" s="167">
        <f>IF(ISERROR(B22/SUM($B$20,$B$21,$B$22)*100),0,B22/SUM($B$20,$B$21,$B$22)*100)</f>
        <v>12.811203319502074</v>
      </c>
      <c r="D22" s="229"/>
      <c r="E22" s="15"/>
    </row>
    <row r="23" spans="1:7">
      <c r="A23" s="171" t="s">
        <v>75</v>
      </c>
      <c r="B23" s="37">
        <f>aantalw2001_niet_gespec</f>
        <v>262</v>
      </c>
      <c r="C23" s="166" t="s">
        <v>110</v>
      </c>
      <c r="D23" s="228"/>
      <c r="E23" s="15"/>
    </row>
    <row r="24" spans="1:7">
      <c r="A24" s="171" t="s">
        <v>76</v>
      </c>
      <c r="B24" s="37">
        <f>aantalw2001_steenkool</f>
        <v>465</v>
      </c>
      <c r="C24" s="166" t="s">
        <v>110</v>
      </c>
      <c r="D24" s="229"/>
      <c r="E24" s="15"/>
    </row>
    <row r="25" spans="1:7">
      <c r="A25" s="171" t="s">
        <v>77</v>
      </c>
      <c r="B25" s="37">
        <f>aantalw2001_stookolie</f>
        <v>3046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15207</v>
      </c>
      <c r="C28" s="36"/>
      <c r="D28" s="228"/>
    </row>
    <row r="29" spans="1:7" s="15" customFormat="1">
      <c r="A29" s="230" t="s">
        <v>781</v>
      </c>
      <c r="B29" s="37">
        <f>SUM(HH_hh_gas_aantal,HH_rest_gas_aantal)</f>
        <v>10810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10810</v>
      </c>
      <c r="C32" s="167">
        <f>IF(ISERROR(B32/SUM($B$32,$B$34,$B$35,$B$36,$B$38,$B$39)*100),0,B32/SUM($B$32,$B$34,$B$35,$B$36,$B$38,$B$39)*100)</f>
        <v>71.38611899887735</v>
      </c>
      <c r="D32" s="233"/>
      <c r="G32" s="15"/>
    </row>
    <row r="33" spans="1:7">
      <c r="A33" s="171" t="s">
        <v>71</v>
      </c>
      <c r="B33" s="34" t="s">
        <v>110</v>
      </c>
      <c r="C33" s="167"/>
      <c r="D33" s="233"/>
      <c r="G33" s="15"/>
    </row>
    <row r="34" spans="1:7">
      <c r="A34" s="171" t="s">
        <v>72</v>
      </c>
      <c r="B34" s="33">
        <f>IF((($B$28-$B$32-$B$39-$B$77-$B$38)*C20/100)&lt;0,0,($B$28-$B$32-$B$39-$B$77-$B$38)*C20/100)</f>
        <v>574.24014522821574</v>
      </c>
      <c r="C34" s="167">
        <f>IF(ISERROR(B34/SUM($B$32,$B$34,$B$35,$B$36,$B$38,$B$39)*100),0,B34/SUM($B$32,$B$34,$B$35,$B$36,$B$38,$B$39)*100)</f>
        <v>3.7921161277700302</v>
      </c>
      <c r="D34" s="233"/>
      <c r="G34" s="15"/>
    </row>
    <row r="35" spans="1:7">
      <c r="A35" s="171" t="s">
        <v>73</v>
      </c>
      <c r="B35" s="33">
        <f>IF((($B$28-$B$32-$B$39-$B$77-$B$38)*C21/100)&lt;0,0,($B$28-$B$32-$B$39-$B$77-$B$38)*C21/100)</f>
        <v>2697.9553941908716</v>
      </c>
      <c r="C35" s="167">
        <f>IF(ISERROR(B35/SUM($B$32,$B$34,$B$35,$B$36,$B$38,$B$39)*100),0,B35/SUM($B$32,$B$34,$B$35,$B$36,$B$38,$B$39)*100)</f>
        <v>17.816518485048345</v>
      </c>
      <c r="D35" s="233"/>
      <c r="G35" s="15"/>
    </row>
    <row r="36" spans="1:7">
      <c r="A36" s="171" t="s">
        <v>74</v>
      </c>
      <c r="B36" s="33">
        <f>IF((($B$28-$B$32-$B$39-$B$77-$B$38)*C22/100)&lt;0,0,($B$28-$B$32-$B$39-$B$77-$B$38)*C22/100)</f>
        <v>480.80446058091286</v>
      </c>
      <c r="C36" s="167">
        <f>IF(ISERROR(B36/SUM($B$32,$B$34,$B$35,$B$36,$B$38,$B$39)*100),0,B36/SUM($B$32,$B$34,$B$35,$B$36,$B$38,$B$39)*100)</f>
        <v>3.1750938425735509</v>
      </c>
      <c r="D36" s="233"/>
      <c r="G36" s="15"/>
    </row>
    <row r="37" spans="1:7">
      <c r="A37" s="171" t="s">
        <v>75</v>
      </c>
      <c r="B37" s="34" t="s">
        <v>110</v>
      </c>
      <c r="C37" s="167"/>
      <c r="D37" s="173"/>
      <c r="G37" s="15"/>
    </row>
    <row r="38" spans="1:7">
      <c r="A38" s="171" t="s">
        <v>76</v>
      </c>
      <c r="B38" s="33">
        <f>IF((B24-(B29-B18)*0.1)&lt;0,0,B24-(B29-B18)*0.1)</f>
        <v>171.89999999999998</v>
      </c>
      <c r="C38" s="167">
        <f>IF(ISERROR(B38/SUM($B$32,$B$34,$B$35,$B$36,$B$38,$B$39)*100),0,B38/SUM($B$32,$B$34,$B$35,$B$36,$B$38,$B$39)*100)</f>
        <v>1.1351779700191504</v>
      </c>
      <c r="D38" s="234"/>
      <c r="G38" s="15"/>
    </row>
    <row r="39" spans="1:7">
      <c r="A39" s="171" t="s">
        <v>77</v>
      </c>
      <c r="B39" s="33">
        <f>IF((B25-(B29-B18))&lt;0,0,B25-(B29-B18)*0.9)</f>
        <v>408.09999999999991</v>
      </c>
      <c r="C39" s="167">
        <f>IF(ISERROR(B39/SUM($B$32,$B$34,$B$35,$B$36,$B$38,$B$39)*100),0,B39/SUM($B$32,$B$34,$B$35,$B$36,$B$38,$B$39)*100)</f>
        <v>2.6949745757115489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10810</v>
      </c>
      <c r="C44" s="34" t="s">
        <v>110</v>
      </c>
      <c r="D44" s="174"/>
    </row>
    <row r="45" spans="1:7">
      <c r="A45" s="171" t="s">
        <v>71</v>
      </c>
      <c r="B45" s="33" t="str">
        <f t="shared" si="0"/>
        <v>-</v>
      </c>
      <c r="C45" s="34" t="s">
        <v>110</v>
      </c>
      <c r="D45" s="174"/>
    </row>
    <row r="46" spans="1:7">
      <c r="A46" s="171" t="s">
        <v>72</v>
      </c>
      <c r="B46" s="33">
        <f t="shared" si="0"/>
        <v>574.24014522821574</v>
      </c>
      <c r="C46" s="34" t="s">
        <v>110</v>
      </c>
      <c r="D46" s="174"/>
    </row>
    <row r="47" spans="1:7">
      <c r="A47" s="171" t="s">
        <v>73</v>
      </c>
      <c r="B47" s="33">
        <f t="shared" si="0"/>
        <v>2697.9553941908716</v>
      </c>
      <c r="C47" s="34" t="s">
        <v>110</v>
      </c>
      <c r="D47" s="174"/>
    </row>
    <row r="48" spans="1:7">
      <c r="A48" s="171" t="s">
        <v>74</v>
      </c>
      <c r="B48" s="33">
        <f t="shared" si="0"/>
        <v>480.80446058091286</v>
      </c>
      <c r="C48" s="33">
        <f>B48*10</f>
        <v>4808.0446058091284</v>
      </c>
      <c r="D48" s="234"/>
    </row>
    <row r="49" spans="1:6">
      <c r="A49" s="171" t="s">
        <v>75</v>
      </c>
      <c r="B49" s="33" t="str">
        <f t="shared" si="0"/>
        <v>-</v>
      </c>
      <c r="C49" s="34" t="s">
        <v>110</v>
      </c>
      <c r="D49" s="234"/>
    </row>
    <row r="50" spans="1:6">
      <c r="A50" s="171" t="s">
        <v>76</v>
      </c>
      <c r="B50" s="33">
        <f t="shared" si="0"/>
        <v>171.89999999999998</v>
      </c>
      <c r="C50" s="33">
        <f>B50*2</f>
        <v>343.79999999999995</v>
      </c>
      <c r="D50" s="234"/>
    </row>
    <row r="51" spans="1:6">
      <c r="A51" s="171" t="s">
        <v>77</v>
      </c>
      <c r="B51" s="33">
        <f t="shared" si="0"/>
        <v>408.09999999999991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522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77880.959830276552</v>
      </c>
      <c r="C5" s="17">
        <f>IF(ISERROR('Eigen informatie GS &amp; warmtenet'!B58),0,'Eigen informatie GS &amp; warmtenet'!B58)</f>
        <v>0</v>
      </c>
      <c r="D5" s="30">
        <f>SUM(D6:D12)</f>
        <v>88041.455180993988</v>
      </c>
      <c r="E5" s="17">
        <f>SUM(E6:E12)</f>
        <v>941.3293767965979</v>
      </c>
      <c r="F5" s="17">
        <f>SUM(F6:F12)</f>
        <v>13549.832618189885</v>
      </c>
      <c r="G5" s="18"/>
      <c r="H5" s="17"/>
      <c r="I5" s="17"/>
      <c r="J5" s="17">
        <f>SUM(J6:J12)</f>
        <v>0.22697925522017001</v>
      </c>
      <c r="K5" s="17"/>
      <c r="L5" s="17"/>
      <c r="M5" s="17"/>
      <c r="N5" s="17">
        <f>SUM(N6:N12)</f>
        <v>9176.6421129425507</v>
      </c>
      <c r="O5" s="17">
        <f>B38*B39*B40</f>
        <v>14.070000000000002</v>
      </c>
      <c r="P5" s="17">
        <f>B46*B47*B48/1000-B46*B47*B48/1000/B49</f>
        <v>114.4</v>
      </c>
      <c r="R5" s="32"/>
    </row>
    <row r="6" spans="1:18">
      <c r="A6" s="32" t="s">
        <v>53</v>
      </c>
      <c r="B6" s="37">
        <f>B26</f>
        <v>13469.4887690266</v>
      </c>
      <c r="C6" s="33"/>
      <c r="D6" s="37">
        <f>IF(ISERROR(TER_kantoor_gas_kWh/1000),0,TER_kantoor_gas_kWh/1000)*0.902</f>
        <v>16906.174543628997</v>
      </c>
      <c r="E6" s="33">
        <f>$C$26*'E Balans VL '!I12/100/3.6*1000000</f>
        <v>8.4422275722477833E-2</v>
      </c>
      <c r="F6" s="33">
        <f>$C$26*('E Balans VL '!L12+'E Balans VL '!N12)/100/3.6*1000000</f>
        <v>2024.0877885723432</v>
      </c>
      <c r="G6" s="34"/>
      <c r="H6" s="33"/>
      <c r="I6" s="33"/>
      <c r="J6" s="33">
        <f>$C$26*('E Balans VL '!D12+'E Balans VL '!E12)/100/3.6*1000000</f>
        <v>0</v>
      </c>
      <c r="K6" s="33"/>
      <c r="L6" s="33"/>
      <c r="M6" s="33"/>
      <c r="N6" s="33">
        <f>$C$26*'E Balans VL '!Y12/100/3.6*1000000</f>
        <v>12.881568936697057</v>
      </c>
      <c r="O6" s="33"/>
      <c r="P6" s="33"/>
      <c r="R6" s="32"/>
    </row>
    <row r="7" spans="1:18">
      <c r="A7" s="32" t="s">
        <v>52</v>
      </c>
      <c r="B7" s="37">
        <f t="shared" ref="B7:B12" si="0">B27</f>
        <v>7760.5648066935501</v>
      </c>
      <c r="C7" s="33"/>
      <c r="D7" s="37">
        <f>IF(ISERROR(TER_horeca_gas_kWh/1000),0,TER_horeca_gas_kWh/1000)*0.902</f>
        <v>13900.901783984422</v>
      </c>
      <c r="E7" s="33">
        <f>$C$27*'E Balans VL '!I9/100/3.6*1000000</f>
        <v>111.12999536852182</v>
      </c>
      <c r="F7" s="33">
        <f>$C$27*('E Balans VL '!L9+'E Balans VL '!N9)/100/3.6*1000000</f>
        <v>982.74345781554996</v>
      </c>
      <c r="G7" s="34"/>
      <c r="H7" s="33"/>
      <c r="I7" s="33"/>
      <c r="J7" s="33">
        <f>$C$27*('E Balans VL '!D9+'E Balans VL '!E9)/100/3.6*1000000</f>
        <v>0</v>
      </c>
      <c r="K7" s="33"/>
      <c r="L7" s="33"/>
      <c r="M7" s="33"/>
      <c r="N7" s="33">
        <f>$C$27*'E Balans VL '!Y9/100/3.6*1000000</f>
        <v>2.2309912761580697</v>
      </c>
      <c r="O7" s="33"/>
      <c r="P7" s="33"/>
      <c r="R7" s="32"/>
    </row>
    <row r="8" spans="1:18">
      <c r="A8" s="6" t="s">
        <v>51</v>
      </c>
      <c r="B8" s="37">
        <f t="shared" si="0"/>
        <v>16779.159554630398</v>
      </c>
      <c r="C8" s="33"/>
      <c r="D8" s="37">
        <f>IF(ISERROR(TER_handel_gas_kWh/1000),0,TER_handel_gas_kWh/1000)*0.902</f>
        <v>10486.634308659262</v>
      </c>
      <c r="E8" s="33">
        <f>$C$28*'E Balans VL '!I13/100/3.6*1000000</f>
        <v>608.57804793318769</v>
      </c>
      <c r="F8" s="33">
        <f>$C$28*('E Balans VL '!L13+'E Balans VL '!N13)/100/3.6*1000000</f>
        <v>3231.8360300141971</v>
      </c>
      <c r="G8" s="34"/>
      <c r="H8" s="33"/>
      <c r="I8" s="33"/>
      <c r="J8" s="33">
        <f>$C$28*('E Balans VL '!D13+'E Balans VL '!E13)/100/3.6*1000000</f>
        <v>0</v>
      </c>
      <c r="K8" s="33"/>
      <c r="L8" s="33"/>
      <c r="M8" s="33"/>
      <c r="N8" s="33">
        <f>$C$28*'E Balans VL '!Y13/100/3.6*1000000</f>
        <v>23.242996695594005</v>
      </c>
      <c r="O8" s="33"/>
      <c r="P8" s="33"/>
      <c r="R8" s="32"/>
    </row>
    <row r="9" spans="1:18">
      <c r="A9" s="32" t="s">
        <v>50</v>
      </c>
      <c r="B9" s="37">
        <f t="shared" si="0"/>
        <v>14407.181360421499</v>
      </c>
      <c r="C9" s="33"/>
      <c r="D9" s="37">
        <f>IF(ISERROR(TER_gezond_gas_kWh/1000),0,TER_gezond_gas_kWh/1000)*0.902</f>
        <v>23712.450938644673</v>
      </c>
      <c r="E9" s="33">
        <f>$C$29*'E Balans VL '!I10/100/3.6*1000000</f>
        <v>0.90203179838023539</v>
      </c>
      <c r="F9" s="33">
        <f>$C$29*('E Balans VL '!L10+'E Balans VL '!N10)/100/3.6*1000000</f>
        <v>2140.2306567803089</v>
      </c>
      <c r="G9" s="34"/>
      <c r="H9" s="33"/>
      <c r="I9" s="33"/>
      <c r="J9" s="33">
        <f>$C$29*('E Balans VL '!D10+'E Balans VL '!E10)/100/3.6*1000000</f>
        <v>0</v>
      </c>
      <c r="K9" s="33"/>
      <c r="L9" s="33"/>
      <c r="M9" s="33"/>
      <c r="N9" s="33">
        <f>$C$29*'E Balans VL '!Y10/100/3.6*1000000</f>
        <v>222.85167145716872</v>
      </c>
      <c r="O9" s="33"/>
      <c r="P9" s="33"/>
      <c r="R9" s="32"/>
    </row>
    <row r="10" spans="1:18">
      <c r="A10" s="32" t="s">
        <v>49</v>
      </c>
      <c r="B10" s="37">
        <f t="shared" si="0"/>
        <v>8637.3017655764288</v>
      </c>
      <c r="C10" s="33"/>
      <c r="D10" s="37">
        <f>IF(ISERROR(TER_ander_gas_kWh/1000),0,TER_ander_gas_kWh/1000)*0.902</f>
        <v>8337.8951630638312</v>
      </c>
      <c r="E10" s="33">
        <f>$C$30*'E Balans VL '!I14/100/3.6*1000000</f>
        <v>10.295355059553847</v>
      </c>
      <c r="F10" s="33">
        <f>$C$30*('E Balans VL '!L14+'E Balans VL '!N14)/100/3.6*1000000</f>
        <v>2259.9021261519597</v>
      </c>
      <c r="G10" s="34"/>
      <c r="H10" s="33"/>
      <c r="I10" s="33"/>
      <c r="J10" s="33">
        <f>$C$30*('E Balans VL '!D14+'E Balans VL '!E14)/100/3.6*1000000</f>
        <v>0.18748196404260925</v>
      </c>
      <c r="K10" s="33"/>
      <c r="L10" s="33"/>
      <c r="M10" s="33"/>
      <c r="N10" s="33">
        <f>$C$30*'E Balans VL '!Y14/100/3.6*1000000</f>
        <v>7334.5853075282885</v>
      </c>
      <c r="O10" s="33"/>
      <c r="P10" s="33"/>
      <c r="R10" s="32"/>
    </row>
    <row r="11" spans="1:18">
      <c r="A11" s="32" t="s">
        <v>54</v>
      </c>
      <c r="B11" s="37">
        <f t="shared" si="0"/>
        <v>516.34903877618501</v>
      </c>
      <c r="C11" s="33"/>
      <c r="D11" s="37">
        <f>IF(ISERROR(TER_onderwijs_gas_kWh/1000),0,TER_onderwijs_gas_kWh/1000)*0.902</f>
        <v>1181.0309569923293</v>
      </c>
      <c r="E11" s="33">
        <f>$C$31*'E Balans VL '!I11/100/3.6*1000000</f>
        <v>7.7908753359234622</v>
      </c>
      <c r="F11" s="33">
        <f>$C$31*('E Balans VL '!L11+'E Balans VL '!N11)/100/3.6*1000000</f>
        <v>90.472600514884689</v>
      </c>
      <c r="G11" s="34"/>
      <c r="H11" s="33"/>
      <c r="I11" s="33"/>
      <c r="J11" s="33">
        <f>$C$31*('E Balans VL '!D11+'E Balans VL '!E11)/100/3.6*1000000</f>
        <v>0</v>
      </c>
      <c r="K11" s="33"/>
      <c r="L11" s="33"/>
      <c r="M11" s="33"/>
      <c r="N11" s="33">
        <f>$C$31*'E Balans VL '!Y11/100/3.6*1000000</f>
        <v>1.4530454494649914</v>
      </c>
      <c r="O11" s="33"/>
      <c r="P11" s="33"/>
      <c r="R11" s="32"/>
    </row>
    <row r="12" spans="1:18">
      <c r="A12" s="32" t="s">
        <v>259</v>
      </c>
      <c r="B12" s="37">
        <f t="shared" si="0"/>
        <v>16310.9145351519</v>
      </c>
      <c r="C12" s="33"/>
      <c r="D12" s="37">
        <f>IF(ISERROR(TER_rest_gas_kWh/1000),0,TER_rest_gas_kWh/1000)*0.902</f>
        <v>13516.367486020477</v>
      </c>
      <c r="E12" s="33">
        <f>$C$32*'E Balans VL '!I8/100/3.6*1000000</f>
        <v>202.54864902530835</v>
      </c>
      <c r="F12" s="33">
        <f>$C$32*('E Balans VL '!L8+'E Balans VL '!N8)/100/3.6*1000000</f>
        <v>2820.5599583406429</v>
      </c>
      <c r="G12" s="34"/>
      <c r="H12" s="33"/>
      <c r="I12" s="33"/>
      <c r="J12" s="33">
        <f>$C$32*('E Balans VL '!D8+'E Balans VL '!E8)/100/3.6*1000000</f>
        <v>3.9497291177560769E-2</v>
      </c>
      <c r="K12" s="33"/>
      <c r="L12" s="33"/>
      <c r="M12" s="33"/>
      <c r="N12" s="33">
        <f>$C$32*'E Balans VL '!Y8/100/3.6*1000000</f>
        <v>1579.3965315991782</v>
      </c>
      <c r="O12" s="33"/>
      <c r="P12" s="33"/>
      <c r="R12" s="32"/>
    </row>
    <row r="13" spans="1:18">
      <c r="A13" s="16" t="s">
        <v>487</v>
      </c>
      <c r="B13" s="247">
        <f ca="1">'lokale energieproductie'!N42+'lokale energieproductie'!N35</f>
        <v>21924</v>
      </c>
      <c r="C13" s="247">
        <f ca="1">'lokale energieproductie'!O42+'lokale energieproductie'!O35</f>
        <v>26177.142857142859</v>
      </c>
      <c r="D13" s="308">
        <f ca="1">('lokale energieproductie'!P35+'lokale energieproductie'!P42)*(-1)</f>
        <v>-3600.0000000000009</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-59040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99804.959830276552</v>
      </c>
      <c r="C16" s="21">
        <f t="shared" ca="1" si="1"/>
        <v>26177.142857142859</v>
      </c>
      <c r="D16" s="21">
        <f t="shared" ca="1" si="1"/>
        <v>84441.455180993988</v>
      </c>
      <c r="E16" s="21">
        <f t="shared" si="1"/>
        <v>941.3293767965979</v>
      </c>
      <c r="F16" s="21">
        <f t="shared" ca="1" si="1"/>
        <v>13549.832618189885</v>
      </c>
      <c r="G16" s="21">
        <f t="shared" si="1"/>
        <v>0</v>
      </c>
      <c r="H16" s="21">
        <f t="shared" si="1"/>
        <v>0</v>
      </c>
      <c r="I16" s="21">
        <f t="shared" si="1"/>
        <v>0</v>
      </c>
      <c r="J16" s="21">
        <f t="shared" si="1"/>
        <v>0.22697925522017001</v>
      </c>
      <c r="K16" s="21">
        <f t="shared" si="1"/>
        <v>0</v>
      </c>
      <c r="L16" s="21">
        <f t="shared" ca="1" si="1"/>
        <v>0</v>
      </c>
      <c r="M16" s="21">
        <f t="shared" si="1"/>
        <v>0</v>
      </c>
      <c r="N16" s="21">
        <f t="shared" ca="1" si="1"/>
        <v>0</v>
      </c>
      <c r="O16" s="21">
        <f>O5</f>
        <v>14.070000000000002</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0.16716333399180111</v>
      </c>
      <c r="C18" s="25">
        <f ca="1">'EF ele_warmte'!B22</f>
        <v>1.0796150912603384E-2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16683.729834146812</v>
      </c>
      <c r="C20" s="23">
        <f t="shared" ref="C20:P20" ca="1" si="2">C16*C18</f>
        <v>282.61238474649201</v>
      </c>
      <c r="D20" s="23">
        <f t="shared" ca="1" si="2"/>
        <v>17057.173946560786</v>
      </c>
      <c r="E20" s="23">
        <f t="shared" si="2"/>
        <v>213.68176853282773</v>
      </c>
      <c r="F20" s="23">
        <f t="shared" ca="1" si="2"/>
        <v>3617.8053090566996</v>
      </c>
      <c r="G20" s="23">
        <f t="shared" si="2"/>
        <v>0</v>
      </c>
      <c r="H20" s="23">
        <f t="shared" si="2"/>
        <v>0</v>
      </c>
      <c r="I20" s="23">
        <f t="shared" si="2"/>
        <v>0</v>
      </c>
      <c r="J20" s="23">
        <f t="shared" si="2"/>
        <v>8.0350656347940183E-2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13469.4887690266</v>
      </c>
      <c r="C26" s="39">
        <f>IF(ISERROR(B26*3.6/1000000/'E Balans VL '!Z12*100),0,B26*3.6/1000000/'E Balans VL '!Z12*100)</f>
        <v>0.28472365518348275</v>
      </c>
      <c r="D26" s="237" t="s">
        <v>744</v>
      </c>
      <c r="F26" s="6"/>
    </row>
    <row r="27" spans="1:18">
      <c r="A27" s="231" t="s">
        <v>52</v>
      </c>
      <c r="B27" s="33">
        <f>IF(ISERROR(TER_horeca_ele_kWh/1000),0,TER_horeca_ele_kWh/1000)</f>
        <v>7760.5648066935501</v>
      </c>
      <c r="C27" s="39">
        <f>IF(ISERROR(B27*3.6/1000000/'E Balans VL '!Z9*100),0,B27*3.6/1000000/'E Balans VL '!Z9*100)</f>
        <v>0.6117624312014811</v>
      </c>
      <c r="D27" s="237" t="s">
        <v>744</v>
      </c>
      <c r="F27" s="6"/>
    </row>
    <row r="28" spans="1:18">
      <c r="A28" s="171" t="s">
        <v>51</v>
      </c>
      <c r="B28" s="33">
        <f>IF(ISERROR(TER_handel_ele_kWh/1000),0,TER_handel_ele_kWh/1000)</f>
        <v>16779.159554630398</v>
      </c>
      <c r="C28" s="39">
        <f>IF(ISERROR(B28*3.6/1000000/'E Balans VL '!Z13*100),0,B28*3.6/1000000/'E Balans VL '!Z13*100)</f>
        <v>0.48699900567686344</v>
      </c>
      <c r="D28" s="237" t="s">
        <v>744</v>
      </c>
      <c r="F28" s="6"/>
    </row>
    <row r="29" spans="1:18">
      <c r="A29" s="231" t="s">
        <v>50</v>
      </c>
      <c r="B29" s="33">
        <f>IF(ISERROR(TER_gezond_ele_kWh/1000),0,TER_gezond_ele_kWh/1000)</f>
        <v>14407.181360421499</v>
      </c>
      <c r="C29" s="39">
        <f>IF(ISERROR(B29*3.6/1000000/'E Balans VL '!Z10*100),0,B29*3.6/1000000/'E Balans VL '!Z10*100)</f>
        <v>1.5173127694149127</v>
      </c>
      <c r="D29" s="237" t="s">
        <v>744</v>
      </c>
      <c r="F29" s="6"/>
    </row>
    <row r="30" spans="1:18">
      <c r="A30" s="231" t="s">
        <v>49</v>
      </c>
      <c r="B30" s="33">
        <f>IF(ISERROR(TER_ander_ele_kWh/1000),0,TER_ander_ele_kWh/1000)</f>
        <v>8637.3017655764288</v>
      </c>
      <c r="C30" s="39">
        <f>IF(ISERROR(B30*3.6/1000000/'E Balans VL '!Z14*100),0,B30*3.6/1000000/'E Balans VL '!Z14*100)</f>
        <v>0.63708925424152896</v>
      </c>
      <c r="D30" s="237" t="s">
        <v>744</v>
      </c>
      <c r="F30" s="6"/>
    </row>
    <row r="31" spans="1:18">
      <c r="A31" s="231" t="s">
        <v>54</v>
      </c>
      <c r="B31" s="33">
        <f>IF(ISERROR(TER_onderwijs_ele_kWh/1000),0,TER_onderwijs_ele_kWh/1000)</f>
        <v>516.34903877618501</v>
      </c>
      <c r="C31" s="39">
        <f>IF(ISERROR(B31*3.6/1000000/'E Balans VL '!Z11*100),0,B31*3.6/1000000/'E Balans VL '!Z11*100)</f>
        <v>0.12823365354153782</v>
      </c>
      <c r="D31" s="237" t="s">
        <v>744</v>
      </c>
    </row>
    <row r="32" spans="1:18">
      <c r="A32" s="231" t="s">
        <v>259</v>
      </c>
      <c r="B32" s="33">
        <f>IF(ISERROR(TER_rest_ele_kWh/1000),0,TER_rest_ele_kWh/1000)</f>
        <v>16310.9145351519</v>
      </c>
      <c r="C32" s="39">
        <f>IF(ISERROR(B32*3.6/1000000/'E Balans VL '!Z8*100),0,B32*3.6/1000000/'E Balans VL '!Z8*100)</f>
        <v>0.13421717608608907</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6</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162216.66817119403</v>
      </c>
      <c r="C5" s="17">
        <f>IF(ISERROR('Eigen informatie GS &amp; warmtenet'!B59),0,'Eigen informatie GS &amp; warmtenet'!B59)</f>
        <v>0</v>
      </c>
      <c r="D5" s="30">
        <f>SUM(D6:D15)</f>
        <v>240054.25680522108</v>
      </c>
      <c r="E5" s="17">
        <f>SUM(E6:E15)</f>
        <v>10837.594645854246</v>
      </c>
      <c r="F5" s="17">
        <f>SUM(F6:F15)</f>
        <v>36012.01719688125</v>
      </c>
      <c r="G5" s="18"/>
      <c r="H5" s="17"/>
      <c r="I5" s="17"/>
      <c r="J5" s="17">
        <f>SUM(J6:J15)</f>
        <v>412.41620598282805</v>
      </c>
      <c r="K5" s="17"/>
      <c r="L5" s="17"/>
      <c r="M5" s="17"/>
      <c r="N5" s="17">
        <f>SUM(N6:N15)</f>
        <v>10350.458584832728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5021.1716094052699</v>
      </c>
      <c r="C8" s="33"/>
      <c r="D8" s="37">
        <f>IF( ISERROR(IND_metaal_Gas_kWH/1000),0,IND_metaal_Gas_kWH/1000)*0.902</f>
        <v>24129.341070253675</v>
      </c>
      <c r="E8" s="33">
        <f>C30*'E Balans VL '!I18/100/3.6*1000000</f>
        <v>46.164823454822276</v>
      </c>
      <c r="F8" s="33">
        <f>C30*'E Balans VL '!L18/100/3.6*1000000+C30*'E Balans VL '!N18/100/3.6*1000000</f>
        <v>470.81872523744886</v>
      </c>
      <c r="G8" s="34"/>
      <c r="H8" s="33"/>
      <c r="I8" s="33"/>
      <c r="J8" s="40">
        <f>C30*'E Balans VL '!D18/100/3.6*1000000+C30*'E Balans VL '!E18/100/3.6*1000000</f>
        <v>0</v>
      </c>
      <c r="K8" s="33"/>
      <c r="L8" s="33"/>
      <c r="M8" s="33"/>
      <c r="N8" s="33">
        <f>C30*'E Balans VL '!Y18/100/3.6*1000000</f>
        <v>71.635310843681282</v>
      </c>
      <c r="O8" s="33"/>
      <c r="P8" s="33"/>
      <c r="R8" s="32"/>
    </row>
    <row r="9" spans="1:18">
      <c r="A9" s="6" t="s">
        <v>32</v>
      </c>
      <c r="B9" s="37">
        <f t="shared" si="0"/>
        <v>14937.963328125101</v>
      </c>
      <c r="C9" s="33"/>
      <c r="D9" s="37">
        <f>IF( ISERROR(IND_andere_gas_kWh/1000),0,IND_andere_gas_kWh/1000)*0.902</f>
        <v>2102.9910732383973</v>
      </c>
      <c r="E9" s="33">
        <f>C31*'E Balans VL '!I19/100/3.6*1000000</f>
        <v>4366.6574886563785</v>
      </c>
      <c r="F9" s="33">
        <f>C31*'E Balans VL '!L19/100/3.6*1000000+C31*'E Balans VL '!N19/100/3.6*1000000</f>
        <v>12003.784234077053</v>
      </c>
      <c r="G9" s="34"/>
      <c r="H9" s="33"/>
      <c r="I9" s="33"/>
      <c r="J9" s="40">
        <f>C31*'E Balans VL '!D19/100/3.6*1000000+C31*'E Balans VL '!E19/100/3.6*1000000</f>
        <v>0</v>
      </c>
      <c r="K9" s="33"/>
      <c r="L9" s="33"/>
      <c r="M9" s="33"/>
      <c r="N9" s="33">
        <f>C31*'E Balans VL '!Y19/100/3.6*1000000</f>
        <v>1171.7135551813574</v>
      </c>
      <c r="O9" s="33"/>
      <c r="P9" s="33"/>
      <c r="R9" s="32"/>
    </row>
    <row r="10" spans="1:18">
      <c r="A10" s="6" t="s">
        <v>40</v>
      </c>
      <c r="B10" s="37">
        <f t="shared" si="0"/>
        <v>7555.6101792973104</v>
      </c>
      <c r="C10" s="33"/>
      <c r="D10" s="37">
        <f>IF( ISERROR(IND_voed_gas_kWh/1000),0,IND_voed_gas_kWh/1000)*0.902</f>
        <v>13813.496097762612</v>
      </c>
      <c r="E10" s="33">
        <f>C32*'E Balans VL '!I20/100/3.6*1000000</f>
        <v>15.984010485426811</v>
      </c>
      <c r="F10" s="33">
        <f>C32*'E Balans VL '!L20/100/3.6*1000000+C32*'E Balans VL '!N20/100/3.6*1000000</f>
        <v>480.39341302919928</v>
      </c>
      <c r="G10" s="34"/>
      <c r="H10" s="33"/>
      <c r="I10" s="33"/>
      <c r="J10" s="40">
        <f>C32*'E Balans VL '!D20/100/3.6*1000000+C32*'E Balans VL '!E20/100/3.6*1000000</f>
        <v>0</v>
      </c>
      <c r="K10" s="33"/>
      <c r="L10" s="33"/>
      <c r="M10" s="33"/>
      <c r="N10" s="33">
        <f>C32*'E Balans VL '!Y20/100/3.6*1000000</f>
        <v>521.4116629546204</v>
      </c>
      <c r="O10" s="33"/>
      <c r="P10" s="33"/>
      <c r="R10" s="32"/>
    </row>
    <row r="11" spans="1:18">
      <c r="A11" s="6" t="s">
        <v>39</v>
      </c>
      <c r="B11" s="37">
        <f t="shared" si="0"/>
        <v>66.608848066076902</v>
      </c>
      <c r="C11" s="33"/>
      <c r="D11" s="37">
        <f>IF( ISERROR(IND_textiel_gas_kWh/1000),0,IND_textiel_gas_kWh/1000)*0.902</f>
        <v>0</v>
      </c>
      <c r="E11" s="33">
        <f>C33*'E Balans VL '!I21/100/3.6*1000000</f>
        <v>0.19782253596953703</v>
      </c>
      <c r="F11" s="33">
        <f>C33*'E Balans VL '!L21/100/3.6*1000000+C33*'E Balans VL '!N21/100/3.6*1000000</f>
        <v>6.7293223417560259</v>
      </c>
      <c r="G11" s="34"/>
      <c r="H11" s="33"/>
      <c r="I11" s="33"/>
      <c r="J11" s="40">
        <f>C33*'E Balans VL '!D21/100/3.6*1000000+C33*'E Balans VL '!E21/100/3.6*1000000</f>
        <v>0</v>
      </c>
      <c r="K11" s="33"/>
      <c r="L11" s="33"/>
      <c r="M11" s="33"/>
      <c r="N11" s="33">
        <f>C33*'E Balans VL '!Y21/100/3.6*1000000</f>
        <v>3.6736905432745899</v>
      </c>
      <c r="O11" s="33"/>
      <c r="P11" s="33"/>
      <c r="R11" s="32"/>
    </row>
    <row r="12" spans="1:18">
      <c r="A12" s="6" t="s">
        <v>36</v>
      </c>
      <c r="B12" s="37">
        <f t="shared" si="0"/>
        <v>96.025000000000006</v>
      </c>
      <c r="C12" s="33"/>
      <c r="D12" s="37">
        <f>IF( ISERROR(IND_min_gas_kWh/1000),0,IND_min_gas_kWh/1000)*0.902</f>
        <v>243.51435794973855</v>
      </c>
      <c r="E12" s="33">
        <f>C34*'E Balans VL '!I22/100/3.6*1000000</f>
        <v>2.7833693513018183</v>
      </c>
      <c r="F12" s="33">
        <f>C34*'E Balans VL '!L22/100/3.6*1000000+C34*'E Balans VL '!N22/100/3.6*1000000</f>
        <v>33.014480106683877</v>
      </c>
      <c r="G12" s="34"/>
      <c r="H12" s="33"/>
      <c r="I12" s="33"/>
      <c r="J12" s="40">
        <f>C34*'E Balans VL '!D22/100/3.6*1000000+C34*'E Balans VL '!E22/100/3.6*1000000</f>
        <v>0.1577980117021211</v>
      </c>
      <c r="K12" s="33"/>
      <c r="L12" s="33"/>
      <c r="M12" s="33"/>
      <c r="N12" s="33">
        <f>C34*'E Balans VL '!Y22/100/3.6*1000000</f>
        <v>21.021450506795606</v>
      </c>
      <c r="O12" s="33"/>
      <c r="P12" s="33"/>
      <c r="R12" s="32"/>
    </row>
    <row r="13" spans="1:18">
      <c r="A13" s="6" t="s">
        <v>38</v>
      </c>
      <c r="B13" s="37">
        <f t="shared" si="0"/>
        <v>116.53022239248</v>
      </c>
      <c r="C13" s="33"/>
      <c r="D13" s="37">
        <f>IF( ISERROR(IND_papier_gas_kWh/1000),0,IND_papier_gas_kWh/1000)*0.902</f>
        <v>151.84423962001429</v>
      </c>
      <c r="E13" s="33">
        <f>C35*'E Balans VL '!I23/100/3.6*1000000</f>
        <v>0.16532973531995335</v>
      </c>
      <c r="F13" s="33">
        <f>C35*'E Balans VL '!L23/100/3.6*1000000+C35*'E Balans VL '!N23/100/3.6*1000000</f>
        <v>2.8449409104881509</v>
      </c>
      <c r="G13" s="34"/>
      <c r="H13" s="33"/>
      <c r="I13" s="33"/>
      <c r="J13" s="40">
        <f>C35*'E Balans VL '!D23/100/3.6*1000000+C35*'E Balans VL '!E23/100/3.6*1000000</f>
        <v>1.8022492945393619E-2</v>
      </c>
      <c r="K13" s="33"/>
      <c r="L13" s="33"/>
      <c r="M13" s="33"/>
      <c r="N13" s="33">
        <f>C35*'E Balans VL '!Y23/100/3.6*1000000</f>
        <v>47.612559294655718</v>
      </c>
      <c r="O13" s="33"/>
      <c r="P13" s="33"/>
      <c r="R13" s="32"/>
    </row>
    <row r="14" spans="1:18">
      <c r="A14" s="6" t="s">
        <v>33</v>
      </c>
      <c r="B14" s="37">
        <f t="shared" si="0"/>
        <v>19271.2016773908</v>
      </c>
      <c r="C14" s="33"/>
      <c r="D14" s="37">
        <f>IF( ISERROR(IND_chemie_gas_kWh/1000),0,IND_chemie_gas_kWh/1000)*0.902</f>
        <v>3568.4558061227435</v>
      </c>
      <c r="E14" s="33">
        <f>C36*'E Balans VL '!I24/100/3.6*1000000</f>
        <v>47.440176968042245</v>
      </c>
      <c r="F14" s="33">
        <f>C36*'E Balans VL '!L24/100/3.6*1000000+C36*'E Balans VL '!N24/100/3.6*1000000</f>
        <v>206.35512372505892</v>
      </c>
      <c r="G14" s="34"/>
      <c r="H14" s="33"/>
      <c r="I14" s="33"/>
      <c r="J14" s="40">
        <f>C36*'E Balans VL '!D24/100/3.6*1000000+C36*'E Balans VL '!E24/100/3.6*1000000</f>
        <v>0</v>
      </c>
      <c r="K14" s="33"/>
      <c r="L14" s="33"/>
      <c r="M14" s="33"/>
      <c r="N14" s="33">
        <f>C36*'E Balans VL '!Y24/100/3.6*1000000</f>
        <v>430.37350486490124</v>
      </c>
      <c r="O14" s="33"/>
      <c r="P14" s="33"/>
      <c r="R14" s="32"/>
    </row>
    <row r="15" spans="1:18">
      <c r="A15" s="6" t="s">
        <v>269</v>
      </c>
      <c r="B15" s="37">
        <f t="shared" si="0"/>
        <v>115151.557306517</v>
      </c>
      <c r="C15" s="33"/>
      <c r="D15" s="37">
        <f>IF( ISERROR(IND_rest_gas_kWh/1000),0,IND_rest_gas_kWh/1000)*0.902</f>
        <v>196044.61416027392</v>
      </c>
      <c r="E15" s="33">
        <f>C37*'E Balans VL '!I15/100/3.6*1000000</f>
        <v>6358.2016246669837</v>
      </c>
      <c r="F15" s="33">
        <f>C37*'E Balans VL '!L15/100/3.6*1000000+C37*'E Balans VL '!N15/100/3.6*1000000</f>
        <v>22808.076957453559</v>
      </c>
      <c r="G15" s="34"/>
      <c r="H15" s="33"/>
      <c r="I15" s="33"/>
      <c r="J15" s="40">
        <f>C37*'E Balans VL '!D15/100/3.6*1000000+C37*'E Balans VL '!E15/100/3.6*1000000</f>
        <v>412.24038547818054</v>
      </c>
      <c r="K15" s="33"/>
      <c r="L15" s="33"/>
      <c r="M15" s="33"/>
      <c r="N15" s="33">
        <f>C37*'E Balans VL '!Y15/100/3.6*1000000</f>
        <v>8083.0168506434411</v>
      </c>
      <c r="O15" s="33"/>
      <c r="P15" s="33"/>
      <c r="R15" s="32"/>
    </row>
    <row r="16" spans="1:18">
      <c r="A16" s="16" t="s">
        <v>487</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162216.66817119403</v>
      </c>
      <c r="C18" s="21">
        <f>C5+C16</f>
        <v>0</v>
      </c>
      <c r="D18" s="21">
        <f>MAX((D5+D16),0)</f>
        <v>240054.25680522108</v>
      </c>
      <c r="E18" s="21">
        <f>MAX((E5+E16),0)</f>
        <v>10837.594645854246</v>
      </c>
      <c r="F18" s="21">
        <f>MAX((F5+F16),0)</f>
        <v>36012.01719688125</v>
      </c>
      <c r="G18" s="21"/>
      <c r="H18" s="21"/>
      <c r="I18" s="21"/>
      <c r="J18" s="21">
        <f>MAX((J5+J16),0)</f>
        <v>412.41620598282805</v>
      </c>
      <c r="K18" s="21"/>
      <c r="L18" s="21">
        <f>MAX((L5+L16),0)</f>
        <v>0</v>
      </c>
      <c r="M18" s="21"/>
      <c r="N18" s="21">
        <f>MAX((N5+N16),0)</f>
        <v>10350.458584832728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0.16716333399180111</v>
      </c>
      <c r="C20" s="25">
        <f ca="1">'EF ele_warmte'!B22</f>
        <v>1.0796150912603384E-2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27116.679080538481</v>
      </c>
      <c r="C22" s="23">
        <f ca="1">C18*C20</f>
        <v>0</v>
      </c>
      <c r="D22" s="23">
        <f>D18*D20</f>
        <v>48490.959874654662</v>
      </c>
      <c r="E22" s="23">
        <f>E18*E20</f>
        <v>2460.133984608914</v>
      </c>
      <c r="F22" s="23">
        <f>F18*F20</f>
        <v>9615.2085915672942</v>
      </c>
      <c r="G22" s="23"/>
      <c r="H22" s="23"/>
      <c r="I22" s="23"/>
      <c r="J22" s="23">
        <f>J18*J20</f>
        <v>145.99533691792112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5021.1716094052699</v>
      </c>
      <c r="C30" s="39">
        <f>IF(ISERROR(B30*3.6/1000000/'E Balans VL '!Z18*100),0,B30*3.6/1000000/'E Balans VL '!Z18*100)</f>
        <v>0.28456267023109877</v>
      </c>
      <c r="D30" s="237" t="s">
        <v>744</v>
      </c>
    </row>
    <row r="31" spans="1:18">
      <c r="A31" s="6" t="s">
        <v>32</v>
      </c>
      <c r="B31" s="37">
        <f>IF( ISERROR(IND_ander_ele_kWh/1000),0,IND_ander_ele_kWh/1000)</f>
        <v>14937.963328125101</v>
      </c>
      <c r="C31" s="39">
        <f>IF(ISERROR(B31*3.6/1000000/'E Balans VL '!Z19*100),0,B31*3.6/1000000/'E Balans VL '!Z19*100)</f>
        <v>0.6775238159670387</v>
      </c>
      <c r="D31" s="237" t="s">
        <v>744</v>
      </c>
    </row>
    <row r="32" spans="1:18">
      <c r="A32" s="171" t="s">
        <v>40</v>
      </c>
      <c r="B32" s="37">
        <f>IF( ISERROR(IND_voed_ele_kWh/1000),0,IND_voed_ele_kWh/1000)</f>
        <v>7555.6101792973104</v>
      </c>
      <c r="C32" s="39">
        <f>IF(ISERROR(B32*3.6/1000000/'E Balans VL '!Z20*100),0,B32*3.6/1000000/'E Balans VL '!Z20*100)</f>
        <v>0.23372932241977834</v>
      </c>
      <c r="D32" s="237" t="s">
        <v>744</v>
      </c>
    </row>
    <row r="33" spans="1:5">
      <c r="A33" s="171" t="s">
        <v>39</v>
      </c>
      <c r="B33" s="37">
        <f>IF( ISERROR(IND_textiel_ele_kWh/1000),0,IND_textiel_ele_kWh/1000)</f>
        <v>66.608848066076902</v>
      </c>
      <c r="C33" s="39">
        <f>IF(ISERROR(B33*3.6/1000000/'E Balans VL '!Z21*100),0,B33*3.6/1000000/'E Balans VL '!Z21*100)</f>
        <v>8.6850533927691573E-3</v>
      </c>
      <c r="D33" s="237" t="s">
        <v>744</v>
      </c>
    </row>
    <row r="34" spans="1:5">
      <c r="A34" s="171" t="s">
        <v>36</v>
      </c>
      <c r="B34" s="37">
        <f>IF( ISERROR(IND_min_ele_kWh/1000),0,IND_min_ele_kWh/1000)</f>
        <v>96.025000000000006</v>
      </c>
      <c r="C34" s="39">
        <f>IF(ISERROR(B34*3.6/1000000/'E Balans VL '!Z22*100),0,B34*3.6/1000000/'E Balans VL '!Z22*100)</f>
        <v>1.7271901554504053E-2</v>
      </c>
      <c r="D34" s="237" t="s">
        <v>744</v>
      </c>
    </row>
    <row r="35" spans="1:5">
      <c r="A35" s="171" t="s">
        <v>38</v>
      </c>
      <c r="B35" s="37">
        <f>IF( ISERROR(IND_papier_ele_kWh/1000),0,IND_papier_ele_kWh/1000)</f>
        <v>116.53022239248</v>
      </c>
      <c r="C35" s="39">
        <f>IF(ISERROR(B35*3.6/1000000/'E Balans VL '!Z22*100),0,B35*3.6/1000000/'E Balans VL '!Z22*100)</f>
        <v>2.0960151307340569E-2</v>
      </c>
      <c r="D35" s="237" t="s">
        <v>744</v>
      </c>
    </row>
    <row r="36" spans="1:5">
      <c r="A36" s="171" t="s">
        <v>33</v>
      </c>
      <c r="B36" s="37">
        <f>IF( ISERROR(IND_chemie_ele_kWh/1000),0,IND_chemie_ele_kWh/1000)</f>
        <v>19271.2016773908</v>
      </c>
      <c r="C36" s="39">
        <f>IF(ISERROR(B36*3.6/1000000/'E Balans VL '!Z24*100),0,B36*3.6/1000000/'E Balans VL '!Z24*100)</f>
        <v>0.5876565031836557</v>
      </c>
      <c r="D36" s="237" t="s">
        <v>744</v>
      </c>
    </row>
    <row r="37" spans="1:5">
      <c r="A37" s="171" t="s">
        <v>269</v>
      </c>
      <c r="B37" s="37">
        <f>IF( ISERROR(IND_rest_ele_kWh/1000),0,IND_rest_ele_kWh/1000)</f>
        <v>115151.557306517</v>
      </c>
      <c r="C37" s="39">
        <f>IF(ISERROR(B37*3.6/1000000/'E Balans VL '!Z15*100),0,B37*3.6/1000000/'E Balans VL '!Z15*100)</f>
        <v>0.91271751121620082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10190.707757002378</v>
      </c>
      <c r="C5" s="17">
        <f>'Eigen informatie GS &amp; warmtenet'!B60</f>
        <v>0</v>
      </c>
      <c r="D5" s="30">
        <f>IF(ISERROR(SUM(LB_lb_gas_kWh,LB_rest_gas_kWh)/1000),0,SUM(LB_lb_gas_kWh,LB_rest_gas_kWh)/1000)*0.902</f>
        <v>1291.0964837659499</v>
      </c>
      <c r="E5" s="17">
        <f>B17*'E Balans VL '!I25/3.6*1000000/100</f>
        <v>299.53602699240099</v>
      </c>
      <c r="F5" s="17">
        <f>B17*('E Balans VL '!L25/3.6*1000000+'E Balans VL '!N25/3.6*1000000)/100</f>
        <v>42453.937838728467</v>
      </c>
      <c r="G5" s="18"/>
      <c r="H5" s="17"/>
      <c r="I5" s="17"/>
      <c r="J5" s="17">
        <f>('E Balans VL '!D25+'E Balans VL '!E25)/3.6*1000000*landbouw!B17/100</f>
        <v>1476.4147060354351</v>
      </c>
      <c r="K5" s="17"/>
      <c r="L5" s="17">
        <f>L6*(-1)</f>
        <v>0</v>
      </c>
      <c r="M5" s="17"/>
      <c r="N5" s="17">
        <f>N6*(-1)</f>
        <v>26889.642857142859</v>
      </c>
      <c r="O5" s="17"/>
      <c r="P5" s="17"/>
      <c r="R5" s="32"/>
    </row>
    <row r="6" spans="1:18">
      <c r="A6" s="16" t="s">
        <v>487</v>
      </c>
      <c r="B6" s="17" t="s">
        <v>210</v>
      </c>
      <c r="C6" s="17">
        <f>'lokale energieproductie'!O43+'lokale energieproductie'!O36</f>
        <v>13444.821428571429</v>
      </c>
      <c r="D6" s="308">
        <f>('lokale energieproductie'!P36+'lokale energieproductie'!P43)*(-1)</f>
        <v>0</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-26889.642857142859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10190.707757002378</v>
      </c>
      <c r="C8" s="21">
        <f>C5+C6</f>
        <v>13444.821428571429</v>
      </c>
      <c r="D8" s="21">
        <f>MAX((D5+D6),0)</f>
        <v>1291.0964837659499</v>
      </c>
      <c r="E8" s="21">
        <f>MAX((E5+E6),0)</f>
        <v>299.53602699240099</v>
      </c>
      <c r="F8" s="21">
        <f>MAX((F5+F6),0)</f>
        <v>42453.937838728467</v>
      </c>
      <c r="G8" s="21"/>
      <c r="H8" s="21"/>
      <c r="I8" s="21"/>
      <c r="J8" s="21">
        <f>MAX((J5+J6),0)</f>
        <v>1476.4147060354351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0.16716333399180111</v>
      </c>
      <c r="C10" s="31">
        <f ca="1">'EF ele_warmte'!B22</f>
        <v>1.0796150912603384E-2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1703.5126843966268</v>
      </c>
      <c r="C12" s="23">
        <f ca="1">C8*C10</f>
        <v>145.15232113586097</v>
      </c>
      <c r="D12" s="23">
        <f>D8*D10</f>
        <v>260.80148972072192</v>
      </c>
      <c r="E12" s="23">
        <f>E8*E10</f>
        <v>67.994678127275023</v>
      </c>
      <c r="F12" s="23">
        <f>F8*F10</f>
        <v>11335.201402940502</v>
      </c>
      <c r="G12" s="23"/>
      <c r="H12" s="23"/>
      <c r="I12" s="23"/>
      <c r="J12" s="23">
        <f>J8*J10</f>
        <v>522.65080593654397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1.4460934030891672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1575.4287641260971</v>
      </c>
      <c r="C26" s="247">
        <f>B26*'GWP N2O_CH4'!B5</f>
        <v>33084.004046648042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937.64972825412087</v>
      </c>
      <c r="C27" s="247">
        <f>B27*'GWP N2O_CH4'!B5</f>
        <v>19690.64429333654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20.894713709990324</v>
      </c>
      <c r="C28" s="247">
        <f>B28*'GWP N2O_CH4'!B4</f>
        <v>6477.3612500970003</v>
      </c>
      <c r="D28" s="50"/>
    </row>
    <row r="29" spans="1:4">
      <c r="A29" s="41" t="s">
        <v>276</v>
      </c>
      <c r="B29" s="247">
        <f>B34*'ha_N2O bodem landbouw'!B4</f>
        <v>59.397355284552326</v>
      </c>
      <c r="C29" s="247">
        <f>B29*'GWP N2O_CH4'!B4</f>
        <v>18413.180138211221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1.3554271783542364E-2</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2.7817063692173671E-4</v>
      </c>
      <c r="C5" s="437" t="s">
        <v>210</v>
      </c>
      <c r="D5" s="422">
        <f>SUM(D6:D11)</f>
        <v>7.707648245320885E-4</v>
      </c>
      <c r="E5" s="422">
        <f>SUM(E6:E11)</f>
        <v>1.3163244175714978E-3</v>
      </c>
      <c r="F5" s="435" t="s">
        <v>210</v>
      </c>
      <c r="G5" s="422">
        <f>SUM(G6:G11)</f>
        <v>0.66548143656447112</v>
      </c>
      <c r="H5" s="422">
        <f>SUM(H6:H11)</f>
        <v>0.13039757389066248</v>
      </c>
      <c r="I5" s="437" t="s">
        <v>210</v>
      </c>
      <c r="J5" s="437" t="s">
        <v>210</v>
      </c>
      <c r="K5" s="437" t="s">
        <v>210</v>
      </c>
      <c r="L5" s="437" t="s">
        <v>210</v>
      </c>
      <c r="M5" s="422">
        <f>SUM(M6:M11)</f>
        <v>4.27199660940559E-2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2.207274795652623E-4</v>
      </c>
      <c r="C6" s="423"/>
      <c r="D6" s="865">
        <f>vkm_GW_PW*SUMIFS(TableVerdeelsleutelVkm[CNG],TableVerdeelsleutelVkm[Voertuigtype],"Lichte voertuigen")*SUMIFS(TableECFTransport[EnergieConsumptieFactor (PJ per km)],TableECFTransport[Index],CONCATENATE($A6,"_CNG_CNG"))</f>
        <v>5.4701658905450526E-4</v>
      </c>
      <c r="E6" s="865">
        <f>vkm_GW_PW*SUMIFS(TableVerdeelsleutelVkm[LPG],TableVerdeelsleutelVkm[Voertuigtype],"Lichte voertuigen")*SUMIFS(TableECFTransport[EnergieConsumptieFactor (PJ per km)],TableECFTransport[Index],CONCATENATE($A6,"_LPG_LPG"))</f>
        <v>9.3909088580675006E-4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0.2877510848496993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9.2940403598524596E-2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1.9548230710751523E-2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0.22659966753237079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3.7906002584847197E-6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1.3239211568918394E-2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4.7589328073024904E-5</v>
      </c>
      <c r="C8" s="423"/>
      <c r="D8" s="425">
        <f>vkm_NGW_PW*SUMIFS(TableVerdeelsleutelVkm[CNG],TableVerdeelsleutelVkm[Voertuigtype],"Lichte voertuigen")*SUMIFS(TableECFTransport[EnergieConsumptieFactor (PJ per km)],TableECFTransport[Index],CONCATENATE($A8,"_CNG_CNG"))</f>
        <v>1.9934076549324258E-4</v>
      </c>
      <c r="E8" s="425">
        <f>vkm_NGW_PW*SUMIFS(TableVerdeelsleutelVkm[LPG],TableVerdeelsleutelVkm[Voertuigtype],"Lichte voertuigen")*SUMIFS(TableECFTransport[EnergieConsumptieFactor (PJ per km)],TableECFTransport[Index],CONCATENATE($A8,"_LPG_LPG"))</f>
        <v>3.2499001702570814E-4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9.3669836214866173E-2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3.3123899013238152E-2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6.4479013690357861E-3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2.948051599776709E-2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6.0750327796502975E-7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1.7224189054818391E-3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9.8538292834495009E-6</v>
      </c>
      <c r="C10" s="423"/>
      <c r="D10" s="425">
        <f>vkm_SW_PW*SUMIFS(TableVerdeelsleutelVkm[CNG],TableVerdeelsleutelVkm[Voertuigtype],"Lichte voertuigen")*SUMIFS(TableECFTransport[EnergieConsumptieFactor (PJ per km)],TableECFTransport[Index],CONCATENATE($A10,"_CNG_CNG"))</f>
        <v>2.4407469984340696E-5</v>
      </c>
      <c r="E10" s="425">
        <f>vkm_SW_PW*SUMIFS(TableVerdeelsleutelVkm[LPG],TableVerdeelsleutelVkm[Voertuigtype],"Lichte voertuigen")*SUMIFS(TableECFTransport[EnergieConsumptieFactor (PJ per km)],TableECFTransport[Index],CONCATENATE($A10,"_LPG_LPG"))</f>
        <v>5.2243514739039655E-5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1.4321443347407899E-2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4.3286297764437275E-3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9.6417493853106508E-4</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1.3658888622359901E-2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2.4339891956828443E-7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7.9802860133729387E-4</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77.269621367149085</v>
      </c>
      <c r="C14" s="21"/>
      <c r="D14" s="21">
        <f t="shared" ref="D14:M14" si="0">((D5)*10^9/3600)+D12</f>
        <v>214.10134014780235</v>
      </c>
      <c r="E14" s="21">
        <f t="shared" si="0"/>
        <v>365.6456715476383</v>
      </c>
      <c r="F14" s="21"/>
      <c r="G14" s="21">
        <f t="shared" si="0"/>
        <v>184855.95460124197</v>
      </c>
      <c r="H14" s="21">
        <f t="shared" si="0"/>
        <v>36221.548302961797</v>
      </c>
      <c r="I14" s="21"/>
      <c r="J14" s="21"/>
      <c r="K14" s="21"/>
      <c r="L14" s="21"/>
      <c r="M14" s="21">
        <f t="shared" si="0"/>
        <v>11866.65724834886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0.16716333399180111</v>
      </c>
      <c r="C16" s="56">
        <f ca="1">'EF ele_warmte'!B22</f>
        <v>1.0796150912603384E-2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12.916647524016755</v>
      </c>
      <c r="C18" s="23"/>
      <c r="D18" s="23">
        <f t="shared" ref="D18:M18" si="1">D14*D16</f>
        <v>43.248470709856079</v>
      </c>
      <c r="E18" s="23">
        <f t="shared" si="1"/>
        <v>83.001567441313895</v>
      </c>
      <c r="F18" s="23"/>
      <c r="G18" s="23">
        <f t="shared" si="1"/>
        <v>49356.539878531607</v>
      </c>
      <c r="H18" s="23">
        <f t="shared" si="1"/>
        <v>9019.165527437488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1.2330322409514144E-2</v>
      </c>
      <c r="H50" s="319">
        <f t="shared" si="2"/>
        <v>0</v>
      </c>
      <c r="I50" s="319">
        <f t="shared" si="2"/>
        <v>0</v>
      </c>
      <c r="J50" s="319">
        <f t="shared" si="2"/>
        <v>0</v>
      </c>
      <c r="K50" s="319">
        <f t="shared" si="2"/>
        <v>0</v>
      </c>
      <c r="L50" s="319">
        <f t="shared" si="2"/>
        <v>0</v>
      </c>
      <c r="M50" s="319">
        <f t="shared" si="2"/>
        <v>7.002549790515488E-4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1.2330322409514144E-2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7.002549790515488E-4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3425.0895581983732</v>
      </c>
      <c r="H54" s="21">
        <f t="shared" si="3"/>
        <v>0</v>
      </c>
      <c r="I54" s="21">
        <f t="shared" si="3"/>
        <v>0</v>
      </c>
      <c r="J54" s="21">
        <f t="shared" si="3"/>
        <v>0</v>
      </c>
      <c r="K54" s="21">
        <f t="shared" si="3"/>
        <v>0</v>
      </c>
      <c r="L54" s="21">
        <f t="shared" si="3"/>
        <v>0</v>
      </c>
      <c r="M54" s="21">
        <f t="shared" si="3"/>
        <v>194.51527195876355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0.16716333399180111</v>
      </c>
      <c r="C56" s="56">
        <f ca="1">'EF ele_warmte'!B22</f>
        <v>1.0796150912603384E-2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914.49891203896573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102617.60583027655</v>
      </c>
      <c r="D10" s="979">
        <f ca="1">tertiair!C16</f>
        <v>26177.142857142859</v>
      </c>
      <c r="E10" s="979">
        <f ca="1">tertiair!D16</f>
        <v>84441.455180993988</v>
      </c>
      <c r="F10" s="979">
        <f>tertiair!E16</f>
        <v>941.3293767965979</v>
      </c>
      <c r="G10" s="979">
        <f ca="1">tertiair!F16</f>
        <v>13549.832618189885</v>
      </c>
      <c r="H10" s="979">
        <f>tertiair!G16</f>
        <v>0</v>
      </c>
      <c r="I10" s="979">
        <f>tertiair!H16</f>
        <v>0</v>
      </c>
      <c r="J10" s="979">
        <f>tertiair!I16</f>
        <v>0</v>
      </c>
      <c r="K10" s="979">
        <f>tertiair!J16</f>
        <v>0.22697925522017001</v>
      </c>
      <c r="L10" s="979">
        <f>tertiair!K16</f>
        <v>0</v>
      </c>
      <c r="M10" s="979">
        <f ca="1">tertiair!L16</f>
        <v>0</v>
      </c>
      <c r="N10" s="979">
        <f>tertiair!M16</f>
        <v>0</v>
      </c>
      <c r="O10" s="979">
        <f ca="1">tertiair!N16</f>
        <v>0</v>
      </c>
      <c r="P10" s="979">
        <f>tertiair!O16</f>
        <v>14.070000000000002</v>
      </c>
      <c r="Q10" s="980">
        <f>tertiair!P16</f>
        <v>114.4</v>
      </c>
      <c r="R10" s="674">
        <f ca="1">SUM(C10:Q10)</f>
        <v>227856.06284265511</v>
      </c>
      <c r="S10" s="67"/>
    </row>
    <row r="11" spans="1:19" s="447" customFormat="1">
      <c r="A11" s="783" t="s">
        <v>224</v>
      </c>
      <c r="B11" s="788"/>
      <c r="C11" s="979">
        <f>huishoudens!B8</f>
        <v>56831.212944532221</v>
      </c>
      <c r="D11" s="979">
        <f>huishoudens!C8</f>
        <v>0</v>
      </c>
      <c r="E11" s="979">
        <f>huishoudens!D8</f>
        <v>142418.68800816956</v>
      </c>
      <c r="F11" s="979">
        <f>huishoudens!E8</f>
        <v>30363.860282854428</v>
      </c>
      <c r="G11" s="979">
        <f>huishoudens!F8</f>
        <v>8512.7748190872899</v>
      </c>
      <c r="H11" s="979">
        <f>huishoudens!G8</f>
        <v>0</v>
      </c>
      <c r="I11" s="979">
        <f>huishoudens!H8</f>
        <v>0</v>
      </c>
      <c r="J11" s="979">
        <f>huishoudens!I8</f>
        <v>0</v>
      </c>
      <c r="K11" s="979">
        <f>huishoudens!J8</f>
        <v>2328.02295784333</v>
      </c>
      <c r="L11" s="979">
        <f>huishoudens!K8</f>
        <v>0</v>
      </c>
      <c r="M11" s="979">
        <f>huishoudens!L8</f>
        <v>0</v>
      </c>
      <c r="N11" s="979">
        <f>huishoudens!M8</f>
        <v>0</v>
      </c>
      <c r="O11" s="979">
        <f>huishoudens!N8</f>
        <v>35040.323686894153</v>
      </c>
      <c r="P11" s="979">
        <f>huishoudens!O8</f>
        <v>816.06000000000006</v>
      </c>
      <c r="Q11" s="980">
        <f>huishoudens!P8</f>
        <v>1220.2666666666667</v>
      </c>
      <c r="R11" s="674">
        <f>SUM(C11:Q11)</f>
        <v>277531.20936604764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162216.66817119403</v>
      </c>
      <c r="D13" s="979">
        <f>industrie!C18</f>
        <v>0</v>
      </c>
      <c r="E13" s="979">
        <f>industrie!D18</f>
        <v>240054.25680522108</v>
      </c>
      <c r="F13" s="979">
        <f>industrie!E18</f>
        <v>10837.594645854246</v>
      </c>
      <c r="G13" s="979">
        <f>industrie!F18</f>
        <v>36012.01719688125</v>
      </c>
      <c r="H13" s="979">
        <f>industrie!G18</f>
        <v>0</v>
      </c>
      <c r="I13" s="979">
        <f>industrie!H18</f>
        <v>0</v>
      </c>
      <c r="J13" s="979">
        <f>industrie!I18</f>
        <v>0</v>
      </c>
      <c r="K13" s="979">
        <f>industrie!J18</f>
        <v>412.41620598282805</v>
      </c>
      <c r="L13" s="979">
        <f>industrie!K18</f>
        <v>0</v>
      </c>
      <c r="M13" s="979">
        <f>industrie!L18</f>
        <v>0</v>
      </c>
      <c r="N13" s="979">
        <f>industrie!M18</f>
        <v>0</v>
      </c>
      <c r="O13" s="979">
        <f>industrie!N18</f>
        <v>10350.458584832728</v>
      </c>
      <c r="P13" s="979">
        <f>industrie!O18</f>
        <v>0</v>
      </c>
      <c r="Q13" s="980">
        <f>industrie!P18</f>
        <v>0</v>
      </c>
      <c r="R13" s="674">
        <f>SUM(C13:Q13)</f>
        <v>459883.41160996619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321665.48694600281</v>
      </c>
      <c r="D16" s="706">
        <f t="shared" ref="D16:R16" ca="1" si="0">SUM(D9:D15)</f>
        <v>26177.142857142859</v>
      </c>
      <c r="E16" s="706">
        <f t="shared" ca="1" si="0"/>
        <v>466914.39999438461</v>
      </c>
      <c r="F16" s="706">
        <f t="shared" si="0"/>
        <v>42142.784305505273</v>
      </c>
      <c r="G16" s="706">
        <f t="shared" ca="1" si="0"/>
        <v>58074.624634158426</v>
      </c>
      <c r="H16" s="706">
        <f t="shared" si="0"/>
        <v>0</v>
      </c>
      <c r="I16" s="706">
        <f t="shared" si="0"/>
        <v>0</v>
      </c>
      <c r="J16" s="706">
        <f t="shared" si="0"/>
        <v>0</v>
      </c>
      <c r="K16" s="706">
        <f t="shared" si="0"/>
        <v>2740.6661430813783</v>
      </c>
      <c r="L16" s="706">
        <f t="shared" si="0"/>
        <v>0</v>
      </c>
      <c r="M16" s="706">
        <f t="shared" ca="1" si="0"/>
        <v>0</v>
      </c>
      <c r="N16" s="706">
        <f t="shared" si="0"/>
        <v>0</v>
      </c>
      <c r="O16" s="706">
        <f t="shared" ca="1" si="0"/>
        <v>45390.782271726879</v>
      </c>
      <c r="P16" s="706">
        <f t="shared" si="0"/>
        <v>830.13000000000011</v>
      </c>
      <c r="Q16" s="706">
        <f t="shared" si="0"/>
        <v>1334.6666666666667</v>
      </c>
      <c r="R16" s="706">
        <f t="shared" ca="1" si="0"/>
        <v>965270.68381866894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3425.0895581983732</v>
      </c>
      <c r="I19" s="979">
        <f>transport!H54</f>
        <v>0</v>
      </c>
      <c r="J19" s="979">
        <f>transport!I54</f>
        <v>0</v>
      </c>
      <c r="K19" s="979">
        <f>transport!J54</f>
        <v>0</v>
      </c>
      <c r="L19" s="979">
        <f>transport!K54</f>
        <v>0</v>
      </c>
      <c r="M19" s="979">
        <f>transport!L54</f>
        <v>0</v>
      </c>
      <c r="N19" s="979">
        <f>transport!M54</f>
        <v>194.51527195876355</v>
      </c>
      <c r="O19" s="979">
        <f>transport!N54</f>
        <v>0</v>
      </c>
      <c r="P19" s="979">
        <f>transport!O54</f>
        <v>0</v>
      </c>
      <c r="Q19" s="980">
        <f>transport!P54</f>
        <v>0</v>
      </c>
      <c r="R19" s="674">
        <f>SUM(C19:Q19)</f>
        <v>3619.6048301571368</v>
      </c>
      <c r="S19" s="67"/>
    </row>
    <row r="20" spans="1:19" s="447" customFormat="1">
      <c r="A20" s="783" t="s">
        <v>306</v>
      </c>
      <c r="B20" s="788"/>
      <c r="C20" s="979">
        <f>transport!B14</f>
        <v>77.269621367149085</v>
      </c>
      <c r="D20" s="979">
        <f>transport!C14</f>
        <v>0</v>
      </c>
      <c r="E20" s="979">
        <f>transport!D14</f>
        <v>214.10134014780235</v>
      </c>
      <c r="F20" s="979">
        <f>transport!E14</f>
        <v>365.6456715476383</v>
      </c>
      <c r="G20" s="979">
        <f>transport!F14</f>
        <v>0</v>
      </c>
      <c r="H20" s="979">
        <f>transport!G14</f>
        <v>184855.95460124197</v>
      </c>
      <c r="I20" s="979">
        <f>transport!H14</f>
        <v>36221.548302961797</v>
      </c>
      <c r="J20" s="979">
        <f>transport!I14</f>
        <v>0</v>
      </c>
      <c r="K20" s="979">
        <f>transport!J14</f>
        <v>0</v>
      </c>
      <c r="L20" s="979">
        <f>transport!K14</f>
        <v>0</v>
      </c>
      <c r="M20" s="979">
        <f>transport!L14</f>
        <v>0</v>
      </c>
      <c r="N20" s="979">
        <f>transport!M14</f>
        <v>11866.65724834886</v>
      </c>
      <c r="O20" s="979">
        <f>transport!N14</f>
        <v>0</v>
      </c>
      <c r="P20" s="979">
        <f>transport!O14</f>
        <v>0</v>
      </c>
      <c r="Q20" s="980">
        <f>transport!P14</f>
        <v>0</v>
      </c>
      <c r="R20" s="674">
        <f>SUM(C20:Q20)</f>
        <v>233601.17678561524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77.269621367149085</v>
      </c>
      <c r="D22" s="786">
        <f t="shared" ref="D22:R22" si="1">SUM(D18:D21)</f>
        <v>0</v>
      </c>
      <c r="E22" s="786">
        <f t="shared" si="1"/>
        <v>214.10134014780235</v>
      </c>
      <c r="F22" s="786">
        <f t="shared" si="1"/>
        <v>365.6456715476383</v>
      </c>
      <c r="G22" s="786">
        <f t="shared" si="1"/>
        <v>0</v>
      </c>
      <c r="H22" s="786">
        <f t="shared" si="1"/>
        <v>188281.04415944035</v>
      </c>
      <c r="I22" s="786">
        <f t="shared" si="1"/>
        <v>36221.548302961797</v>
      </c>
      <c r="J22" s="786">
        <f t="shared" si="1"/>
        <v>0</v>
      </c>
      <c r="K22" s="786">
        <f t="shared" si="1"/>
        <v>0</v>
      </c>
      <c r="L22" s="786">
        <f t="shared" si="1"/>
        <v>0</v>
      </c>
      <c r="M22" s="786">
        <f t="shared" si="1"/>
        <v>0</v>
      </c>
      <c r="N22" s="786">
        <f t="shared" si="1"/>
        <v>12061.172520307624</v>
      </c>
      <c r="O22" s="786">
        <f t="shared" si="1"/>
        <v>0</v>
      </c>
      <c r="P22" s="786">
        <f t="shared" si="1"/>
        <v>0</v>
      </c>
      <c r="Q22" s="786">
        <f t="shared" si="1"/>
        <v>0</v>
      </c>
      <c r="R22" s="786">
        <f t="shared" si="1"/>
        <v>237220.78161577237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10190.707757002378</v>
      </c>
      <c r="D24" s="979">
        <f>+landbouw!C8</f>
        <v>13444.821428571429</v>
      </c>
      <c r="E24" s="979">
        <f>+landbouw!D8</f>
        <v>1291.0964837659499</v>
      </c>
      <c r="F24" s="979">
        <f>+landbouw!E8</f>
        <v>299.53602699240099</v>
      </c>
      <c r="G24" s="979">
        <f>+landbouw!F8</f>
        <v>42453.937838728467</v>
      </c>
      <c r="H24" s="979">
        <f>+landbouw!G8</f>
        <v>0</v>
      </c>
      <c r="I24" s="979">
        <f>+landbouw!H8</f>
        <v>0</v>
      </c>
      <c r="J24" s="979">
        <f>+landbouw!I8</f>
        <v>0</v>
      </c>
      <c r="K24" s="979">
        <f>+landbouw!J8</f>
        <v>1476.4147060354351</v>
      </c>
      <c r="L24" s="979">
        <f>+landbouw!K8</f>
        <v>0</v>
      </c>
      <c r="M24" s="979">
        <f>+landbouw!L8</f>
        <v>0</v>
      </c>
      <c r="N24" s="979">
        <f>+landbouw!M8</f>
        <v>0</v>
      </c>
      <c r="O24" s="979">
        <f>+landbouw!N8</f>
        <v>0</v>
      </c>
      <c r="P24" s="979">
        <f>+landbouw!O8</f>
        <v>0</v>
      </c>
      <c r="Q24" s="980">
        <f>+landbouw!P8</f>
        <v>0</v>
      </c>
      <c r="R24" s="674">
        <f>SUM(C24:Q24)</f>
        <v>69156.514241096054</v>
      </c>
      <c r="S24" s="67"/>
    </row>
    <row r="25" spans="1:19" s="447" customFormat="1" ht="15" thickBot="1">
      <c r="A25" s="805" t="s">
        <v>823</v>
      </c>
      <c r="B25" s="982"/>
      <c r="C25" s="983">
        <f>IF(Onbekend_ele_kWh="---",0,Onbekend_ele_kWh)/1000+IF(REST_rest_ele_kWh="---",0,REST_rest_ele_kWh)/1000</f>
        <v>2373.9460493435799</v>
      </c>
      <c r="D25" s="983"/>
      <c r="E25" s="983">
        <f>IF(onbekend_gas_kWh="---",0,onbekend_gas_kWh)/1000+IF(REST_rest_gas_kWh="---",0,REST_rest_gas_kWh)/1000</f>
        <v>5837.4025034434098</v>
      </c>
      <c r="F25" s="983"/>
      <c r="G25" s="983"/>
      <c r="H25" s="983"/>
      <c r="I25" s="983"/>
      <c r="J25" s="983"/>
      <c r="K25" s="983"/>
      <c r="L25" s="983"/>
      <c r="M25" s="983"/>
      <c r="N25" s="983"/>
      <c r="O25" s="983"/>
      <c r="P25" s="983"/>
      <c r="Q25" s="984"/>
      <c r="R25" s="674">
        <f>SUM(C25:Q25)</f>
        <v>8211.3485527869889</v>
      </c>
      <c r="S25" s="67"/>
    </row>
    <row r="26" spans="1:19" s="447" customFormat="1" ht="15.75" thickBot="1">
      <c r="A26" s="679" t="s">
        <v>824</v>
      </c>
      <c r="B26" s="791"/>
      <c r="C26" s="786">
        <f>SUM(C24:C25)</f>
        <v>12564.653806345957</v>
      </c>
      <c r="D26" s="786">
        <f t="shared" ref="D26:R26" si="2">SUM(D24:D25)</f>
        <v>13444.821428571429</v>
      </c>
      <c r="E26" s="786">
        <f t="shared" si="2"/>
        <v>7128.4989872093593</v>
      </c>
      <c r="F26" s="786">
        <f t="shared" si="2"/>
        <v>299.53602699240099</v>
      </c>
      <c r="G26" s="786">
        <f t="shared" si="2"/>
        <v>42453.937838728467</v>
      </c>
      <c r="H26" s="786">
        <f t="shared" si="2"/>
        <v>0</v>
      </c>
      <c r="I26" s="786">
        <f t="shared" si="2"/>
        <v>0</v>
      </c>
      <c r="J26" s="786">
        <f t="shared" si="2"/>
        <v>0</v>
      </c>
      <c r="K26" s="786">
        <f t="shared" si="2"/>
        <v>1476.4147060354351</v>
      </c>
      <c r="L26" s="786">
        <f t="shared" si="2"/>
        <v>0</v>
      </c>
      <c r="M26" s="786">
        <f t="shared" si="2"/>
        <v>0</v>
      </c>
      <c r="N26" s="786">
        <f t="shared" si="2"/>
        <v>0</v>
      </c>
      <c r="O26" s="786">
        <f t="shared" si="2"/>
        <v>0</v>
      </c>
      <c r="P26" s="786">
        <f t="shared" si="2"/>
        <v>0</v>
      </c>
      <c r="Q26" s="786">
        <f t="shared" si="2"/>
        <v>0</v>
      </c>
      <c r="R26" s="786">
        <f t="shared" si="2"/>
        <v>77367.862793883047</v>
      </c>
      <c r="S26" s="67"/>
    </row>
    <row r="27" spans="1:19" s="447" customFormat="1" ht="17.25" thickTop="1" thickBot="1">
      <c r="A27" s="680" t="s">
        <v>115</v>
      </c>
      <c r="B27" s="779"/>
      <c r="C27" s="681">
        <f ca="1">C22+C16+C26</f>
        <v>334307.41037371592</v>
      </c>
      <c r="D27" s="681">
        <f t="shared" ref="D27:R27" ca="1" si="3">D22+D16+D26</f>
        <v>39621.96428571429</v>
      </c>
      <c r="E27" s="681">
        <f t="shared" ca="1" si="3"/>
        <v>474257.00032174174</v>
      </c>
      <c r="F27" s="681">
        <f t="shared" si="3"/>
        <v>42807.966004045309</v>
      </c>
      <c r="G27" s="681">
        <f t="shared" ca="1" si="3"/>
        <v>100528.5624728869</v>
      </c>
      <c r="H27" s="681">
        <f t="shared" si="3"/>
        <v>188281.04415944035</v>
      </c>
      <c r="I27" s="681">
        <f t="shared" si="3"/>
        <v>36221.548302961797</v>
      </c>
      <c r="J27" s="681">
        <f t="shared" si="3"/>
        <v>0</v>
      </c>
      <c r="K27" s="681">
        <f t="shared" si="3"/>
        <v>4217.0808491168136</v>
      </c>
      <c r="L27" s="681">
        <f t="shared" si="3"/>
        <v>0</v>
      </c>
      <c r="M27" s="681">
        <f t="shared" ca="1" si="3"/>
        <v>0</v>
      </c>
      <c r="N27" s="681">
        <f t="shared" si="3"/>
        <v>12061.172520307624</v>
      </c>
      <c r="O27" s="681">
        <f t="shared" ca="1" si="3"/>
        <v>45390.782271726879</v>
      </c>
      <c r="P27" s="681">
        <f t="shared" si="3"/>
        <v>830.13000000000011</v>
      </c>
      <c r="Q27" s="681">
        <f t="shared" si="3"/>
        <v>1334.6666666666667</v>
      </c>
      <c r="R27" s="681">
        <f t="shared" ca="1" si="3"/>
        <v>1279859.3282283244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17153.901116845514</v>
      </c>
      <c r="D40" s="979">
        <f ca="1">tertiair!C20</f>
        <v>282.61238474649201</v>
      </c>
      <c r="E40" s="979">
        <f ca="1">tertiair!D20</f>
        <v>17057.173946560786</v>
      </c>
      <c r="F40" s="979">
        <f>tertiair!E20</f>
        <v>213.68176853282773</v>
      </c>
      <c r="G40" s="979">
        <f ca="1">tertiair!F20</f>
        <v>3617.8053090566996</v>
      </c>
      <c r="H40" s="979">
        <f>tertiair!G20</f>
        <v>0</v>
      </c>
      <c r="I40" s="979">
        <f>tertiair!H20</f>
        <v>0</v>
      </c>
      <c r="J40" s="979">
        <f>tertiair!I20</f>
        <v>0</v>
      </c>
      <c r="K40" s="979">
        <f>tertiair!J20</f>
        <v>8.0350656347940183E-2</v>
      </c>
      <c r="L40" s="979">
        <f>tertiair!K20</f>
        <v>0</v>
      </c>
      <c r="M40" s="979">
        <f ca="1">tertiair!L20</f>
        <v>0</v>
      </c>
      <c r="N40" s="979">
        <f>tertiair!M20</f>
        <v>0</v>
      </c>
      <c r="O40" s="979">
        <f ca="1">tertiair!N20</f>
        <v>0</v>
      </c>
      <c r="P40" s="979">
        <f>tertiair!O20</f>
        <v>0</v>
      </c>
      <c r="Q40" s="748">
        <f>tertiair!P20</f>
        <v>0</v>
      </c>
      <c r="R40" s="824">
        <f t="shared" ca="1" si="4"/>
        <v>38325.254876398663</v>
      </c>
    </row>
    <row r="41" spans="1:18">
      <c r="A41" s="796" t="s">
        <v>224</v>
      </c>
      <c r="B41" s="803"/>
      <c r="C41" s="979">
        <f ca="1">huishoudens!B12</f>
        <v>9500.0950306060095</v>
      </c>
      <c r="D41" s="979">
        <f ca="1">huishoudens!C12</f>
        <v>0</v>
      </c>
      <c r="E41" s="979">
        <f>huishoudens!D12</f>
        <v>28768.574977650253</v>
      </c>
      <c r="F41" s="979">
        <f>huishoudens!E12</f>
        <v>6892.5962842079553</v>
      </c>
      <c r="G41" s="979">
        <f>huishoudens!F12</f>
        <v>2272.9108766963063</v>
      </c>
      <c r="H41" s="979">
        <f>huishoudens!G12</f>
        <v>0</v>
      </c>
      <c r="I41" s="979">
        <f>huishoudens!H12</f>
        <v>0</v>
      </c>
      <c r="J41" s="979">
        <f>huishoudens!I12</f>
        <v>0</v>
      </c>
      <c r="K41" s="979">
        <f>huishoudens!J12</f>
        <v>824.12012707653878</v>
      </c>
      <c r="L41" s="979">
        <f>huishoudens!K12</f>
        <v>0</v>
      </c>
      <c r="M41" s="979">
        <f>huishoudens!L12</f>
        <v>0</v>
      </c>
      <c r="N41" s="979">
        <f>huishoudens!M12</f>
        <v>0</v>
      </c>
      <c r="O41" s="979">
        <f>huishoudens!N12</f>
        <v>0</v>
      </c>
      <c r="P41" s="979">
        <f>huishoudens!O12</f>
        <v>0</v>
      </c>
      <c r="Q41" s="748">
        <f>huishoudens!P12</f>
        <v>0</v>
      </c>
      <c r="R41" s="824">
        <f t="shared" ca="1" si="4"/>
        <v>48258.297296237055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27116.679080538481</v>
      </c>
      <c r="D43" s="979">
        <f ca="1">industrie!C22</f>
        <v>0</v>
      </c>
      <c r="E43" s="979">
        <f>industrie!D22</f>
        <v>48490.959874654662</v>
      </c>
      <c r="F43" s="979">
        <f>industrie!E22</f>
        <v>2460.133984608914</v>
      </c>
      <c r="G43" s="979">
        <f>industrie!F22</f>
        <v>9615.2085915672942</v>
      </c>
      <c r="H43" s="979">
        <f>industrie!G22</f>
        <v>0</v>
      </c>
      <c r="I43" s="979">
        <f>industrie!H22</f>
        <v>0</v>
      </c>
      <c r="J43" s="979">
        <f>industrie!I22</f>
        <v>0</v>
      </c>
      <c r="K43" s="979">
        <f>industrie!J22</f>
        <v>145.99533691792112</v>
      </c>
      <c r="L43" s="979">
        <f>industrie!K22</f>
        <v>0</v>
      </c>
      <c r="M43" s="979">
        <f>industrie!L22</f>
        <v>0</v>
      </c>
      <c r="N43" s="979">
        <f>industrie!M22</f>
        <v>0</v>
      </c>
      <c r="O43" s="979">
        <f>industrie!N22</f>
        <v>0</v>
      </c>
      <c r="P43" s="979">
        <f>industrie!O22</f>
        <v>0</v>
      </c>
      <c r="Q43" s="748">
        <f>industrie!P22</f>
        <v>0</v>
      </c>
      <c r="R43" s="823">
        <f t="shared" ca="1" si="4"/>
        <v>87828.976868287267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53770.675227990003</v>
      </c>
      <c r="D46" s="706">
        <f t="shared" ref="D46:Q46" ca="1" si="5">SUM(D39:D45)</f>
        <v>282.61238474649201</v>
      </c>
      <c r="E46" s="706">
        <f t="shared" ca="1" si="5"/>
        <v>94316.7087988657</v>
      </c>
      <c r="F46" s="706">
        <f t="shared" si="5"/>
        <v>9566.4120373496971</v>
      </c>
      <c r="G46" s="706">
        <f t="shared" ca="1" si="5"/>
        <v>15505.924777320301</v>
      </c>
      <c r="H46" s="706">
        <f t="shared" si="5"/>
        <v>0</v>
      </c>
      <c r="I46" s="706">
        <f t="shared" si="5"/>
        <v>0</v>
      </c>
      <c r="J46" s="706">
        <f t="shared" si="5"/>
        <v>0</v>
      </c>
      <c r="K46" s="706">
        <f t="shared" si="5"/>
        <v>970.19581465080785</v>
      </c>
      <c r="L46" s="706">
        <f t="shared" si="5"/>
        <v>0</v>
      </c>
      <c r="M46" s="706">
        <f t="shared" ca="1" si="5"/>
        <v>0</v>
      </c>
      <c r="N46" s="706">
        <f t="shared" si="5"/>
        <v>0</v>
      </c>
      <c r="O46" s="706">
        <f t="shared" ca="1" si="5"/>
        <v>0</v>
      </c>
      <c r="P46" s="706">
        <f t="shared" si="5"/>
        <v>0</v>
      </c>
      <c r="Q46" s="706">
        <f t="shared" si="5"/>
        <v>0</v>
      </c>
      <c r="R46" s="706">
        <f ca="1">SUM(R39:R45)</f>
        <v>174412.52904092299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914.49891203896573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914.49891203896573</v>
      </c>
    </row>
    <row r="50" spans="1:18">
      <c r="A50" s="799" t="s">
        <v>306</v>
      </c>
      <c r="B50" s="809"/>
      <c r="C50" s="677">
        <f ca="1">transport!B18</f>
        <v>12.916647524016755</v>
      </c>
      <c r="D50" s="677">
        <f>transport!C18</f>
        <v>0</v>
      </c>
      <c r="E50" s="677">
        <f>transport!D18</f>
        <v>43.248470709856079</v>
      </c>
      <c r="F50" s="677">
        <f>transport!E18</f>
        <v>83.001567441313895</v>
      </c>
      <c r="G50" s="677">
        <f>transport!F18</f>
        <v>0</v>
      </c>
      <c r="H50" s="677">
        <f>transport!G18</f>
        <v>49356.539878531607</v>
      </c>
      <c r="I50" s="677">
        <f>transport!H18</f>
        <v>9019.165527437488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58514.872091644276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12.916647524016755</v>
      </c>
      <c r="D52" s="706">
        <f t="shared" ref="D52:Q52" ca="1" si="6">SUM(D48:D51)</f>
        <v>0</v>
      </c>
      <c r="E52" s="706">
        <f t="shared" si="6"/>
        <v>43.248470709856079</v>
      </c>
      <c r="F52" s="706">
        <f t="shared" si="6"/>
        <v>83.001567441313895</v>
      </c>
      <c r="G52" s="706">
        <f t="shared" si="6"/>
        <v>0</v>
      </c>
      <c r="H52" s="706">
        <f t="shared" si="6"/>
        <v>50271.038790570572</v>
      </c>
      <c r="I52" s="706">
        <f t="shared" si="6"/>
        <v>9019.165527437488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59429.371003683242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1703.5126843966268</v>
      </c>
      <c r="D54" s="677">
        <f ca="1">+landbouw!C12</f>
        <v>145.15232113586097</v>
      </c>
      <c r="E54" s="677">
        <f>+landbouw!D12</f>
        <v>260.80148972072192</v>
      </c>
      <c r="F54" s="677">
        <f>+landbouw!E12</f>
        <v>67.994678127275023</v>
      </c>
      <c r="G54" s="677">
        <f>+landbouw!F12</f>
        <v>11335.201402940502</v>
      </c>
      <c r="H54" s="677">
        <f>+landbouw!G12</f>
        <v>0</v>
      </c>
      <c r="I54" s="677">
        <f>+landbouw!H12</f>
        <v>0</v>
      </c>
      <c r="J54" s="677">
        <f>+landbouw!I12</f>
        <v>0</v>
      </c>
      <c r="K54" s="677">
        <f>+landbouw!J12</f>
        <v>522.65080593654397</v>
      </c>
      <c r="L54" s="677">
        <f>+landbouw!K12</f>
        <v>0</v>
      </c>
      <c r="M54" s="677">
        <f>+landbouw!L12</f>
        <v>0</v>
      </c>
      <c r="N54" s="677">
        <f>+landbouw!M12</f>
        <v>0</v>
      </c>
      <c r="O54" s="677">
        <f>+landbouw!N12</f>
        <v>0</v>
      </c>
      <c r="P54" s="677">
        <f>+landbouw!O12</f>
        <v>0</v>
      </c>
      <c r="Q54" s="678">
        <f>+landbouw!P12</f>
        <v>0</v>
      </c>
      <c r="R54" s="705">
        <f ca="1">SUM(C54:Q54)</f>
        <v>14035.313382257531</v>
      </c>
    </row>
    <row r="55" spans="1:18" ht="15" thickBot="1">
      <c r="A55" s="799" t="s">
        <v>823</v>
      </c>
      <c r="B55" s="809"/>
      <c r="C55" s="677">
        <f ca="1">C25*'EF ele_warmte'!B12</f>
        <v>396.83673632493759</v>
      </c>
      <c r="D55" s="677"/>
      <c r="E55" s="677">
        <f>E25*EF_CO2_aardgas</f>
        <v>1179.1553056955688</v>
      </c>
      <c r="F55" s="677"/>
      <c r="G55" s="677"/>
      <c r="H55" s="677"/>
      <c r="I55" s="677"/>
      <c r="J55" s="677"/>
      <c r="K55" s="677"/>
      <c r="L55" s="677"/>
      <c r="M55" s="677"/>
      <c r="N55" s="677"/>
      <c r="O55" s="677"/>
      <c r="P55" s="677"/>
      <c r="Q55" s="678"/>
      <c r="R55" s="705">
        <f ca="1">SUM(C55:Q55)</f>
        <v>1575.9920420205065</v>
      </c>
    </row>
    <row r="56" spans="1:18" ht="15.75" thickBot="1">
      <c r="A56" s="797" t="s">
        <v>824</v>
      </c>
      <c r="B56" s="810"/>
      <c r="C56" s="706">
        <f ca="1">SUM(C54:C55)</f>
        <v>2100.3494207215645</v>
      </c>
      <c r="D56" s="706">
        <f t="shared" ref="D56:Q56" ca="1" si="7">SUM(D54:D55)</f>
        <v>145.15232113586097</v>
      </c>
      <c r="E56" s="706">
        <f t="shared" si="7"/>
        <v>1439.9567954162908</v>
      </c>
      <c r="F56" s="706">
        <f t="shared" si="7"/>
        <v>67.994678127275023</v>
      </c>
      <c r="G56" s="706">
        <f t="shared" si="7"/>
        <v>11335.201402940502</v>
      </c>
      <c r="H56" s="706">
        <f t="shared" si="7"/>
        <v>0</v>
      </c>
      <c r="I56" s="706">
        <f t="shared" si="7"/>
        <v>0</v>
      </c>
      <c r="J56" s="706">
        <f t="shared" si="7"/>
        <v>0</v>
      </c>
      <c r="K56" s="706">
        <f t="shared" si="7"/>
        <v>522.65080593654397</v>
      </c>
      <c r="L56" s="706">
        <f t="shared" si="7"/>
        <v>0</v>
      </c>
      <c r="M56" s="706">
        <f t="shared" si="7"/>
        <v>0</v>
      </c>
      <c r="N56" s="706">
        <f t="shared" si="7"/>
        <v>0</v>
      </c>
      <c r="O56" s="706">
        <f t="shared" si="7"/>
        <v>0</v>
      </c>
      <c r="P56" s="706">
        <f t="shared" si="7"/>
        <v>0</v>
      </c>
      <c r="Q56" s="707">
        <f t="shared" si="7"/>
        <v>0</v>
      </c>
      <c r="R56" s="708">
        <f ca="1">SUM(R54:R55)</f>
        <v>15611.305424278038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55883.941296235585</v>
      </c>
      <c r="D61" s="714">
        <f t="shared" ref="D61:Q61" ca="1" si="8">D46+D52+D56</f>
        <v>427.76470588235298</v>
      </c>
      <c r="E61" s="714">
        <f t="shared" ca="1" si="8"/>
        <v>95799.914064991855</v>
      </c>
      <c r="F61" s="714">
        <f t="shared" si="8"/>
        <v>9717.4082829182862</v>
      </c>
      <c r="G61" s="714">
        <f t="shared" ca="1" si="8"/>
        <v>26841.126180260802</v>
      </c>
      <c r="H61" s="714">
        <f t="shared" si="8"/>
        <v>50271.038790570572</v>
      </c>
      <c r="I61" s="714">
        <f t="shared" si="8"/>
        <v>9019.165527437488</v>
      </c>
      <c r="J61" s="714">
        <f t="shared" si="8"/>
        <v>0</v>
      </c>
      <c r="K61" s="714">
        <f t="shared" si="8"/>
        <v>1492.8466205873519</v>
      </c>
      <c r="L61" s="714">
        <f t="shared" si="8"/>
        <v>0</v>
      </c>
      <c r="M61" s="714">
        <f t="shared" ca="1" si="8"/>
        <v>0</v>
      </c>
      <c r="N61" s="714">
        <f t="shared" si="8"/>
        <v>0</v>
      </c>
      <c r="O61" s="714">
        <f t="shared" ca="1" si="8"/>
        <v>0</v>
      </c>
      <c r="P61" s="714">
        <f t="shared" si="8"/>
        <v>0</v>
      </c>
      <c r="Q61" s="714">
        <f t="shared" si="8"/>
        <v>0</v>
      </c>
      <c r="R61" s="714">
        <f ca="1">R46+R52+R56</f>
        <v>249453.20546888429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0.16716333399180111</v>
      </c>
      <c r="D63" s="755">
        <f t="shared" ca="1" si="9"/>
        <v>1.0796150912603383E-2</v>
      </c>
      <c r="E63" s="990">
        <f t="shared" ca="1" si="9"/>
        <v>0.20200000000000004</v>
      </c>
      <c r="F63" s="755">
        <f t="shared" si="9"/>
        <v>0.22700000000000004</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35654.676192770887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15803.757361406804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26475.374999999996</v>
      </c>
      <c r="C76" s="724">
        <f>'lokale energieproductie'!B8*IFERROR(SUM(D76:H76)/SUM(D76:O76),0)</f>
        <v>1260.0000000000005</v>
      </c>
      <c r="D76" s="1000">
        <f>'lokale energieproductie'!C8</f>
        <v>1482.3529411764709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31147.499999999996</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299.43529411764717</v>
      </c>
      <c r="R76" s="826">
        <v>0</v>
      </c>
    </row>
    <row r="77" spans="1:18" ht="30.75" thickBot="1">
      <c r="A77" s="727" t="s">
        <v>352</v>
      </c>
      <c r="B77" s="724">
        <f>'lokale energieproductie'!B9*IFERROR(SUM(I77:O77)/SUM(D77:O77),0)</f>
        <v>3600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10285.714285714286</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81533.808554177682</v>
      </c>
      <c r="C78" s="729">
        <f>SUM(C72:C77)</f>
        <v>1260.0000000000005</v>
      </c>
      <c r="D78" s="730">
        <f t="shared" ref="D78:H78" si="10">SUM(D76:D77)</f>
        <v>1482.3529411764709</v>
      </c>
      <c r="E78" s="730">
        <f t="shared" si="10"/>
        <v>0</v>
      </c>
      <c r="F78" s="730">
        <f t="shared" si="10"/>
        <v>0</v>
      </c>
      <c r="G78" s="730">
        <f t="shared" si="10"/>
        <v>0</v>
      </c>
      <c r="H78" s="730">
        <f t="shared" si="10"/>
        <v>0</v>
      </c>
      <c r="I78" s="730">
        <f>SUM(I76:I77)</f>
        <v>0</v>
      </c>
      <c r="J78" s="730">
        <f>SUM(J76:J77)</f>
        <v>41433.214285714283</v>
      </c>
      <c r="K78" s="730">
        <f t="shared" ref="K78:L78" si="11">SUM(K76:K77)</f>
        <v>0</v>
      </c>
      <c r="L78" s="730">
        <f t="shared" si="11"/>
        <v>0</v>
      </c>
      <c r="M78" s="730">
        <f>SUM(M76:M77)</f>
        <v>0</v>
      </c>
      <c r="N78" s="730">
        <f>SUM(N76:N77)</f>
        <v>0</v>
      </c>
      <c r="O78" s="834">
        <f>SUM(O76:O77)</f>
        <v>0</v>
      </c>
      <c r="P78" s="731">
        <v>0</v>
      </c>
      <c r="Q78" s="731">
        <f>SUM(Q76:Q77)</f>
        <v>299.43529411764717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37821.964285714283</v>
      </c>
      <c r="C87" s="740">
        <f>'lokale energieproductie'!B17*IFERROR(SUM(D87:H87)/SUM(D87:O87),0)</f>
        <v>1800.0000000000005</v>
      </c>
      <c r="D87" s="751">
        <f>'lokale energieproductie'!C17</f>
        <v>2117.6470588235297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44496.428571428558</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427.76470588235304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37821.964285714283</v>
      </c>
      <c r="C90" s="729">
        <f>SUM(C87:C89)</f>
        <v>1800.0000000000005</v>
      </c>
      <c r="D90" s="729">
        <f t="shared" ref="D90:H90" si="12">SUM(D87:D89)</f>
        <v>2117.6470588235297</v>
      </c>
      <c r="E90" s="729">
        <f t="shared" si="12"/>
        <v>0</v>
      </c>
      <c r="F90" s="729">
        <f t="shared" si="12"/>
        <v>0</v>
      </c>
      <c r="G90" s="729">
        <f t="shared" si="12"/>
        <v>0</v>
      </c>
      <c r="H90" s="729">
        <f t="shared" si="12"/>
        <v>0</v>
      </c>
      <c r="I90" s="729">
        <f>SUM(I87:I89)</f>
        <v>0</v>
      </c>
      <c r="J90" s="729">
        <f>SUM(J87:J89)</f>
        <v>44496.428571428558</v>
      </c>
      <c r="K90" s="729">
        <f t="shared" ref="K90:L90" si="13">SUM(K87:K89)</f>
        <v>0</v>
      </c>
      <c r="L90" s="729">
        <f t="shared" si="13"/>
        <v>0</v>
      </c>
      <c r="M90" s="729">
        <f>SUM(M87:M89)</f>
        <v>0</v>
      </c>
      <c r="N90" s="729">
        <f>SUM(N87:N89)</f>
        <v>0</v>
      </c>
      <c r="O90" s="729">
        <f>SUM(O87:O89)</f>
        <v>0</v>
      </c>
      <c r="P90" s="729">
        <v>0</v>
      </c>
      <c r="Q90" s="729">
        <f>SUM(Q87:Q89)</f>
        <v>427.76470588235304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316" zoomScaleNormal="100"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35654.676192770887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15803.757361406804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N33</f>
        <v>27735.375</v>
      </c>
      <c r="C8" s="544">
        <f>B52</f>
        <v>1482.3529411764709</v>
      </c>
      <c r="D8" s="1010"/>
      <c r="E8" s="1010">
        <f>E52</f>
        <v>0</v>
      </c>
      <c r="F8" s="1011"/>
      <c r="G8" s="545"/>
      <c r="H8" s="1010">
        <f>I52</f>
        <v>0</v>
      </c>
      <c r="I8" s="1010">
        <f>G52+F52</f>
        <v>0</v>
      </c>
      <c r="J8" s="1010">
        <f>H52+D52+C52</f>
        <v>31147.499999999996</v>
      </c>
      <c r="K8" s="1010"/>
      <c r="L8" s="1010"/>
      <c r="M8" s="1010"/>
      <c r="N8" s="546"/>
      <c r="O8" s="547">
        <f>C8*$C$12+D8*$D$12+E8*$E$12+F8*$F$12+G8*$G$12+H8*$H$12+I8*$I$12+J8*$J$12</f>
        <v>299.43529411764717</v>
      </c>
      <c r="P8" s="1250"/>
      <c r="Q8" s="1251"/>
      <c r="S8" s="973"/>
      <c r="T8" s="1225"/>
      <c r="U8" s="1225"/>
    </row>
    <row r="9" spans="1:21" s="533" customFormat="1" ht="17.45" customHeight="1" thickBot="1">
      <c r="A9" s="548" t="s">
        <v>247</v>
      </c>
      <c r="B9" s="549">
        <f>N40+'Eigen informatie GS &amp; warmtenet'!B12</f>
        <v>3600</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10285.714285714286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82793.808554177696</v>
      </c>
      <c r="C10" s="557">
        <f t="shared" ref="C10:L10" si="0">SUM(C8:C9)</f>
        <v>1482.3529411764709</v>
      </c>
      <c r="D10" s="557">
        <f t="shared" si="0"/>
        <v>0</v>
      </c>
      <c r="E10" s="557">
        <f t="shared" si="0"/>
        <v>0</v>
      </c>
      <c r="F10" s="557">
        <f t="shared" si="0"/>
        <v>0</v>
      </c>
      <c r="G10" s="557">
        <f t="shared" si="0"/>
        <v>0</v>
      </c>
      <c r="H10" s="557">
        <f t="shared" si="0"/>
        <v>0</v>
      </c>
      <c r="I10" s="557">
        <f t="shared" si="0"/>
        <v>0</v>
      </c>
      <c r="J10" s="557">
        <f t="shared" si="0"/>
        <v>41433.214285714283</v>
      </c>
      <c r="K10" s="557">
        <f t="shared" si="0"/>
        <v>0</v>
      </c>
      <c r="L10" s="557">
        <f t="shared" si="0"/>
        <v>0</v>
      </c>
      <c r="M10" s="1013"/>
      <c r="N10" s="1013"/>
      <c r="O10" s="558">
        <f>SUM(O4:O9)</f>
        <v>299.43529411764717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O33</f>
        <v>39621.964285714283</v>
      </c>
      <c r="C17" s="569">
        <f>B53</f>
        <v>2117.6470588235297</v>
      </c>
      <c r="D17" s="570"/>
      <c r="E17" s="570">
        <f>E53</f>
        <v>0</v>
      </c>
      <c r="F17" s="1016"/>
      <c r="G17" s="571"/>
      <c r="H17" s="569">
        <f>I53</f>
        <v>0</v>
      </c>
      <c r="I17" s="570">
        <f>G53+F53</f>
        <v>0</v>
      </c>
      <c r="J17" s="570">
        <f>H53+D53+C53</f>
        <v>44496.428571428558</v>
      </c>
      <c r="K17" s="570"/>
      <c r="L17" s="570"/>
      <c r="M17" s="570"/>
      <c r="N17" s="1017"/>
      <c r="O17" s="572">
        <f>C17*$C$22+E17*$E$22+H17*$H$22+I17*$I$22+J17*$J$22+D17*$D$22+F17*$F$22+G17*$G$22+K17*$K$22+L17*$L$22</f>
        <v>427.76470588235304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39621.964285714283</v>
      </c>
      <c r="C20" s="556">
        <f>SUM(C17:C19)</f>
        <v>2117.6470588235297</v>
      </c>
      <c r="D20" s="556">
        <f t="shared" ref="D20:L20" si="1">SUM(D17:D19)</f>
        <v>0</v>
      </c>
      <c r="E20" s="556">
        <f t="shared" si="1"/>
        <v>0</v>
      </c>
      <c r="F20" s="556">
        <f t="shared" si="1"/>
        <v>0</v>
      </c>
      <c r="G20" s="556">
        <f t="shared" si="1"/>
        <v>0</v>
      </c>
      <c r="H20" s="556">
        <f t="shared" si="1"/>
        <v>0</v>
      </c>
      <c r="I20" s="556">
        <f t="shared" si="1"/>
        <v>0</v>
      </c>
      <c r="J20" s="556">
        <f t="shared" si="1"/>
        <v>44496.428571428558</v>
      </c>
      <c r="K20" s="556">
        <f t="shared" si="1"/>
        <v>0</v>
      </c>
      <c r="L20" s="556">
        <f t="shared" si="1"/>
        <v>0</v>
      </c>
      <c r="M20" s="556"/>
      <c r="N20" s="556"/>
      <c r="O20" s="575">
        <f>SUM(O17:O19)</f>
        <v>427.76470588235304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33011</v>
      </c>
      <c r="C28" s="770">
        <v>8900</v>
      </c>
      <c r="D28" s="627" t="s">
        <v>887</v>
      </c>
      <c r="E28" s="626" t="s">
        <v>888</v>
      </c>
      <c r="F28" s="626" t="s">
        <v>889</v>
      </c>
      <c r="G28" s="626" t="s">
        <v>890</v>
      </c>
      <c r="H28" s="626" t="s">
        <v>891</v>
      </c>
      <c r="I28" s="626" t="s">
        <v>888</v>
      </c>
      <c r="J28" s="769">
        <v>40199</v>
      </c>
      <c r="K28" s="769">
        <v>39360</v>
      </c>
      <c r="L28" s="626" t="s">
        <v>892</v>
      </c>
      <c r="M28" s="626">
        <v>2085</v>
      </c>
      <c r="N28" s="626">
        <v>9382.5</v>
      </c>
      <c r="O28" s="626">
        <v>13403.571428571429</v>
      </c>
      <c r="P28" s="626">
        <v>0</v>
      </c>
      <c r="Q28" s="626">
        <v>26807.142857142859</v>
      </c>
      <c r="R28" s="626">
        <v>0</v>
      </c>
      <c r="S28" s="626">
        <v>0</v>
      </c>
      <c r="T28" s="626">
        <v>0</v>
      </c>
      <c r="U28" s="626">
        <v>0</v>
      </c>
      <c r="V28" s="626">
        <v>0</v>
      </c>
      <c r="W28" s="626">
        <v>0</v>
      </c>
      <c r="X28" s="626">
        <v>10</v>
      </c>
      <c r="Y28" s="626" t="s">
        <v>111</v>
      </c>
      <c r="Z28" s="628" t="s">
        <v>111</v>
      </c>
    </row>
    <row r="29" spans="1:26" s="580" customFormat="1" ht="51">
      <c r="A29" s="579"/>
      <c r="B29" s="770">
        <v>33011</v>
      </c>
      <c r="C29" s="770">
        <v>8900</v>
      </c>
      <c r="D29" s="627" t="s">
        <v>893</v>
      </c>
      <c r="E29" s="626" t="s">
        <v>894</v>
      </c>
      <c r="F29" s="626" t="s">
        <v>895</v>
      </c>
      <c r="G29" s="626" t="s">
        <v>890</v>
      </c>
      <c r="H29" s="626" t="s">
        <v>891</v>
      </c>
      <c r="I29" s="626" t="s">
        <v>894</v>
      </c>
      <c r="J29" s="769">
        <v>41484</v>
      </c>
      <c r="K29" s="769">
        <v>41484</v>
      </c>
      <c r="L29" s="626" t="s">
        <v>892</v>
      </c>
      <c r="M29" s="626">
        <v>280</v>
      </c>
      <c r="N29" s="626">
        <v>1260.0000000000002</v>
      </c>
      <c r="O29" s="626">
        <v>1800.0000000000005</v>
      </c>
      <c r="P29" s="626">
        <v>3600.0000000000009</v>
      </c>
      <c r="Q29" s="626">
        <v>0</v>
      </c>
      <c r="R29" s="626">
        <v>0</v>
      </c>
      <c r="S29" s="626">
        <v>0</v>
      </c>
      <c r="T29" s="626">
        <v>0</v>
      </c>
      <c r="U29" s="626">
        <v>0</v>
      </c>
      <c r="V29" s="626">
        <v>0</v>
      </c>
      <c r="W29" s="626">
        <v>0</v>
      </c>
      <c r="X29" s="626">
        <v>1501</v>
      </c>
      <c r="Y29" s="626" t="s">
        <v>50</v>
      </c>
      <c r="Z29" s="628" t="s">
        <v>155</v>
      </c>
    </row>
    <row r="30" spans="1:26" s="580" customFormat="1" ht="63.75">
      <c r="A30" s="579"/>
      <c r="B30" s="770">
        <v>33011</v>
      </c>
      <c r="C30" s="770">
        <v>8900</v>
      </c>
      <c r="D30" s="627" t="s">
        <v>896</v>
      </c>
      <c r="E30" s="626" t="s">
        <v>897</v>
      </c>
      <c r="F30" s="626" t="s">
        <v>898</v>
      </c>
      <c r="G30" s="626" t="s">
        <v>890</v>
      </c>
      <c r="H30" s="626" t="s">
        <v>891</v>
      </c>
      <c r="I30" s="626" t="s">
        <v>899</v>
      </c>
      <c r="J30" s="769">
        <v>41487</v>
      </c>
      <c r="K30" s="769">
        <v>41487</v>
      </c>
      <c r="L30" s="626" t="s">
        <v>892</v>
      </c>
      <c r="M30" s="626">
        <v>3192</v>
      </c>
      <c r="N30" s="626">
        <v>14364</v>
      </c>
      <c r="O30" s="626">
        <v>20520</v>
      </c>
      <c r="P30" s="626">
        <v>0</v>
      </c>
      <c r="Q30" s="626">
        <v>41040</v>
      </c>
      <c r="R30" s="626">
        <v>0</v>
      </c>
      <c r="S30" s="626">
        <v>0</v>
      </c>
      <c r="T30" s="626">
        <v>0</v>
      </c>
      <c r="U30" s="626">
        <v>0</v>
      </c>
      <c r="V30" s="626">
        <v>0</v>
      </c>
      <c r="W30" s="626">
        <v>0</v>
      </c>
      <c r="X30" s="626">
        <v>1600</v>
      </c>
      <c r="Y30" s="626" t="s">
        <v>49</v>
      </c>
      <c r="Z30" s="628" t="s">
        <v>155</v>
      </c>
    </row>
    <row r="31" spans="1:26" s="580" customFormat="1" ht="38.25">
      <c r="A31" s="579"/>
      <c r="B31" s="770">
        <v>33011</v>
      </c>
      <c r="C31" s="770">
        <v>8900</v>
      </c>
      <c r="D31" s="627" t="s">
        <v>900</v>
      </c>
      <c r="E31" s="626"/>
      <c r="F31" s="626" t="s">
        <v>901</v>
      </c>
      <c r="G31" s="626" t="s">
        <v>902</v>
      </c>
      <c r="H31" s="626" t="s">
        <v>891</v>
      </c>
      <c r="I31" s="626" t="s">
        <v>903</v>
      </c>
      <c r="J31" s="769">
        <v>42516</v>
      </c>
      <c r="K31" s="769">
        <v>42513</v>
      </c>
      <c r="L31" s="626" t="s">
        <v>904</v>
      </c>
      <c r="M31" s="626">
        <v>11</v>
      </c>
      <c r="N31" s="626">
        <v>28.875</v>
      </c>
      <c r="O31" s="626">
        <v>41.25</v>
      </c>
      <c r="P31" s="626">
        <v>0</v>
      </c>
      <c r="Q31" s="626">
        <v>82.5</v>
      </c>
      <c r="R31" s="626">
        <v>0</v>
      </c>
      <c r="S31" s="626">
        <v>0</v>
      </c>
      <c r="T31" s="626">
        <v>0</v>
      </c>
      <c r="U31" s="626">
        <v>0</v>
      </c>
      <c r="V31" s="626">
        <v>0</v>
      </c>
      <c r="W31" s="626">
        <v>0</v>
      </c>
      <c r="X31" s="626">
        <v>11</v>
      </c>
      <c r="Y31" s="626" t="s">
        <v>111</v>
      </c>
      <c r="Z31" s="628" t="s">
        <v>111</v>
      </c>
    </row>
    <row r="32" spans="1:26" s="580" customFormat="1" ht="63.75">
      <c r="A32" s="579"/>
      <c r="B32" s="770">
        <v>33011</v>
      </c>
      <c r="C32" s="770">
        <v>8900</v>
      </c>
      <c r="D32" s="627" t="s">
        <v>905</v>
      </c>
      <c r="E32" s="626"/>
      <c r="F32" s="626" t="s">
        <v>906</v>
      </c>
      <c r="G32" s="626" t="s">
        <v>907</v>
      </c>
      <c r="H32" s="626" t="s">
        <v>891</v>
      </c>
      <c r="I32" s="626" t="s">
        <v>908</v>
      </c>
      <c r="J32" s="769">
        <v>37824</v>
      </c>
      <c r="K32" s="769">
        <v>42417</v>
      </c>
      <c r="L32" s="626" t="s">
        <v>904</v>
      </c>
      <c r="M32" s="626">
        <v>600</v>
      </c>
      <c r="N32" s="626">
        <v>2700</v>
      </c>
      <c r="O32" s="626">
        <v>3857.1428571428573</v>
      </c>
      <c r="P32" s="626">
        <v>0</v>
      </c>
      <c r="Q32" s="626">
        <v>7714.2857142857147</v>
      </c>
      <c r="R32" s="626">
        <v>0</v>
      </c>
      <c r="S32" s="626">
        <v>0</v>
      </c>
      <c r="T32" s="626">
        <v>0</v>
      </c>
      <c r="U32" s="626">
        <v>0</v>
      </c>
      <c r="V32" s="626">
        <v>0</v>
      </c>
      <c r="W32" s="626">
        <v>0</v>
      </c>
      <c r="X32" s="626">
        <v>1600</v>
      </c>
      <c r="Y32" s="626" t="s">
        <v>49</v>
      </c>
      <c r="Z32" s="628" t="s">
        <v>155</v>
      </c>
    </row>
    <row r="33" spans="1:27" s="564" customFormat="1">
      <c r="A33" s="582" t="s">
        <v>279</v>
      </c>
      <c r="B33" s="583"/>
      <c r="C33" s="583"/>
      <c r="D33" s="583"/>
      <c r="E33" s="583"/>
      <c r="F33" s="583"/>
      <c r="G33" s="583"/>
      <c r="H33" s="583"/>
      <c r="I33" s="583"/>
      <c r="J33" s="583"/>
      <c r="K33" s="583"/>
      <c r="L33" s="584"/>
      <c r="M33" s="584">
        <f>SUM(M28:M32)</f>
        <v>6168</v>
      </c>
      <c r="N33" s="584">
        <f>SUM(N28:N32)</f>
        <v>27735.375</v>
      </c>
      <c r="O33" s="584">
        <f>SUM(O28:O32)</f>
        <v>39621.964285714283</v>
      </c>
      <c r="P33" s="584">
        <f>SUM(P28:P32)</f>
        <v>3600.0000000000009</v>
      </c>
      <c r="Q33" s="584">
        <f>SUM(Q28:Q32)</f>
        <v>75643.928571428565</v>
      </c>
      <c r="R33" s="584">
        <f>SUM(R28:R32)</f>
        <v>0</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0</v>
      </c>
      <c r="N34" s="584">
        <f>SUMIF($Z$28:$Z$32,"industrie",N28:N32)</f>
        <v>0</v>
      </c>
      <c r="O34" s="584">
        <f>SUMIF($Z$28:$Z$32,"industrie",O28:O32)</f>
        <v>0</v>
      </c>
      <c r="P34" s="584">
        <f>SUMIF($Z$28:$Z$32,"industrie",P28:P32)</f>
        <v>0</v>
      </c>
      <c r="Q34" s="584">
        <f>SUMIF($Z$28:$Z$32,"industrie",Q28:Q32)</f>
        <v>0</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4072</v>
      </c>
      <c r="N35" s="584">
        <f ca="1">SUMIF($Z$28:AD32,"tertiair",N28:N32)</f>
        <v>18324</v>
      </c>
      <c r="O35" s="584">
        <f ca="1">SUMIF($Z$28:AE32,"tertiair",O28:O32)</f>
        <v>26177.142857142859</v>
      </c>
      <c r="P35" s="584">
        <f ca="1">SUMIF($Z$28:AF32,"tertiair",P28:P32)</f>
        <v>3600.0000000000009</v>
      </c>
      <c r="Q35" s="584">
        <f ca="1">SUMIF($Z$28:AG32,"tertiair",Q28:Q32)</f>
        <v>48754.285714285717</v>
      </c>
      <c r="R35" s="584">
        <f ca="1">SUMIF($Z$28:AH32,"tertiair",R28:R32)</f>
        <v>0</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2096</v>
      </c>
      <c r="N36" s="589">
        <f>SUMIF($Z$28:$Z$32,"landbouw",N28:N32)</f>
        <v>9411.375</v>
      </c>
      <c r="O36" s="589">
        <f>SUMIF($Z$28:$Z$32,"landbouw",O28:O32)</f>
        <v>13444.821428571429</v>
      </c>
      <c r="P36" s="589">
        <f>SUMIF($Z$28:$Z$32,"landbouw",P28:P32)</f>
        <v>0</v>
      </c>
      <c r="Q36" s="589">
        <f>SUMIF($Z$28:$Z$32,"landbouw",Q28:Q32)</f>
        <v>26889.642857142859</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533</v>
      </c>
      <c r="Q38" s="624" t="s">
        <v>102</v>
      </c>
      <c r="R38" s="624" t="s">
        <v>103</v>
      </c>
      <c r="S38" s="624" t="s">
        <v>104</v>
      </c>
      <c r="T38" s="624" t="s">
        <v>105</v>
      </c>
      <c r="U38" s="624" t="s">
        <v>106</v>
      </c>
      <c r="V38" s="624" t="s">
        <v>107</v>
      </c>
      <c r="W38" s="623" t="s">
        <v>108</v>
      </c>
      <c r="X38" s="623" t="s">
        <v>298</v>
      </c>
      <c r="Y38" s="623" t="s">
        <v>109</v>
      </c>
      <c r="Z38" s="625" t="s">
        <v>299</v>
      </c>
    </row>
    <row r="39" spans="1:27" s="595" customFormat="1" ht="63.75">
      <c r="A39" s="581"/>
      <c r="B39" s="770">
        <v>33011</v>
      </c>
      <c r="C39" s="770">
        <v>8900</v>
      </c>
      <c r="D39" s="629" t="s">
        <v>909</v>
      </c>
      <c r="E39" s="629" t="s">
        <v>910</v>
      </c>
      <c r="F39" s="629" t="s">
        <v>911</v>
      </c>
      <c r="G39" s="629" t="s">
        <v>912</v>
      </c>
      <c r="H39" s="629" t="s">
        <v>913</v>
      </c>
      <c r="I39" s="629" t="s">
        <v>910</v>
      </c>
      <c r="J39" s="769">
        <v>37824</v>
      </c>
      <c r="K39" s="769">
        <v>37967</v>
      </c>
      <c r="L39" s="629" t="s">
        <v>914</v>
      </c>
      <c r="M39" s="629">
        <v>800</v>
      </c>
      <c r="N39" s="629">
        <v>3600</v>
      </c>
      <c r="O39" s="629">
        <v>0</v>
      </c>
      <c r="P39" s="629">
        <v>0</v>
      </c>
      <c r="Q39" s="629">
        <v>10285.714285714286</v>
      </c>
      <c r="R39" s="629">
        <v>0</v>
      </c>
      <c r="S39" s="629">
        <v>0</v>
      </c>
      <c r="T39" s="629">
        <v>0</v>
      </c>
      <c r="U39" s="629">
        <v>0</v>
      </c>
      <c r="V39" s="629">
        <v>0</v>
      </c>
      <c r="W39" s="629">
        <v>0</v>
      </c>
      <c r="X39" s="629">
        <v>1600</v>
      </c>
      <c r="Y39" s="629" t="s">
        <v>49</v>
      </c>
      <c r="Z39" s="630" t="s">
        <v>155</v>
      </c>
    </row>
    <row r="40" spans="1:27" s="564" customFormat="1">
      <c r="A40" s="582" t="s">
        <v>279</v>
      </c>
      <c r="B40" s="583"/>
      <c r="C40" s="583"/>
      <c r="D40" s="583"/>
      <c r="E40" s="583"/>
      <c r="F40" s="583"/>
      <c r="G40" s="583"/>
      <c r="H40" s="583"/>
      <c r="I40" s="583"/>
      <c r="J40" s="583"/>
      <c r="K40" s="583"/>
      <c r="L40" s="584"/>
      <c r="M40" s="584">
        <f>SUM(M39:M39)</f>
        <v>800</v>
      </c>
      <c r="N40" s="584">
        <f>SUM(N39:N39)</f>
        <v>3600</v>
      </c>
      <c r="O40" s="584">
        <f>SUM(O39:O39)</f>
        <v>0</v>
      </c>
      <c r="P40" s="584">
        <f>SUM(P39:P39)</f>
        <v>0</v>
      </c>
      <c r="Q40" s="584">
        <f>SUM(Q39:Q39)</f>
        <v>10285.714285714286</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800</v>
      </c>
      <c r="N42" s="584">
        <f>SUMIF($Z$39:$Z$40,"tertiair",N39:N40)</f>
        <v>3600</v>
      </c>
      <c r="O42" s="584">
        <f>SUMIF($Z$39:$Z$40,"tertiair",O39:O40)</f>
        <v>0</v>
      </c>
      <c r="P42" s="584">
        <f>SUMIF($Z$39:$Z$40,"tertiair",P39:P40)</f>
        <v>0</v>
      </c>
      <c r="Q42" s="584">
        <f>SUMIF($Z$39:$Z$40,"tertiair",Q39:Q40)</f>
        <v>10285.714285714286</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0.58823529411764697</v>
      </c>
      <c r="C49" s="609">
        <f>IF(ISERROR(N33/(O33+N33)),0,N33/(N33+O33))</f>
        <v>0.41176470588235292</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533</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1482.3529411764709</v>
      </c>
      <c r="C52" s="618">
        <f t="shared" si="2"/>
        <v>31147.499999999996</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2117.6470588235297</v>
      </c>
      <c r="C53" s="621">
        <f t="shared" si="3"/>
        <v>44496.428571428558</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56831.212944532221</v>
      </c>
      <c r="C4" s="451">
        <f>huishoudens!C8</f>
        <v>0</v>
      </c>
      <c r="D4" s="451">
        <f>huishoudens!D8</f>
        <v>142418.68800816956</v>
      </c>
      <c r="E4" s="451">
        <f>huishoudens!E8</f>
        <v>30363.860282854428</v>
      </c>
      <c r="F4" s="451">
        <f>huishoudens!F8</f>
        <v>8512.7748190872899</v>
      </c>
      <c r="G4" s="451">
        <f>huishoudens!G8</f>
        <v>0</v>
      </c>
      <c r="H4" s="451">
        <f>huishoudens!H8</f>
        <v>0</v>
      </c>
      <c r="I4" s="451">
        <f>huishoudens!I8</f>
        <v>0</v>
      </c>
      <c r="J4" s="451">
        <f>huishoudens!J8</f>
        <v>2328.02295784333</v>
      </c>
      <c r="K4" s="451">
        <f>huishoudens!K8</f>
        <v>0</v>
      </c>
      <c r="L4" s="451">
        <f>huishoudens!L8</f>
        <v>0</v>
      </c>
      <c r="M4" s="451">
        <f>huishoudens!M8</f>
        <v>0</v>
      </c>
      <c r="N4" s="451">
        <f>huishoudens!N8</f>
        <v>35040.323686894153</v>
      </c>
      <c r="O4" s="451">
        <f>huishoudens!O8</f>
        <v>816.06000000000006</v>
      </c>
      <c r="P4" s="452">
        <f>huishoudens!P8</f>
        <v>1220.2666666666667</v>
      </c>
      <c r="Q4" s="453">
        <f>SUM(B4:P4)</f>
        <v>277531.20936604764</v>
      </c>
    </row>
    <row r="5" spans="1:17">
      <c r="A5" s="450" t="s">
        <v>155</v>
      </c>
      <c r="B5" s="451">
        <f ca="1">tertiair!B16</f>
        <v>99804.959830276552</v>
      </c>
      <c r="C5" s="451">
        <f ca="1">tertiair!C16</f>
        <v>26177.142857142859</v>
      </c>
      <c r="D5" s="451">
        <f ca="1">tertiair!D16</f>
        <v>84441.455180993988</v>
      </c>
      <c r="E5" s="451">
        <f>tertiair!E16</f>
        <v>941.3293767965979</v>
      </c>
      <c r="F5" s="451">
        <f ca="1">tertiair!F16</f>
        <v>13549.832618189885</v>
      </c>
      <c r="G5" s="451">
        <f>tertiair!G16</f>
        <v>0</v>
      </c>
      <c r="H5" s="451">
        <f>tertiair!H16</f>
        <v>0</v>
      </c>
      <c r="I5" s="451">
        <f>tertiair!I16</f>
        <v>0</v>
      </c>
      <c r="J5" s="451">
        <f>tertiair!J16</f>
        <v>0.22697925522017001</v>
      </c>
      <c r="K5" s="451">
        <f>tertiair!K16</f>
        <v>0</v>
      </c>
      <c r="L5" s="451">
        <f ca="1">tertiair!L16</f>
        <v>0</v>
      </c>
      <c r="M5" s="451">
        <f>tertiair!M16</f>
        <v>0</v>
      </c>
      <c r="N5" s="451">
        <f ca="1">tertiair!N16</f>
        <v>0</v>
      </c>
      <c r="O5" s="451">
        <f>tertiair!O16</f>
        <v>14.070000000000002</v>
      </c>
      <c r="P5" s="452">
        <f>tertiair!P16</f>
        <v>114.4</v>
      </c>
      <c r="Q5" s="450">
        <f t="shared" ref="Q5:Q14" ca="1" si="0">SUM(B5:P5)</f>
        <v>225043.4168426551</v>
      </c>
    </row>
    <row r="6" spans="1:17">
      <c r="A6" s="450" t="s">
        <v>193</v>
      </c>
      <c r="B6" s="451">
        <f>'openbare verlichting'!B8</f>
        <v>2812.6460000000002</v>
      </c>
      <c r="C6" s="451"/>
      <c r="D6" s="451"/>
      <c r="E6" s="451"/>
      <c r="F6" s="451"/>
      <c r="G6" s="451"/>
      <c r="H6" s="451"/>
      <c r="I6" s="451"/>
      <c r="J6" s="451"/>
      <c r="K6" s="451"/>
      <c r="L6" s="451"/>
      <c r="M6" s="451"/>
      <c r="N6" s="451"/>
      <c r="O6" s="451"/>
      <c r="P6" s="452"/>
      <c r="Q6" s="450">
        <f t="shared" si="0"/>
        <v>2812.6460000000002</v>
      </c>
    </row>
    <row r="7" spans="1:17">
      <c r="A7" s="450" t="s">
        <v>111</v>
      </c>
      <c r="B7" s="451">
        <f>landbouw!B8</f>
        <v>10190.707757002378</v>
      </c>
      <c r="C7" s="451">
        <f>landbouw!C8</f>
        <v>13444.821428571429</v>
      </c>
      <c r="D7" s="451">
        <f>landbouw!D8</f>
        <v>1291.0964837659499</v>
      </c>
      <c r="E7" s="451">
        <f>landbouw!E8</f>
        <v>299.53602699240099</v>
      </c>
      <c r="F7" s="451">
        <f>landbouw!F8</f>
        <v>42453.937838728467</v>
      </c>
      <c r="G7" s="451">
        <f>landbouw!G8</f>
        <v>0</v>
      </c>
      <c r="H7" s="451">
        <f>landbouw!H8</f>
        <v>0</v>
      </c>
      <c r="I7" s="451">
        <f>landbouw!I8</f>
        <v>0</v>
      </c>
      <c r="J7" s="451">
        <f>landbouw!J8</f>
        <v>1476.4147060354351</v>
      </c>
      <c r="K7" s="451">
        <f>landbouw!K8</f>
        <v>0</v>
      </c>
      <c r="L7" s="451">
        <f>landbouw!L8</f>
        <v>0</v>
      </c>
      <c r="M7" s="451">
        <f>landbouw!M8</f>
        <v>0</v>
      </c>
      <c r="N7" s="451">
        <f>landbouw!N8</f>
        <v>0</v>
      </c>
      <c r="O7" s="451">
        <f>landbouw!O8</f>
        <v>0</v>
      </c>
      <c r="P7" s="452">
        <f>landbouw!P8</f>
        <v>0</v>
      </c>
      <c r="Q7" s="450">
        <f t="shared" si="0"/>
        <v>69156.514241096054</v>
      </c>
    </row>
    <row r="8" spans="1:17">
      <c r="A8" s="450" t="s">
        <v>634</v>
      </c>
      <c r="B8" s="451">
        <f>industrie!B18</f>
        <v>162216.66817119403</v>
      </c>
      <c r="C8" s="451">
        <f>industrie!C18</f>
        <v>0</v>
      </c>
      <c r="D8" s="451">
        <f>industrie!D18</f>
        <v>240054.25680522108</v>
      </c>
      <c r="E8" s="451">
        <f>industrie!E18</f>
        <v>10837.594645854246</v>
      </c>
      <c r="F8" s="451">
        <f>industrie!F18</f>
        <v>36012.01719688125</v>
      </c>
      <c r="G8" s="451">
        <f>industrie!G18</f>
        <v>0</v>
      </c>
      <c r="H8" s="451">
        <f>industrie!H18</f>
        <v>0</v>
      </c>
      <c r="I8" s="451">
        <f>industrie!I18</f>
        <v>0</v>
      </c>
      <c r="J8" s="451">
        <f>industrie!J18</f>
        <v>412.41620598282805</v>
      </c>
      <c r="K8" s="451">
        <f>industrie!K18</f>
        <v>0</v>
      </c>
      <c r="L8" s="451">
        <f>industrie!L18</f>
        <v>0</v>
      </c>
      <c r="M8" s="451">
        <f>industrie!M18</f>
        <v>0</v>
      </c>
      <c r="N8" s="451">
        <f>industrie!N18</f>
        <v>10350.458584832728</v>
      </c>
      <c r="O8" s="451">
        <f>industrie!O18</f>
        <v>0</v>
      </c>
      <c r="P8" s="452">
        <f>industrie!P18</f>
        <v>0</v>
      </c>
      <c r="Q8" s="450">
        <f t="shared" si="0"/>
        <v>459883.41160996619</v>
      </c>
    </row>
    <row r="9" spans="1:17" s="456" customFormat="1">
      <c r="A9" s="454" t="s">
        <v>560</v>
      </c>
      <c r="B9" s="455">
        <f>transport!B14</f>
        <v>77.269621367149085</v>
      </c>
      <c r="C9" s="455">
        <f>transport!C14</f>
        <v>0</v>
      </c>
      <c r="D9" s="455">
        <f>transport!D14</f>
        <v>214.10134014780235</v>
      </c>
      <c r="E9" s="455">
        <f>transport!E14</f>
        <v>365.6456715476383</v>
      </c>
      <c r="F9" s="455">
        <f>transport!F14</f>
        <v>0</v>
      </c>
      <c r="G9" s="455">
        <f>transport!G14</f>
        <v>184855.95460124197</v>
      </c>
      <c r="H9" s="455">
        <f>transport!H14</f>
        <v>36221.548302961797</v>
      </c>
      <c r="I9" s="455">
        <f>transport!I14</f>
        <v>0</v>
      </c>
      <c r="J9" s="455">
        <f>transport!J14</f>
        <v>0</v>
      </c>
      <c r="K9" s="455">
        <f>transport!K14</f>
        <v>0</v>
      </c>
      <c r="L9" s="455">
        <f>transport!L14</f>
        <v>0</v>
      </c>
      <c r="M9" s="455">
        <f>transport!M14</f>
        <v>11866.65724834886</v>
      </c>
      <c r="N9" s="455">
        <f>transport!N14</f>
        <v>0</v>
      </c>
      <c r="O9" s="455">
        <f>transport!O14</f>
        <v>0</v>
      </c>
      <c r="P9" s="455">
        <f>transport!P14</f>
        <v>0</v>
      </c>
      <c r="Q9" s="454">
        <f>SUM(B9:P9)</f>
        <v>233601.17678561524</v>
      </c>
    </row>
    <row r="10" spans="1:17">
      <c r="A10" s="450" t="s">
        <v>550</v>
      </c>
      <c r="B10" s="451">
        <f>transport!B54</f>
        <v>0</v>
      </c>
      <c r="C10" s="451">
        <f>transport!C54</f>
        <v>0</v>
      </c>
      <c r="D10" s="451">
        <f>transport!D54</f>
        <v>0</v>
      </c>
      <c r="E10" s="451">
        <f>transport!E54</f>
        <v>0</v>
      </c>
      <c r="F10" s="451">
        <f>transport!F54</f>
        <v>0</v>
      </c>
      <c r="G10" s="451">
        <f>transport!G54</f>
        <v>3425.0895581983732</v>
      </c>
      <c r="H10" s="451">
        <f>transport!H54</f>
        <v>0</v>
      </c>
      <c r="I10" s="451">
        <f>transport!I54</f>
        <v>0</v>
      </c>
      <c r="J10" s="451">
        <f>transport!J54</f>
        <v>0</v>
      </c>
      <c r="K10" s="451">
        <f>transport!K54</f>
        <v>0</v>
      </c>
      <c r="L10" s="451">
        <f>transport!L54</f>
        <v>0</v>
      </c>
      <c r="M10" s="451">
        <f>transport!M54</f>
        <v>194.51527195876355</v>
      </c>
      <c r="N10" s="451">
        <f>transport!N54</f>
        <v>0</v>
      </c>
      <c r="O10" s="451">
        <f>transport!O54</f>
        <v>0</v>
      </c>
      <c r="P10" s="452">
        <f>transport!P54</f>
        <v>0</v>
      </c>
      <c r="Q10" s="450">
        <f t="shared" si="0"/>
        <v>3619.6048301571368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2373.9460493435799</v>
      </c>
      <c r="C14" s="458"/>
      <c r="D14" s="458">
        <f>'SEAP template'!E25</f>
        <v>5837.4025034434098</v>
      </c>
      <c r="E14" s="458"/>
      <c r="F14" s="458"/>
      <c r="G14" s="458"/>
      <c r="H14" s="458"/>
      <c r="I14" s="458"/>
      <c r="J14" s="458"/>
      <c r="K14" s="458"/>
      <c r="L14" s="458"/>
      <c r="M14" s="458"/>
      <c r="N14" s="458"/>
      <c r="O14" s="458"/>
      <c r="P14" s="459"/>
      <c r="Q14" s="450">
        <f t="shared" si="0"/>
        <v>8211.3485527869889</v>
      </c>
    </row>
    <row r="15" spans="1:17" s="460" customFormat="1">
      <c r="A15" s="1005" t="s">
        <v>554</v>
      </c>
      <c r="B15" s="953">
        <f ca="1">SUM(B4:B14)</f>
        <v>334307.41037371592</v>
      </c>
      <c r="C15" s="953">
        <f t="shared" ref="C15:Q15" ca="1" si="1">SUM(C4:C14)</f>
        <v>39621.96428571429</v>
      </c>
      <c r="D15" s="953">
        <f t="shared" ca="1" si="1"/>
        <v>474257.0003217418</v>
      </c>
      <c r="E15" s="953">
        <f t="shared" si="1"/>
        <v>42807.966004045316</v>
      </c>
      <c r="F15" s="953">
        <f t="shared" ca="1" si="1"/>
        <v>100528.5624728869</v>
      </c>
      <c r="G15" s="953">
        <f t="shared" si="1"/>
        <v>188281.04415944035</v>
      </c>
      <c r="H15" s="953">
        <f t="shared" si="1"/>
        <v>36221.548302961797</v>
      </c>
      <c r="I15" s="953">
        <f t="shared" si="1"/>
        <v>0</v>
      </c>
      <c r="J15" s="953">
        <f t="shared" si="1"/>
        <v>4217.0808491168127</v>
      </c>
      <c r="K15" s="953">
        <f t="shared" si="1"/>
        <v>0</v>
      </c>
      <c r="L15" s="953">
        <f t="shared" ca="1" si="1"/>
        <v>0</v>
      </c>
      <c r="M15" s="953">
        <f t="shared" si="1"/>
        <v>12061.172520307624</v>
      </c>
      <c r="N15" s="953">
        <f t="shared" ca="1" si="1"/>
        <v>45390.782271726879</v>
      </c>
      <c r="O15" s="953">
        <f t="shared" si="1"/>
        <v>830.13000000000011</v>
      </c>
      <c r="P15" s="953">
        <f t="shared" si="1"/>
        <v>1334.6666666666667</v>
      </c>
      <c r="Q15" s="953">
        <f t="shared" ca="1" si="1"/>
        <v>1279859.3282283244</v>
      </c>
    </row>
    <row r="17" spans="1:17">
      <c r="A17" s="461" t="s">
        <v>555</v>
      </c>
      <c r="B17" s="760">
        <f ca="1">huishoudens!B10</f>
        <v>0.16716333399180111</v>
      </c>
      <c r="C17" s="760">
        <f ca="1">huishoudens!C10</f>
        <v>1.0796150912603384E-2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9500.0950306060095</v>
      </c>
      <c r="C22" s="451">
        <f t="shared" ref="C22:C32" ca="1" si="3">C4*$C$17</f>
        <v>0</v>
      </c>
      <c r="D22" s="451">
        <f t="shared" ref="D22:D32" si="4">D4*$D$17</f>
        <v>28768.574977650253</v>
      </c>
      <c r="E22" s="451">
        <f t="shared" ref="E22:E32" si="5">E4*$E$17</f>
        <v>6892.5962842079553</v>
      </c>
      <c r="F22" s="451">
        <f t="shared" ref="F22:F32" si="6">F4*$F$17</f>
        <v>2272.9108766963063</v>
      </c>
      <c r="G22" s="451">
        <f t="shared" ref="G22:G32" si="7">G4*$G$17</f>
        <v>0</v>
      </c>
      <c r="H22" s="451">
        <f t="shared" ref="H22:H32" si="8">H4*$H$17</f>
        <v>0</v>
      </c>
      <c r="I22" s="451">
        <f t="shared" ref="I22:I32" si="9">I4*$I$17</f>
        <v>0</v>
      </c>
      <c r="J22" s="451">
        <f t="shared" ref="J22:J32" si="10">J4*$J$17</f>
        <v>824.12012707653878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48258.297296237055</v>
      </c>
    </row>
    <row r="23" spans="1:17">
      <c r="A23" s="450" t="s">
        <v>155</v>
      </c>
      <c r="B23" s="451">
        <f t="shared" ca="1" si="2"/>
        <v>16683.729834146812</v>
      </c>
      <c r="C23" s="451">
        <f t="shared" ca="1" si="3"/>
        <v>282.61238474649201</v>
      </c>
      <c r="D23" s="451">
        <f t="shared" ca="1" si="4"/>
        <v>17057.173946560786</v>
      </c>
      <c r="E23" s="451">
        <f t="shared" si="5"/>
        <v>213.68176853282773</v>
      </c>
      <c r="F23" s="451">
        <f t="shared" ca="1" si="6"/>
        <v>3617.8053090566996</v>
      </c>
      <c r="G23" s="451">
        <f t="shared" si="7"/>
        <v>0</v>
      </c>
      <c r="H23" s="451">
        <f t="shared" si="8"/>
        <v>0</v>
      </c>
      <c r="I23" s="451">
        <f t="shared" si="9"/>
        <v>0</v>
      </c>
      <c r="J23" s="451">
        <f t="shared" si="10"/>
        <v>8.0350656347940183E-2</v>
      </c>
      <c r="K23" s="451">
        <f t="shared" si="11"/>
        <v>0</v>
      </c>
      <c r="L23" s="451">
        <f t="shared" ca="1" si="12"/>
        <v>0</v>
      </c>
      <c r="M23" s="451">
        <f t="shared" si="13"/>
        <v>0</v>
      </c>
      <c r="N23" s="451">
        <f t="shared" ca="1" si="14"/>
        <v>0</v>
      </c>
      <c r="O23" s="451">
        <f t="shared" si="15"/>
        <v>0</v>
      </c>
      <c r="P23" s="452">
        <f t="shared" si="16"/>
        <v>0</v>
      </c>
      <c r="Q23" s="450">
        <f t="shared" ref="Q23:Q32" ca="1" si="17">SUM(B23:P23)</f>
        <v>37855.083593699957</v>
      </c>
    </row>
    <row r="24" spans="1:17">
      <c r="A24" s="450" t="s">
        <v>193</v>
      </c>
      <c r="B24" s="451">
        <f t="shared" ca="1" si="2"/>
        <v>470.17128269870346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470.17128269870346</v>
      </c>
    </row>
    <row r="25" spans="1:17">
      <c r="A25" s="450" t="s">
        <v>111</v>
      </c>
      <c r="B25" s="451">
        <f t="shared" ca="1" si="2"/>
        <v>1703.5126843966268</v>
      </c>
      <c r="C25" s="451">
        <f t="shared" ca="1" si="3"/>
        <v>145.15232113586097</v>
      </c>
      <c r="D25" s="451">
        <f t="shared" si="4"/>
        <v>260.80148972072192</v>
      </c>
      <c r="E25" s="451">
        <f t="shared" si="5"/>
        <v>67.994678127275023</v>
      </c>
      <c r="F25" s="451">
        <f t="shared" si="6"/>
        <v>11335.201402940502</v>
      </c>
      <c r="G25" s="451">
        <f t="shared" si="7"/>
        <v>0</v>
      </c>
      <c r="H25" s="451">
        <f t="shared" si="8"/>
        <v>0</v>
      </c>
      <c r="I25" s="451">
        <f t="shared" si="9"/>
        <v>0</v>
      </c>
      <c r="J25" s="451">
        <f t="shared" si="10"/>
        <v>522.65080593654397</v>
      </c>
      <c r="K25" s="451">
        <f t="shared" si="11"/>
        <v>0</v>
      </c>
      <c r="L25" s="451">
        <f t="shared" si="12"/>
        <v>0</v>
      </c>
      <c r="M25" s="451">
        <f t="shared" si="13"/>
        <v>0</v>
      </c>
      <c r="N25" s="451">
        <f t="shared" si="14"/>
        <v>0</v>
      </c>
      <c r="O25" s="451">
        <f t="shared" si="15"/>
        <v>0</v>
      </c>
      <c r="P25" s="452">
        <f t="shared" si="16"/>
        <v>0</v>
      </c>
      <c r="Q25" s="450">
        <f t="shared" ca="1" si="17"/>
        <v>14035.313382257531</v>
      </c>
    </row>
    <row r="26" spans="1:17">
      <c r="A26" s="450" t="s">
        <v>634</v>
      </c>
      <c r="B26" s="451">
        <f t="shared" ca="1" si="2"/>
        <v>27116.679080538481</v>
      </c>
      <c r="C26" s="451">
        <f t="shared" ca="1" si="3"/>
        <v>0</v>
      </c>
      <c r="D26" s="451">
        <f t="shared" si="4"/>
        <v>48490.959874654662</v>
      </c>
      <c r="E26" s="451">
        <f t="shared" si="5"/>
        <v>2460.133984608914</v>
      </c>
      <c r="F26" s="451">
        <f t="shared" si="6"/>
        <v>9615.2085915672942</v>
      </c>
      <c r="G26" s="451">
        <f t="shared" si="7"/>
        <v>0</v>
      </c>
      <c r="H26" s="451">
        <f t="shared" si="8"/>
        <v>0</v>
      </c>
      <c r="I26" s="451">
        <f t="shared" si="9"/>
        <v>0</v>
      </c>
      <c r="J26" s="451">
        <f t="shared" si="10"/>
        <v>145.99533691792112</v>
      </c>
      <c r="K26" s="451">
        <f t="shared" si="11"/>
        <v>0</v>
      </c>
      <c r="L26" s="451">
        <f t="shared" si="12"/>
        <v>0</v>
      </c>
      <c r="M26" s="451">
        <f t="shared" si="13"/>
        <v>0</v>
      </c>
      <c r="N26" s="451">
        <f t="shared" si="14"/>
        <v>0</v>
      </c>
      <c r="O26" s="451">
        <f t="shared" si="15"/>
        <v>0</v>
      </c>
      <c r="P26" s="452">
        <f t="shared" si="16"/>
        <v>0</v>
      </c>
      <c r="Q26" s="450">
        <f t="shared" ca="1" si="17"/>
        <v>87828.976868287267</v>
      </c>
    </row>
    <row r="27" spans="1:17" s="456" customFormat="1">
      <c r="A27" s="454" t="s">
        <v>560</v>
      </c>
      <c r="B27" s="754">
        <f t="shared" ca="1" si="2"/>
        <v>12.916647524016755</v>
      </c>
      <c r="C27" s="455">
        <f t="shared" ca="1" si="3"/>
        <v>0</v>
      </c>
      <c r="D27" s="455">
        <f t="shared" si="4"/>
        <v>43.248470709856079</v>
      </c>
      <c r="E27" s="455">
        <f t="shared" si="5"/>
        <v>83.001567441313895</v>
      </c>
      <c r="F27" s="455">
        <f t="shared" si="6"/>
        <v>0</v>
      </c>
      <c r="G27" s="455">
        <f t="shared" si="7"/>
        <v>49356.539878531607</v>
      </c>
      <c r="H27" s="455">
        <f t="shared" si="8"/>
        <v>9019.165527437488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58514.872091644276</v>
      </c>
    </row>
    <row r="28" spans="1:17">
      <c r="A28" s="450" t="s">
        <v>550</v>
      </c>
      <c r="B28" s="451">
        <f t="shared" ca="1" si="2"/>
        <v>0</v>
      </c>
      <c r="C28" s="451">
        <f t="shared" ca="1" si="3"/>
        <v>0</v>
      </c>
      <c r="D28" s="451">
        <f t="shared" si="4"/>
        <v>0</v>
      </c>
      <c r="E28" s="451">
        <f t="shared" si="5"/>
        <v>0</v>
      </c>
      <c r="F28" s="451">
        <f t="shared" si="6"/>
        <v>0</v>
      </c>
      <c r="G28" s="451">
        <f t="shared" si="7"/>
        <v>914.49891203896573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914.49891203896573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396.83673632493759</v>
      </c>
      <c r="C32" s="451">
        <f t="shared" ca="1" si="3"/>
        <v>0</v>
      </c>
      <c r="D32" s="451">
        <f t="shared" si="4"/>
        <v>1179.1553056955688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1575.9920420205065</v>
      </c>
    </row>
    <row r="33" spans="1:17" s="460" customFormat="1">
      <c r="A33" s="1005" t="s">
        <v>554</v>
      </c>
      <c r="B33" s="953">
        <f ca="1">SUM(B22:B32)</f>
        <v>55883.941296235593</v>
      </c>
      <c r="C33" s="953">
        <f t="shared" ref="C33:Q33" ca="1" si="18">SUM(C22:C32)</f>
        <v>427.76470588235298</v>
      </c>
      <c r="D33" s="953">
        <f t="shared" ca="1" si="18"/>
        <v>95799.91406499187</v>
      </c>
      <c r="E33" s="953">
        <f t="shared" si="18"/>
        <v>9717.4082829182862</v>
      </c>
      <c r="F33" s="953">
        <f t="shared" ca="1" si="18"/>
        <v>26841.126180260802</v>
      </c>
      <c r="G33" s="953">
        <f t="shared" si="18"/>
        <v>50271.038790570572</v>
      </c>
      <c r="H33" s="953">
        <f t="shared" si="18"/>
        <v>9019.165527437488</v>
      </c>
      <c r="I33" s="953">
        <f t="shared" si="18"/>
        <v>0</v>
      </c>
      <c r="J33" s="953">
        <f t="shared" si="18"/>
        <v>1492.8466205873519</v>
      </c>
      <c r="K33" s="953">
        <f t="shared" si="18"/>
        <v>0</v>
      </c>
      <c r="L33" s="953">
        <f t="shared" ca="1" si="18"/>
        <v>0</v>
      </c>
      <c r="M33" s="953">
        <f t="shared" si="18"/>
        <v>0</v>
      </c>
      <c r="N33" s="953">
        <f t="shared" ca="1" si="18"/>
        <v>0</v>
      </c>
      <c r="O33" s="953">
        <f t="shared" si="18"/>
        <v>0</v>
      </c>
      <c r="P33" s="953">
        <f t="shared" si="18"/>
        <v>0</v>
      </c>
      <c r="Q33" s="953">
        <f t="shared" ca="1" si="18"/>
        <v>249453.20546888429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35654.676192770887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15803.757361406804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26475.374999999996</v>
      </c>
      <c r="C8" s="1022">
        <f>'SEAP template'!C76</f>
        <v>1260.0000000000005</v>
      </c>
      <c r="D8" s="1022">
        <f>'SEAP template'!D76</f>
        <v>1482.3529411764709</v>
      </c>
      <c r="E8" s="1022">
        <f>'SEAP template'!E76</f>
        <v>0</v>
      </c>
      <c r="F8" s="1022">
        <f>'SEAP template'!F76</f>
        <v>0</v>
      </c>
      <c r="G8" s="1022">
        <f>'SEAP template'!G76</f>
        <v>0</v>
      </c>
      <c r="H8" s="1022">
        <f>'SEAP template'!H76</f>
        <v>0</v>
      </c>
      <c r="I8" s="1022">
        <f>'SEAP template'!I76</f>
        <v>0</v>
      </c>
      <c r="J8" s="1022">
        <f>'SEAP template'!J76</f>
        <v>31147.499999999996</v>
      </c>
      <c r="K8" s="1022">
        <f>'SEAP template'!K76</f>
        <v>0</v>
      </c>
      <c r="L8" s="1022">
        <f>'SEAP template'!L76</f>
        <v>0</v>
      </c>
      <c r="M8" s="1022">
        <f>'SEAP template'!M76</f>
        <v>0</v>
      </c>
      <c r="N8" s="1022">
        <f>'SEAP template'!N76</f>
        <v>0</v>
      </c>
      <c r="O8" s="1022">
        <f>'SEAP template'!O76</f>
        <v>0</v>
      </c>
      <c r="P8" s="1023">
        <f>'SEAP template'!Q76</f>
        <v>299.43529411764717</v>
      </c>
    </row>
    <row r="9" spans="1:16">
      <c r="A9" s="1025" t="s">
        <v>840</v>
      </c>
      <c r="B9" s="1022">
        <f>'SEAP template'!B77</f>
        <v>3600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10285.714285714286</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81533.808554177682</v>
      </c>
      <c r="C10" s="1026">
        <f>SUM(C4:C9)</f>
        <v>1260.0000000000005</v>
      </c>
      <c r="D10" s="1026">
        <f t="shared" ref="D10:H10" si="0">SUM(D8:D9)</f>
        <v>1482.3529411764709</v>
      </c>
      <c r="E10" s="1026">
        <f t="shared" si="0"/>
        <v>0</v>
      </c>
      <c r="F10" s="1026">
        <f t="shared" si="0"/>
        <v>0</v>
      </c>
      <c r="G10" s="1026">
        <f t="shared" si="0"/>
        <v>0</v>
      </c>
      <c r="H10" s="1026">
        <f t="shared" si="0"/>
        <v>0</v>
      </c>
      <c r="I10" s="1026">
        <f>SUM(I8:I9)</f>
        <v>0</v>
      </c>
      <c r="J10" s="1026">
        <f>SUM(J8:J9)</f>
        <v>41433.214285714283</v>
      </c>
      <c r="K10" s="1026">
        <f t="shared" ref="K10:L10" si="1">SUM(K8:K9)</f>
        <v>0</v>
      </c>
      <c r="L10" s="1026">
        <f t="shared" si="1"/>
        <v>0</v>
      </c>
      <c r="M10" s="1026">
        <f>SUM(M8:M9)</f>
        <v>0</v>
      </c>
      <c r="N10" s="1026">
        <f>SUM(N8:N9)</f>
        <v>0</v>
      </c>
      <c r="O10" s="1026">
        <f>SUM(O8:O9)</f>
        <v>0</v>
      </c>
      <c r="P10" s="1026">
        <f>SUM(P8:P9)</f>
        <v>299.43529411764717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0.16716333399180111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37821.964285714283</v>
      </c>
      <c r="C17" s="1028">
        <f>'SEAP template'!C87</f>
        <v>1800.0000000000005</v>
      </c>
      <c r="D17" s="1023">
        <f>'SEAP template'!D87</f>
        <v>2117.6470588235297</v>
      </c>
      <c r="E17" s="1023">
        <f>'SEAP template'!E87</f>
        <v>0</v>
      </c>
      <c r="F17" s="1023">
        <f>'SEAP template'!F87</f>
        <v>0</v>
      </c>
      <c r="G17" s="1023">
        <f>'SEAP template'!G87</f>
        <v>0</v>
      </c>
      <c r="H17" s="1023">
        <f>'SEAP template'!H87</f>
        <v>0</v>
      </c>
      <c r="I17" s="1023">
        <f>'SEAP template'!I87</f>
        <v>0</v>
      </c>
      <c r="J17" s="1023">
        <f>'SEAP template'!J87</f>
        <v>44496.428571428558</v>
      </c>
      <c r="K17" s="1023">
        <f>'SEAP template'!K87</f>
        <v>0</v>
      </c>
      <c r="L17" s="1023">
        <f>'SEAP template'!L87</f>
        <v>0</v>
      </c>
      <c r="M17" s="1023">
        <f>'SEAP template'!M87</f>
        <v>0</v>
      </c>
      <c r="N17" s="1023">
        <f>'SEAP template'!N87</f>
        <v>0</v>
      </c>
      <c r="O17" s="1023">
        <f>'SEAP template'!O87</f>
        <v>0</v>
      </c>
      <c r="P17" s="1023">
        <f>'SEAP template'!Q87</f>
        <v>427.76470588235304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37821.964285714283</v>
      </c>
      <c r="C20" s="1026">
        <f>SUM(C17:C19)</f>
        <v>1800.0000000000005</v>
      </c>
      <c r="D20" s="1026">
        <f t="shared" ref="D20:H20" si="2">SUM(D17:D19)</f>
        <v>2117.6470588235297</v>
      </c>
      <c r="E20" s="1026">
        <f t="shared" si="2"/>
        <v>0</v>
      </c>
      <c r="F20" s="1026">
        <f t="shared" si="2"/>
        <v>0</v>
      </c>
      <c r="G20" s="1026">
        <f t="shared" si="2"/>
        <v>0</v>
      </c>
      <c r="H20" s="1026">
        <f t="shared" si="2"/>
        <v>0</v>
      </c>
      <c r="I20" s="1026">
        <f>SUM(I17:I19)</f>
        <v>0</v>
      </c>
      <c r="J20" s="1026">
        <f>SUM(J17:J19)</f>
        <v>44496.428571428558</v>
      </c>
      <c r="K20" s="1026">
        <f t="shared" ref="K20:L20" si="3">SUM(K17:K19)</f>
        <v>0</v>
      </c>
      <c r="L20" s="1026">
        <f t="shared" si="3"/>
        <v>0</v>
      </c>
      <c r="M20" s="1026">
        <f>SUM(M17:M19)</f>
        <v>0</v>
      </c>
      <c r="N20" s="1026">
        <f>SUM(N17:N19)</f>
        <v>0</v>
      </c>
      <c r="O20" s="1026">
        <f>SUM(O17:O19)</f>
        <v>0</v>
      </c>
      <c r="P20" s="1026">
        <f>SUM(P17:P19)</f>
        <v>427.76470588235304</v>
      </c>
    </row>
    <row r="22" spans="1:16">
      <c r="A22" s="461" t="s">
        <v>848</v>
      </c>
      <c r="B22" s="760" t="s">
        <v>842</v>
      </c>
      <c r="C22" s="760">
        <f ca="1">'EF ele_warmte'!B22</f>
        <v>1.0796150912603384E-2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0.16716333399180111</v>
      </c>
      <c r="C17" s="498">
        <f ca="1">'EF ele_warmte'!B22</f>
        <v>1.0796150912603384E-2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2020-06-20T15:43:51Z</dcterms:modified>
</cp:coreProperties>
</file>